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ate1904="1" codeName="ThisWorkbook" hidePivotFieldList="1"/>
  <mc:AlternateContent xmlns:mc="http://schemas.openxmlformats.org/markup-compatibility/2006">
    <mc:Choice Requires="x15">
      <x15ac:absPath xmlns:x15ac="http://schemas.microsoft.com/office/spreadsheetml/2010/11/ac" url="Q:\Finances Communales\1. Péréquations\2023\2. Décomptes\1. Décompte définitif\2. Rendements impôts\Validation des rendements\"/>
    </mc:Choice>
  </mc:AlternateContent>
  <xr:revisionPtr revIDLastSave="0" documentId="13_ncr:1_{41CCAE33-2CCA-48FA-910F-27756E2D0ECE}" xr6:coauthVersionLast="47" xr6:coauthVersionMax="47" xr10:uidLastSave="{00000000-0000-0000-0000-000000000000}"/>
  <workbookProtection workbookAlgorithmName="SHA-512" workbookHashValue="LKtrdNRo+Hudm85mqxoNrZv/Wu1+A065FZD9KoZ9LvohKfsmYoYjaJGTLzp+vbh2JaoFuSMX4Bek+SlPdxsHjw==" workbookSaltValue="N3QR4DDxK5IUO67okqyaSA==" workbookSpinCount="100000" lockStructure="1"/>
  <bookViews>
    <workbookView xWindow="-28920" yWindow="-120" windowWidth="29040" windowHeight="15840" tabRatio="923" xr2:uid="{00000000-000D-0000-FFFF-FFFF00000000}"/>
  </bookViews>
  <sheets>
    <sheet name="Récapitulation rendements" sheetId="57" r:id="rId1"/>
    <sheet name="Table des matières" sheetId="56" state="hidden" r:id="rId2"/>
    <sheet name="Paramètres" sheetId="40" state="hidden" r:id="rId3"/>
    <sheet name="Recherche" sheetId="48" state="hidden" r:id="rId4"/>
    <sheet name="Données" sheetId="42" state="hidden" r:id="rId5"/>
    <sheet name="VPI" sheetId="19" state="hidden" r:id="rId6"/>
    <sheet name="PCS" sheetId="9" state="hidden" r:id="rId7"/>
    <sheet name="Ecrêtage" sheetId="33" state="hidden" r:id="rId8"/>
    <sheet name="Péréquation directe" sheetId="34" state="hidden" r:id="rId9"/>
    <sheet name="Population" sheetId="36" state="hidden" r:id="rId10"/>
    <sheet name="Solidarité" sheetId="37" state="hidden" r:id="rId11"/>
    <sheet name="DT" sheetId="11" state="hidden" r:id="rId12"/>
    <sheet name="Effort" sheetId="12" state="hidden" r:id="rId13"/>
    <sheet name="Aide" sheetId="39" state="hidden" r:id="rId14"/>
    <sheet name="Taux" sheetId="13" state="hidden" r:id="rId15"/>
    <sheet name="Police" sheetId="49" state="hidden" r:id="rId16"/>
    <sheet name="Synthèse" sheetId="25" state="hidden" r:id="rId17"/>
    <sheet name="Décompte vs acomptes" sheetId="54" state="hidden" r:id="rId18"/>
  </sheets>
  <definedNames>
    <definedName name="_xlnm._FilterDatabase" localSheetId="6" hidden="1">PCS!$A$10:$I$312</definedName>
    <definedName name="_xlnm._FilterDatabase" localSheetId="8" hidden="1">'Péréquation directe'!$A$10:$J$312</definedName>
    <definedName name="_xlnm._FilterDatabase" localSheetId="16" hidden="1">Synthèse!$A$4:$G$307</definedName>
    <definedName name="_xlnm.Database" localSheetId="17">#REF!</definedName>
    <definedName name="_xlnm.Database" localSheetId="0">#REF!</definedName>
    <definedName name="_xlnm.Database">#REF!</definedName>
    <definedName name="_xlnm.Print_Titles" localSheetId="11">DT!$4:$5</definedName>
    <definedName name="_xlnm.Print_Titles" localSheetId="12">Effort!$4:$5</definedName>
    <definedName name="_xlnm.Print_Titles" localSheetId="6">PCS!$10:$11</definedName>
    <definedName name="_xlnm.Print_Titles" localSheetId="15">Police!$4:$4</definedName>
    <definedName name="_xlnm.Print_Titles" localSheetId="16">Synthèse!$4:$4</definedName>
    <definedName name="_xlnm.Print_Titles" localSheetId="14">Taux!$4:$5</definedName>
    <definedName name="ind">2</definedName>
    <definedName name="_xlnm.Print_Area" localSheetId="4">Données!#REF!</definedName>
    <definedName name="_xlnm.Print_Area" localSheetId="8">'Péréquation directe'!$303:$334</definedName>
    <definedName name="_xlnm.Print_Area" localSheetId="15">Police!$A$1:$M$306</definedName>
    <definedName name="_xlnm.Print_Area" localSheetId="0">'Récapitulation rendements'!$B$6:$E$53</definedName>
    <definedName name="_xlnm.Print_Area" localSheetId="3">Recherche!$B$6:$F$68</definedName>
    <definedName name="_xlnm.Print_Area" localSheetId="16">Synthèse!$A$1:$J$305</definedName>
    <definedName name="_xlnm.Print_Area" localSheetId="14">Taux!$A$1:$Q$307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57" l="1"/>
  <c r="B6" i="48" l="1"/>
  <c r="B7" i="48"/>
  <c r="F8" i="48" l="1"/>
  <c r="C253" i="42" l="1"/>
  <c r="C7" i="49"/>
  <c r="C6" i="49"/>
  <c r="C8" i="49"/>
  <c r="C285" i="49"/>
  <c r="C284" i="49"/>
  <c r="C9" i="49"/>
  <c r="C10" i="49"/>
  <c r="C11" i="49"/>
  <c r="C12" i="49"/>
  <c r="C13" i="49"/>
  <c r="C14" i="49"/>
  <c r="C15" i="49"/>
  <c r="C16" i="49"/>
  <c r="C17" i="49"/>
  <c r="C18" i="49"/>
  <c r="C19" i="49"/>
  <c r="C20" i="49"/>
  <c r="C21" i="49"/>
  <c r="C22" i="49"/>
  <c r="C23" i="49"/>
  <c r="C24" i="49"/>
  <c r="C25" i="49"/>
  <c r="C26" i="49"/>
  <c r="C27" i="49"/>
  <c r="C28" i="49"/>
  <c r="C29" i="49"/>
  <c r="C30" i="49"/>
  <c r="C31" i="49"/>
  <c r="C32" i="49"/>
  <c r="C33" i="49"/>
  <c r="C34" i="49"/>
  <c r="C35" i="49"/>
  <c r="C36" i="49"/>
  <c r="C37" i="49"/>
  <c r="C38" i="49"/>
  <c r="C39" i="49"/>
  <c r="C40" i="49"/>
  <c r="C41" i="49"/>
  <c r="C42" i="49"/>
  <c r="C43" i="49"/>
  <c r="C44" i="49"/>
  <c r="C45" i="49"/>
  <c r="C46" i="49"/>
  <c r="C47" i="49"/>
  <c r="C48" i="49"/>
  <c r="C49" i="49"/>
  <c r="C50" i="49"/>
  <c r="C51" i="49"/>
  <c r="C52" i="49"/>
  <c r="C53" i="49"/>
  <c r="C54" i="49"/>
  <c r="C55" i="49"/>
  <c r="C56" i="49"/>
  <c r="C57" i="49"/>
  <c r="C58" i="49"/>
  <c r="C59" i="49"/>
  <c r="C60" i="49"/>
  <c r="C61" i="49"/>
  <c r="C62" i="49"/>
  <c r="C63" i="49"/>
  <c r="C64" i="49"/>
  <c r="C65" i="49"/>
  <c r="C66" i="49"/>
  <c r="C67" i="49"/>
  <c r="C68" i="49"/>
  <c r="C69" i="49"/>
  <c r="C70" i="49"/>
  <c r="C71" i="49"/>
  <c r="C72" i="49"/>
  <c r="C73" i="49"/>
  <c r="C74" i="49"/>
  <c r="C75" i="49"/>
  <c r="C76" i="49"/>
  <c r="C77" i="49"/>
  <c r="C78" i="49"/>
  <c r="C79" i="49"/>
  <c r="C80" i="49"/>
  <c r="C81" i="49"/>
  <c r="C82" i="49"/>
  <c r="C83" i="49"/>
  <c r="C84" i="49"/>
  <c r="C85" i="49"/>
  <c r="C86" i="49"/>
  <c r="C87" i="49"/>
  <c r="C88" i="49"/>
  <c r="C89" i="49"/>
  <c r="C90" i="49"/>
  <c r="C91" i="49"/>
  <c r="C92" i="49"/>
  <c r="C93" i="49"/>
  <c r="C94" i="49"/>
  <c r="C95" i="49"/>
  <c r="C96" i="49"/>
  <c r="C97" i="49"/>
  <c r="C98" i="49"/>
  <c r="C99" i="49"/>
  <c r="C100" i="49"/>
  <c r="C101" i="49"/>
  <c r="C102" i="49"/>
  <c r="C103" i="49"/>
  <c r="C104" i="49"/>
  <c r="C105" i="49"/>
  <c r="C106" i="49"/>
  <c r="C107" i="49"/>
  <c r="C108" i="49"/>
  <c r="C109" i="49"/>
  <c r="C110" i="49"/>
  <c r="C111" i="49"/>
  <c r="C112" i="49"/>
  <c r="C113" i="49"/>
  <c r="C114" i="49"/>
  <c r="C115" i="49"/>
  <c r="C116" i="49"/>
  <c r="C117" i="49"/>
  <c r="C118" i="49"/>
  <c r="C119" i="49"/>
  <c r="C120" i="49"/>
  <c r="C121" i="49"/>
  <c r="C122" i="49"/>
  <c r="C123" i="49"/>
  <c r="C124" i="49"/>
  <c r="C125" i="49"/>
  <c r="C126" i="49"/>
  <c r="C127" i="49"/>
  <c r="C128" i="49"/>
  <c r="C129" i="49"/>
  <c r="C130" i="49"/>
  <c r="C131" i="49"/>
  <c r="C132" i="49"/>
  <c r="C133" i="49"/>
  <c r="C134" i="49"/>
  <c r="C135" i="49"/>
  <c r="C136" i="49"/>
  <c r="C137" i="49"/>
  <c r="C138" i="49"/>
  <c r="C139" i="49"/>
  <c r="C140" i="49"/>
  <c r="C141" i="49"/>
  <c r="C142" i="49"/>
  <c r="C143" i="49"/>
  <c r="C144" i="49"/>
  <c r="C145" i="49"/>
  <c r="C146" i="49"/>
  <c r="C147" i="49"/>
  <c r="C148" i="49"/>
  <c r="C149" i="49"/>
  <c r="C150" i="49"/>
  <c r="C151" i="49"/>
  <c r="C152" i="49"/>
  <c r="C153" i="49"/>
  <c r="C154" i="49"/>
  <c r="C155" i="49"/>
  <c r="C156" i="49"/>
  <c r="C157" i="49"/>
  <c r="C158" i="49"/>
  <c r="C159" i="49"/>
  <c r="C160" i="49"/>
  <c r="C161" i="49"/>
  <c r="C162" i="49"/>
  <c r="C163" i="49"/>
  <c r="C164" i="49"/>
  <c r="C165" i="49"/>
  <c r="C166" i="49"/>
  <c r="C167" i="49"/>
  <c r="C168" i="49"/>
  <c r="C169" i="49"/>
  <c r="C170" i="49"/>
  <c r="C171" i="49"/>
  <c r="C172" i="49"/>
  <c r="C173" i="49"/>
  <c r="C174" i="49"/>
  <c r="C175" i="49"/>
  <c r="C176" i="49"/>
  <c r="C177" i="49"/>
  <c r="C178" i="49"/>
  <c r="C179" i="49"/>
  <c r="C180" i="49"/>
  <c r="C181" i="49"/>
  <c r="C182" i="49"/>
  <c r="C183" i="49"/>
  <c r="C184" i="49"/>
  <c r="C185" i="49"/>
  <c r="C186" i="49"/>
  <c r="C187" i="49"/>
  <c r="C188" i="49"/>
  <c r="C189" i="49"/>
  <c r="C190" i="49"/>
  <c r="C191" i="49"/>
  <c r="C192" i="49"/>
  <c r="C193" i="49"/>
  <c r="C194" i="49"/>
  <c r="C195" i="49"/>
  <c r="C196" i="49"/>
  <c r="C197" i="49"/>
  <c r="C198" i="49"/>
  <c r="C199" i="49"/>
  <c r="C200" i="49"/>
  <c r="C201" i="49"/>
  <c r="C202" i="49"/>
  <c r="C203" i="49"/>
  <c r="C204" i="49"/>
  <c r="C205" i="49"/>
  <c r="C206" i="49"/>
  <c r="C207" i="49"/>
  <c r="C208" i="49"/>
  <c r="C209" i="49"/>
  <c r="C210" i="49"/>
  <c r="C211" i="49"/>
  <c r="C212" i="49"/>
  <c r="C213" i="49"/>
  <c r="C214" i="49"/>
  <c r="C215" i="49"/>
  <c r="C216" i="49"/>
  <c r="C217" i="49"/>
  <c r="C218" i="49"/>
  <c r="C219" i="49"/>
  <c r="C220" i="49"/>
  <c r="C221" i="49"/>
  <c r="C222" i="49"/>
  <c r="C223" i="49"/>
  <c r="C224" i="49"/>
  <c r="C225" i="49"/>
  <c r="C226" i="49"/>
  <c r="C227" i="49"/>
  <c r="C228" i="49"/>
  <c r="C229" i="49"/>
  <c r="C230" i="49"/>
  <c r="C231" i="49"/>
  <c r="C232" i="49"/>
  <c r="C233" i="49"/>
  <c r="C234" i="49"/>
  <c r="C235" i="49"/>
  <c r="C236" i="49"/>
  <c r="C237" i="49"/>
  <c r="C238" i="49"/>
  <c r="C239" i="49"/>
  <c r="C240" i="49"/>
  <c r="C241" i="49"/>
  <c r="C242" i="49"/>
  <c r="C243" i="49"/>
  <c r="C244" i="49"/>
  <c r="C245" i="49"/>
  <c r="C246" i="49"/>
  <c r="C247" i="49"/>
  <c r="C248" i="49"/>
  <c r="C249" i="49"/>
  <c r="C250" i="49"/>
  <c r="C251" i="49"/>
  <c r="C252" i="49"/>
  <c r="C253" i="49"/>
  <c r="C254" i="49"/>
  <c r="C255" i="49"/>
  <c r="C256" i="49"/>
  <c r="C257" i="49"/>
  <c r="C258" i="49"/>
  <c r="C259" i="49"/>
  <c r="C260" i="49"/>
  <c r="C261" i="49"/>
  <c r="C262" i="49"/>
  <c r="C263" i="49"/>
  <c r="C264" i="49"/>
  <c r="C265" i="49"/>
  <c r="C266" i="49"/>
  <c r="C267" i="49"/>
  <c r="C268" i="49"/>
  <c r="C269" i="49"/>
  <c r="C270" i="49"/>
  <c r="C271" i="49"/>
  <c r="C272" i="49"/>
  <c r="C273" i="49"/>
  <c r="C274" i="49"/>
  <c r="C275" i="49"/>
  <c r="C276" i="49"/>
  <c r="C277" i="49"/>
  <c r="C278" i="49"/>
  <c r="C279" i="49"/>
  <c r="C280" i="49"/>
  <c r="C281" i="49"/>
  <c r="C282" i="49"/>
  <c r="C283" i="49"/>
  <c r="C286" i="49"/>
  <c r="C287" i="49"/>
  <c r="C288" i="49"/>
  <c r="C289" i="49"/>
  <c r="C290" i="49"/>
  <c r="C291" i="49"/>
  <c r="C292" i="49"/>
  <c r="C293" i="49"/>
  <c r="C294" i="49"/>
  <c r="C295" i="49"/>
  <c r="C296" i="49"/>
  <c r="C297" i="49"/>
  <c r="C298" i="49"/>
  <c r="C299" i="49"/>
  <c r="C300" i="49"/>
  <c r="C301" i="49"/>
  <c r="C302" i="49"/>
  <c r="C303" i="49"/>
  <c r="C304" i="49"/>
  <c r="C305" i="49"/>
  <c r="B6" i="57"/>
  <c r="G5" i="13" l="1"/>
  <c r="D5" i="13" l="1"/>
  <c r="C40" i="57" l="1"/>
  <c r="C39" i="57"/>
  <c r="C38" i="57"/>
  <c r="B7" i="57"/>
  <c r="B14" i="40"/>
  <c r="B13" i="40"/>
  <c r="E8" i="57" l="1"/>
  <c r="D11" i="57"/>
  <c r="B46" i="57"/>
  <c r="D33" i="57"/>
  <c r="D19" i="57"/>
  <c r="D17" i="57"/>
  <c r="D16" i="57"/>
  <c r="D40" i="57"/>
  <c r="D15" i="57"/>
  <c r="D24" i="57"/>
  <c r="D38" i="57"/>
  <c r="D34" i="57"/>
  <c r="D32" i="57"/>
  <c r="D18" i="57"/>
  <c r="D26" i="57"/>
  <c r="D25" i="57"/>
  <c r="D39" i="57"/>
  <c r="D14" i="57"/>
  <c r="D23" i="57"/>
  <c r="D12" i="57"/>
  <c r="D27" i="57"/>
  <c r="D13" i="57"/>
  <c r="D22" i="57"/>
  <c r="D28" i="57" l="1"/>
  <c r="Z306" i="42"/>
  <c r="W2" i="42" l="1"/>
  <c r="AP306" i="42" l="1"/>
  <c r="Y306" i="42" l="1"/>
  <c r="X306" i="42"/>
  <c r="D20" i="57" l="1"/>
  <c r="D29" i="57" s="1"/>
  <c r="D7" i="13" l="1"/>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6" i="13"/>
  <c r="C15" i="40" l="1"/>
  <c r="C16" i="40" s="1"/>
  <c r="B16" i="40" l="1"/>
  <c r="A7" i="11"/>
  <c r="B7" i="11"/>
  <c r="E7" i="11"/>
  <c r="J7" i="11"/>
  <c r="A8" i="11"/>
  <c r="B8" i="11"/>
  <c r="E8" i="11"/>
  <c r="J8" i="11"/>
  <c r="A9" i="11"/>
  <c r="B9" i="11"/>
  <c r="E9" i="11"/>
  <c r="J9" i="11"/>
  <c r="A10" i="11"/>
  <c r="B10" i="11"/>
  <c r="E10" i="11"/>
  <c r="J10" i="11"/>
  <c r="A11" i="11"/>
  <c r="B11" i="11"/>
  <c r="E11" i="11"/>
  <c r="J11" i="11"/>
  <c r="A12" i="11"/>
  <c r="B12" i="11"/>
  <c r="E12" i="11"/>
  <c r="J12" i="11"/>
  <c r="A13" i="11"/>
  <c r="B13" i="11"/>
  <c r="E13" i="11"/>
  <c r="J13" i="11"/>
  <c r="A14" i="11"/>
  <c r="B14" i="11"/>
  <c r="E14" i="11"/>
  <c r="J14" i="11"/>
  <c r="A15" i="11"/>
  <c r="B15" i="11"/>
  <c r="E15" i="11"/>
  <c r="J15" i="11"/>
  <c r="A16" i="11"/>
  <c r="B16" i="11"/>
  <c r="E16" i="11"/>
  <c r="J16" i="11"/>
  <c r="A17" i="11"/>
  <c r="B17" i="11"/>
  <c r="E17" i="11"/>
  <c r="J17" i="11"/>
  <c r="A18" i="11"/>
  <c r="B18" i="11"/>
  <c r="E18" i="11"/>
  <c r="J18" i="11"/>
  <c r="A19" i="11"/>
  <c r="B19" i="11"/>
  <c r="E19" i="11"/>
  <c r="J19" i="11"/>
  <c r="A20" i="11"/>
  <c r="B20" i="11"/>
  <c r="E20" i="11"/>
  <c r="J20" i="11"/>
  <c r="A21" i="11"/>
  <c r="B21" i="11"/>
  <c r="E21" i="11"/>
  <c r="J21" i="11"/>
  <c r="A22" i="11"/>
  <c r="B22" i="11"/>
  <c r="E22" i="11"/>
  <c r="J22" i="11"/>
  <c r="A23" i="11"/>
  <c r="B23" i="11"/>
  <c r="E23" i="11"/>
  <c r="J23" i="11"/>
  <c r="A24" i="11"/>
  <c r="B24" i="11"/>
  <c r="E24" i="11"/>
  <c r="J24" i="11"/>
  <c r="A25" i="11"/>
  <c r="B25" i="11"/>
  <c r="E25" i="11"/>
  <c r="J25" i="11"/>
  <c r="A26" i="11"/>
  <c r="B26" i="11"/>
  <c r="E26" i="11"/>
  <c r="J26" i="11"/>
  <c r="A27" i="11"/>
  <c r="B27" i="11"/>
  <c r="E27" i="11"/>
  <c r="J27" i="11"/>
  <c r="A28" i="11"/>
  <c r="B28" i="11"/>
  <c r="E28" i="11"/>
  <c r="J28" i="11"/>
  <c r="A29" i="11"/>
  <c r="B29" i="11"/>
  <c r="J29" i="11"/>
  <c r="A30" i="11"/>
  <c r="B30" i="11"/>
  <c r="E30" i="11"/>
  <c r="J30" i="11"/>
  <c r="A31" i="11"/>
  <c r="B31" i="11"/>
  <c r="E31" i="11"/>
  <c r="J31" i="11"/>
  <c r="A32" i="11"/>
  <c r="B32" i="11"/>
  <c r="E32" i="11"/>
  <c r="J32" i="11"/>
  <c r="A33" i="11"/>
  <c r="B33" i="11"/>
  <c r="E33" i="11"/>
  <c r="J33" i="11"/>
  <c r="A34" i="11"/>
  <c r="B34" i="11"/>
  <c r="E34" i="11"/>
  <c r="J34" i="11"/>
  <c r="A35" i="11"/>
  <c r="B35" i="11"/>
  <c r="E35" i="11"/>
  <c r="J35" i="11"/>
  <c r="A36" i="11"/>
  <c r="B36" i="11"/>
  <c r="E36" i="11"/>
  <c r="J36" i="11"/>
  <c r="A37" i="11"/>
  <c r="B37" i="11"/>
  <c r="E37" i="11"/>
  <c r="J37" i="11"/>
  <c r="A38" i="11"/>
  <c r="B38" i="11"/>
  <c r="E38" i="11"/>
  <c r="J38" i="11"/>
  <c r="A39" i="11"/>
  <c r="B39" i="11"/>
  <c r="E39" i="11"/>
  <c r="J39" i="11"/>
  <c r="A40" i="11"/>
  <c r="B40" i="11"/>
  <c r="E40" i="11"/>
  <c r="J40" i="11"/>
  <c r="A41" i="11"/>
  <c r="B41" i="11"/>
  <c r="E41" i="11"/>
  <c r="J41" i="11"/>
  <c r="A42" i="11"/>
  <c r="B42" i="11"/>
  <c r="E42" i="11"/>
  <c r="J42" i="11"/>
  <c r="A43" i="11"/>
  <c r="B43" i="11"/>
  <c r="E43" i="11"/>
  <c r="J43" i="11"/>
  <c r="A44" i="11"/>
  <c r="B44" i="11"/>
  <c r="E44" i="11"/>
  <c r="J44" i="11"/>
  <c r="A45" i="11"/>
  <c r="B45" i="11"/>
  <c r="E45" i="11"/>
  <c r="J45" i="11"/>
  <c r="A46" i="11"/>
  <c r="B46" i="11"/>
  <c r="E46" i="11"/>
  <c r="J46" i="11"/>
  <c r="A47" i="11"/>
  <c r="B47" i="11"/>
  <c r="E47" i="11"/>
  <c r="J47" i="11"/>
  <c r="A48" i="11"/>
  <c r="B48" i="11"/>
  <c r="E48" i="11"/>
  <c r="J48" i="11"/>
  <c r="A49" i="11"/>
  <c r="B49" i="11"/>
  <c r="E49" i="11"/>
  <c r="J49" i="11"/>
  <c r="A50" i="11"/>
  <c r="B50" i="11"/>
  <c r="E50" i="11"/>
  <c r="J50" i="11"/>
  <c r="A51" i="11"/>
  <c r="B51" i="11"/>
  <c r="E51" i="11"/>
  <c r="J51" i="11"/>
  <c r="A52" i="11"/>
  <c r="B52" i="11"/>
  <c r="E52" i="11"/>
  <c r="J52" i="11"/>
  <c r="A53" i="11"/>
  <c r="B53" i="11"/>
  <c r="E53" i="11"/>
  <c r="J53" i="11"/>
  <c r="A54" i="11"/>
  <c r="B54" i="11"/>
  <c r="E54" i="11"/>
  <c r="J54" i="11"/>
  <c r="A55" i="11"/>
  <c r="B55" i="11"/>
  <c r="E55" i="11"/>
  <c r="J55" i="11"/>
  <c r="A56" i="11"/>
  <c r="B56" i="11"/>
  <c r="E56" i="11"/>
  <c r="J56" i="11"/>
  <c r="A57" i="11"/>
  <c r="B57" i="11"/>
  <c r="E57" i="11"/>
  <c r="J57" i="11"/>
  <c r="A58" i="11"/>
  <c r="B58" i="11"/>
  <c r="E58" i="11"/>
  <c r="J58" i="11"/>
  <c r="A59" i="11"/>
  <c r="B59" i="11"/>
  <c r="E59" i="11"/>
  <c r="J59" i="11"/>
  <c r="A60" i="11"/>
  <c r="B60" i="11"/>
  <c r="E60" i="11"/>
  <c r="J60" i="11"/>
  <c r="A61" i="11"/>
  <c r="B61" i="11"/>
  <c r="E61" i="11"/>
  <c r="J61" i="11"/>
  <c r="A62" i="11"/>
  <c r="B62" i="11"/>
  <c r="E62" i="11"/>
  <c r="J62" i="11"/>
  <c r="A63" i="11"/>
  <c r="B63" i="11"/>
  <c r="E63" i="11"/>
  <c r="J63" i="11"/>
  <c r="A64" i="11"/>
  <c r="B64" i="11"/>
  <c r="E64" i="11"/>
  <c r="J64" i="11"/>
  <c r="A65" i="11"/>
  <c r="B65" i="11"/>
  <c r="E65" i="11"/>
  <c r="J65" i="11"/>
  <c r="A66" i="11"/>
  <c r="B66" i="11"/>
  <c r="E66" i="11"/>
  <c r="J66" i="11"/>
  <c r="A67" i="11"/>
  <c r="B67" i="11"/>
  <c r="E67" i="11"/>
  <c r="J67" i="11"/>
  <c r="A68" i="11"/>
  <c r="B68" i="11"/>
  <c r="E68" i="11"/>
  <c r="J68" i="11"/>
  <c r="A69" i="11"/>
  <c r="B69" i="11"/>
  <c r="E69" i="11"/>
  <c r="J69" i="11"/>
  <c r="A70" i="11"/>
  <c r="B70" i="11"/>
  <c r="E70" i="11"/>
  <c r="J70" i="11"/>
  <c r="A71" i="11"/>
  <c r="B71" i="11"/>
  <c r="E71" i="11"/>
  <c r="J71" i="11"/>
  <c r="A72" i="11"/>
  <c r="B72" i="11"/>
  <c r="E72" i="11"/>
  <c r="J72" i="11"/>
  <c r="A73" i="11"/>
  <c r="B73" i="11"/>
  <c r="E73" i="11"/>
  <c r="J73" i="11"/>
  <c r="A74" i="11"/>
  <c r="B74" i="11"/>
  <c r="E74" i="11"/>
  <c r="J74" i="11"/>
  <c r="A75" i="11"/>
  <c r="B75" i="11"/>
  <c r="E75" i="11"/>
  <c r="J75" i="11"/>
  <c r="A76" i="11"/>
  <c r="B76" i="11"/>
  <c r="E76" i="11"/>
  <c r="J76" i="11"/>
  <c r="A77" i="11"/>
  <c r="B77" i="11"/>
  <c r="E77" i="11"/>
  <c r="J77" i="11"/>
  <c r="A78" i="11"/>
  <c r="B78" i="11"/>
  <c r="E78" i="11"/>
  <c r="J78" i="11"/>
  <c r="A79" i="11"/>
  <c r="B79" i="11"/>
  <c r="E79" i="11"/>
  <c r="J79" i="11"/>
  <c r="A80" i="11"/>
  <c r="B80" i="11"/>
  <c r="E80" i="11"/>
  <c r="J80" i="11"/>
  <c r="A81" i="11"/>
  <c r="B81" i="11"/>
  <c r="E81" i="11"/>
  <c r="J81" i="11"/>
  <c r="A82" i="11"/>
  <c r="B82" i="11"/>
  <c r="E82" i="11"/>
  <c r="J82" i="11"/>
  <c r="A83" i="11"/>
  <c r="B83" i="11"/>
  <c r="E83" i="11"/>
  <c r="J83" i="11"/>
  <c r="A84" i="11"/>
  <c r="B84" i="11"/>
  <c r="E84" i="11"/>
  <c r="J84" i="11"/>
  <c r="A85" i="11"/>
  <c r="B85" i="11"/>
  <c r="E85" i="11"/>
  <c r="J85" i="11"/>
  <c r="A86" i="11"/>
  <c r="B86" i="11"/>
  <c r="E86" i="11"/>
  <c r="J86" i="11"/>
  <c r="A87" i="11"/>
  <c r="B87" i="11"/>
  <c r="E87" i="11"/>
  <c r="J87" i="11"/>
  <c r="A88" i="11"/>
  <c r="B88" i="11"/>
  <c r="E88" i="11"/>
  <c r="J88" i="11"/>
  <c r="A89" i="11"/>
  <c r="B89" i="11"/>
  <c r="E89" i="11"/>
  <c r="J89" i="11"/>
  <c r="A90" i="11"/>
  <c r="B90" i="11"/>
  <c r="E90" i="11"/>
  <c r="J90" i="11"/>
  <c r="A91" i="11"/>
  <c r="B91" i="11"/>
  <c r="E91" i="11"/>
  <c r="J91" i="11"/>
  <c r="A92" i="11"/>
  <c r="B92" i="11"/>
  <c r="E92" i="11"/>
  <c r="J92" i="11"/>
  <c r="A93" i="11"/>
  <c r="B93" i="11"/>
  <c r="E93" i="11"/>
  <c r="J93" i="11"/>
  <c r="A94" i="11"/>
  <c r="B94" i="11"/>
  <c r="E94" i="11"/>
  <c r="J94" i="11"/>
  <c r="A95" i="11"/>
  <c r="B95" i="11"/>
  <c r="E95" i="11"/>
  <c r="J95" i="11"/>
  <c r="A96" i="11"/>
  <c r="B96" i="11"/>
  <c r="E96" i="11"/>
  <c r="J96" i="11"/>
  <c r="A97" i="11"/>
  <c r="B97" i="11"/>
  <c r="E97" i="11"/>
  <c r="J97" i="11"/>
  <c r="A98" i="11"/>
  <c r="B98" i="11"/>
  <c r="E98" i="11"/>
  <c r="J98" i="11"/>
  <c r="A99" i="11"/>
  <c r="B99" i="11"/>
  <c r="E99" i="11"/>
  <c r="J99" i="11"/>
  <c r="A100" i="11"/>
  <c r="B100" i="11"/>
  <c r="E100" i="11"/>
  <c r="J100" i="11"/>
  <c r="A101" i="11"/>
  <c r="B101" i="11"/>
  <c r="E101" i="11"/>
  <c r="J101" i="11"/>
  <c r="A102" i="11"/>
  <c r="B102" i="11"/>
  <c r="E102" i="11"/>
  <c r="J102" i="11"/>
  <c r="A103" i="11"/>
  <c r="B103" i="11"/>
  <c r="E103" i="11"/>
  <c r="J103" i="11"/>
  <c r="A104" i="11"/>
  <c r="B104" i="11"/>
  <c r="E104" i="11"/>
  <c r="J104" i="11"/>
  <c r="A105" i="11"/>
  <c r="B105" i="11"/>
  <c r="E105" i="11"/>
  <c r="J105" i="11"/>
  <c r="A106" i="11"/>
  <c r="B106" i="11"/>
  <c r="E106" i="11"/>
  <c r="J106" i="11"/>
  <c r="A107" i="11"/>
  <c r="B107" i="11"/>
  <c r="E107" i="11"/>
  <c r="J107" i="11"/>
  <c r="A108" i="11"/>
  <c r="B108" i="11"/>
  <c r="E108" i="11"/>
  <c r="J108" i="11"/>
  <c r="A109" i="11"/>
  <c r="B109" i="11"/>
  <c r="E109" i="11"/>
  <c r="J109" i="11"/>
  <c r="A110" i="11"/>
  <c r="B110" i="11"/>
  <c r="E110" i="11"/>
  <c r="J110" i="11"/>
  <c r="A111" i="11"/>
  <c r="B111" i="11"/>
  <c r="E111" i="11"/>
  <c r="J111" i="11"/>
  <c r="A112" i="11"/>
  <c r="B112" i="11"/>
  <c r="E112" i="11"/>
  <c r="J112" i="11"/>
  <c r="A113" i="11"/>
  <c r="B113" i="11"/>
  <c r="E113" i="11"/>
  <c r="J113" i="11"/>
  <c r="A114" i="11"/>
  <c r="B114" i="11"/>
  <c r="E114" i="11"/>
  <c r="J114" i="11"/>
  <c r="A115" i="11"/>
  <c r="B115" i="11"/>
  <c r="E115" i="11"/>
  <c r="J115" i="11"/>
  <c r="A116" i="11"/>
  <c r="B116" i="11"/>
  <c r="E116" i="11"/>
  <c r="J116" i="11"/>
  <c r="A117" i="11"/>
  <c r="B117" i="11"/>
  <c r="E117" i="11"/>
  <c r="J117" i="11"/>
  <c r="A118" i="11"/>
  <c r="B118" i="11"/>
  <c r="E118" i="11"/>
  <c r="J118" i="11"/>
  <c r="A119" i="11"/>
  <c r="B119" i="11"/>
  <c r="E119" i="11"/>
  <c r="J119" i="11"/>
  <c r="A120" i="11"/>
  <c r="B120" i="11"/>
  <c r="E120" i="11"/>
  <c r="J120" i="11"/>
  <c r="A121" i="11"/>
  <c r="B121" i="11"/>
  <c r="E121" i="11"/>
  <c r="J121" i="11"/>
  <c r="A122" i="11"/>
  <c r="B122" i="11"/>
  <c r="E122" i="11"/>
  <c r="J122" i="11"/>
  <c r="A123" i="11"/>
  <c r="B123" i="11"/>
  <c r="E123" i="11"/>
  <c r="J123" i="11"/>
  <c r="A124" i="11"/>
  <c r="B124" i="11"/>
  <c r="E124" i="11"/>
  <c r="J124" i="11"/>
  <c r="A125" i="11"/>
  <c r="B125" i="11"/>
  <c r="E125" i="11"/>
  <c r="J125" i="11"/>
  <c r="A126" i="11"/>
  <c r="B126" i="11"/>
  <c r="E126" i="11"/>
  <c r="J126" i="11"/>
  <c r="A127" i="11"/>
  <c r="B127" i="11"/>
  <c r="E127" i="11"/>
  <c r="J127" i="11"/>
  <c r="A128" i="11"/>
  <c r="B128" i="11"/>
  <c r="E128" i="11"/>
  <c r="J128" i="11"/>
  <c r="A129" i="11"/>
  <c r="B129" i="11"/>
  <c r="E129" i="11"/>
  <c r="J129" i="11"/>
  <c r="A130" i="11"/>
  <c r="B130" i="11"/>
  <c r="E130" i="11"/>
  <c r="J130" i="11"/>
  <c r="A131" i="11"/>
  <c r="B131" i="11"/>
  <c r="E131" i="11"/>
  <c r="J131" i="11"/>
  <c r="A132" i="11"/>
  <c r="B132" i="11"/>
  <c r="E132" i="11"/>
  <c r="J132" i="11"/>
  <c r="A133" i="11"/>
  <c r="B133" i="11"/>
  <c r="E133" i="11"/>
  <c r="J133" i="11"/>
  <c r="A134" i="11"/>
  <c r="B134" i="11"/>
  <c r="E134" i="11"/>
  <c r="J134" i="11"/>
  <c r="A135" i="11"/>
  <c r="B135" i="11"/>
  <c r="E135" i="11"/>
  <c r="J135" i="11"/>
  <c r="A136" i="11"/>
  <c r="B136" i="11"/>
  <c r="E136" i="11"/>
  <c r="J136" i="11"/>
  <c r="A137" i="11"/>
  <c r="B137" i="11"/>
  <c r="E137" i="11"/>
  <c r="J137" i="11"/>
  <c r="A138" i="11"/>
  <c r="B138" i="11"/>
  <c r="E138" i="11"/>
  <c r="J138" i="11"/>
  <c r="A139" i="11"/>
  <c r="B139" i="11"/>
  <c r="E139" i="11"/>
  <c r="J139" i="11"/>
  <c r="A140" i="11"/>
  <c r="B140" i="11"/>
  <c r="E140" i="11"/>
  <c r="J140" i="11"/>
  <c r="A141" i="11"/>
  <c r="B141" i="11"/>
  <c r="E141" i="11"/>
  <c r="J141" i="11"/>
  <c r="A142" i="11"/>
  <c r="B142" i="11"/>
  <c r="E142" i="11"/>
  <c r="J142" i="11"/>
  <c r="A143" i="11"/>
  <c r="B143" i="11"/>
  <c r="E143" i="11"/>
  <c r="J143" i="11"/>
  <c r="A144" i="11"/>
  <c r="B144" i="11"/>
  <c r="E144" i="11"/>
  <c r="J144" i="11"/>
  <c r="A145" i="11"/>
  <c r="B145" i="11"/>
  <c r="E145" i="11"/>
  <c r="J145" i="11"/>
  <c r="A146" i="11"/>
  <c r="B146" i="11"/>
  <c r="E146" i="11"/>
  <c r="J146" i="11"/>
  <c r="A147" i="11"/>
  <c r="B147" i="11"/>
  <c r="E147" i="11"/>
  <c r="J147" i="11"/>
  <c r="A148" i="11"/>
  <c r="B148" i="11"/>
  <c r="E148" i="11"/>
  <c r="J148" i="11"/>
  <c r="A149" i="11"/>
  <c r="B149" i="11"/>
  <c r="E149" i="11"/>
  <c r="J149" i="11"/>
  <c r="A150" i="11"/>
  <c r="B150" i="11"/>
  <c r="E150" i="11"/>
  <c r="J150" i="11"/>
  <c r="A151" i="11"/>
  <c r="B151" i="11"/>
  <c r="E151" i="11"/>
  <c r="J151" i="11"/>
  <c r="A152" i="11"/>
  <c r="B152" i="11"/>
  <c r="E152" i="11"/>
  <c r="J152" i="11"/>
  <c r="A153" i="11"/>
  <c r="B153" i="11"/>
  <c r="E153" i="11"/>
  <c r="J153" i="11"/>
  <c r="A154" i="11"/>
  <c r="B154" i="11"/>
  <c r="E154" i="11"/>
  <c r="J154" i="11"/>
  <c r="A155" i="11"/>
  <c r="B155" i="11"/>
  <c r="E155" i="11"/>
  <c r="J155" i="11"/>
  <c r="A156" i="11"/>
  <c r="B156" i="11"/>
  <c r="E156" i="11"/>
  <c r="J156" i="11"/>
  <c r="A157" i="11"/>
  <c r="B157" i="11"/>
  <c r="E157" i="11"/>
  <c r="J157" i="11"/>
  <c r="A158" i="11"/>
  <c r="B158" i="11"/>
  <c r="E158" i="11"/>
  <c r="J158" i="11"/>
  <c r="A159" i="11"/>
  <c r="B159" i="11"/>
  <c r="E159" i="11"/>
  <c r="J159" i="11"/>
  <c r="A160" i="11"/>
  <c r="B160" i="11"/>
  <c r="E160" i="11"/>
  <c r="J160" i="11"/>
  <c r="A161" i="11"/>
  <c r="B161" i="11"/>
  <c r="E161" i="11"/>
  <c r="J161" i="11"/>
  <c r="A162" i="11"/>
  <c r="B162" i="11"/>
  <c r="E162" i="11"/>
  <c r="J162" i="11"/>
  <c r="A163" i="11"/>
  <c r="B163" i="11"/>
  <c r="E163" i="11"/>
  <c r="J163" i="11"/>
  <c r="A164" i="11"/>
  <c r="B164" i="11"/>
  <c r="E164" i="11"/>
  <c r="J164" i="11"/>
  <c r="A165" i="11"/>
  <c r="B165" i="11"/>
  <c r="E165" i="11"/>
  <c r="J165" i="11"/>
  <c r="A166" i="11"/>
  <c r="B166" i="11"/>
  <c r="E166" i="11"/>
  <c r="J166" i="11"/>
  <c r="A167" i="11"/>
  <c r="B167" i="11"/>
  <c r="E167" i="11"/>
  <c r="J167" i="11"/>
  <c r="A168" i="11"/>
  <c r="B168" i="11"/>
  <c r="E168" i="11"/>
  <c r="J168" i="11"/>
  <c r="A169" i="11"/>
  <c r="B169" i="11"/>
  <c r="E169" i="11"/>
  <c r="J169" i="11"/>
  <c r="A170" i="11"/>
  <c r="B170" i="11"/>
  <c r="E170" i="11"/>
  <c r="J170" i="11"/>
  <c r="A171" i="11"/>
  <c r="B171" i="11"/>
  <c r="E171" i="11"/>
  <c r="J171" i="11"/>
  <c r="A172" i="11"/>
  <c r="B172" i="11"/>
  <c r="E172" i="11"/>
  <c r="J172" i="11"/>
  <c r="A173" i="11"/>
  <c r="B173" i="11"/>
  <c r="E173" i="11"/>
  <c r="J173" i="11"/>
  <c r="A174" i="11"/>
  <c r="B174" i="11"/>
  <c r="E174" i="11"/>
  <c r="J174" i="11"/>
  <c r="A175" i="11"/>
  <c r="B175" i="11"/>
  <c r="E175" i="11"/>
  <c r="J175" i="11"/>
  <c r="A176" i="11"/>
  <c r="B176" i="11"/>
  <c r="E176" i="11"/>
  <c r="J176" i="11"/>
  <c r="A177" i="11"/>
  <c r="B177" i="11"/>
  <c r="E177" i="11"/>
  <c r="J177" i="11"/>
  <c r="A178" i="11"/>
  <c r="B178" i="11"/>
  <c r="E178" i="11"/>
  <c r="J178" i="11"/>
  <c r="A179" i="11"/>
  <c r="B179" i="11"/>
  <c r="E179" i="11"/>
  <c r="J179" i="11"/>
  <c r="A180" i="11"/>
  <c r="B180" i="11"/>
  <c r="E180" i="11"/>
  <c r="J180" i="11"/>
  <c r="A181" i="11"/>
  <c r="B181" i="11"/>
  <c r="E181" i="11"/>
  <c r="J181" i="11"/>
  <c r="A182" i="11"/>
  <c r="B182" i="11"/>
  <c r="E182" i="11"/>
  <c r="J182" i="11"/>
  <c r="A183" i="11"/>
  <c r="B183" i="11"/>
  <c r="E183" i="11"/>
  <c r="J183" i="11"/>
  <c r="A184" i="11"/>
  <c r="B184" i="11"/>
  <c r="E184" i="11"/>
  <c r="J184" i="11"/>
  <c r="A185" i="11"/>
  <c r="B185" i="11"/>
  <c r="E185" i="11"/>
  <c r="J185" i="11"/>
  <c r="A186" i="11"/>
  <c r="B186" i="11"/>
  <c r="E186" i="11"/>
  <c r="J186" i="11"/>
  <c r="A187" i="11"/>
  <c r="B187" i="11"/>
  <c r="E187" i="11"/>
  <c r="J187" i="11"/>
  <c r="A188" i="11"/>
  <c r="B188" i="11"/>
  <c r="E188" i="11"/>
  <c r="J188" i="11"/>
  <c r="A189" i="11"/>
  <c r="B189" i="11"/>
  <c r="E189" i="11"/>
  <c r="J189" i="11"/>
  <c r="A190" i="11"/>
  <c r="B190" i="11"/>
  <c r="E190" i="11"/>
  <c r="J190" i="11"/>
  <c r="A191" i="11"/>
  <c r="B191" i="11"/>
  <c r="E191" i="11"/>
  <c r="J191" i="11"/>
  <c r="A192" i="11"/>
  <c r="B192" i="11"/>
  <c r="E192" i="11"/>
  <c r="J192" i="11"/>
  <c r="A193" i="11"/>
  <c r="B193" i="11"/>
  <c r="E193" i="11"/>
  <c r="J193" i="11"/>
  <c r="A194" i="11"/>
  <c r="B194" i="11"/>
  <c r="E194" i="11"/>
  <c r="J194" i="11"/>
  <c r="A195" i="11"/>
  <c r="B195" i="11"/>
  <c r="E195" i="11"/>
  <c r="J195" i="11"/>
  <c r="A196" i="11"/>
  <c r="B196" i="11"/>
  <c r="E196" i="11"/>
  <c r="J196" i="11"/>
  <c r="A197" i="11"/>
  <c r="B197" i="11"/>
  <c r="E197" i="11"/>
  <c r="J197" i="11"/>
  <c r="A198" i="11"/>
  <c r="B198" i="11"/>
  <c r="E198" i="11"/>
  <c r="J198" i="11"/>
  <c r="A199" i="11"/>
  <c r="B199" i="11"/>
  <c r="E199" i="11"/>
  <c r="J199" i="11"/>
  <c r="A200" i="11"/>
  <c r="B200" i="11"/>
  <c r="E200" i="11"/>
  <c r="J200" i="11"/>
  <c r="A201" i="11"/>
  <c r="B201" i="11"/>
  <c r="E201" i="11"/>
  <c r="J201" i="11"/>
  <c r="A202" i="11"/>
  <c r="B202" i="11"/>
  <c r="E202" i="11"/>
  <c r="J202" i="11"/>
  <c r="A203" i="11"/>
  <c r="B203" i="11"/>
  <c r="E203" i="11"/>
  <c r="J203" i="11"/>
  <c r="A204" i="11"/>
  <c r="B204" i="11"/>
  <c r="E204" i="11"/>
  <c r="J204" i="11"/>
  <c r="A205" i="11"/>
  <c r="B205" i="11"/>
  <c r="E205" i="11"/>
  <c r="J205" i="11"/>
  <c r="A206" i="11"/>
  <c r="B206" i="11"/>
  <c r="E206" i="11"/>
  <c r="J206" i="11"/>
  <c r="A207" i="11"/>
  <c r="B207" i="11"/>
  <c r="E207" i="11"/>
  <c r="J207" i="11"/>
  <c r="A208" i="11"/>
  <c r="B208" i="11"/>
  <c r="E208" i="11"/>
  <c r="J208" i="11"/>
  <c r="A209" i="11"/>
  <c r="B209" i="11"/>
  <c r="E209" i="11"/>
  <c r="J209" i="11"/>
  <c r="A210" i="11"/>
  <c r="B210" i="11"/>
  <c r="E210" i="11"/>
  <c r="J210" i="11"/>
  <c r="A211" i="11"/>
  <c r="B211" i="11"/>
  <c r="E211" i="11"/>
  <c r="J211" i="11"/>
  <c r="A212" i="11"/>
  <c r="B212" i="11"/>
  <c r="E212" i="11"/>
  <c r="J212" i="11"/>
  <c r="A213" i="11"/>
  <c r="B213" i="11"/>
  <c r="E213" i="11"/>
  <c r="J213" i="11"/>
  <c r="A214" i="11"/>
  <c r="B214" i="11"/>
  <c r="E214" i="11"/>
  <c r="J214" i="11"/>
  <c r="A215" i="11"/>
  <c r="B215" i="11"/>
  <c r="E215" i="11"/>
  <c r="J215" i="11"/>
  <c r="A216" i="11"/>
  <c r="B216" i="11"/>
  <c r="E216" i="11"/>
  <c r="J216" i="11"/>
  <c r="A217" i="11"/>
  <c r="B217" i="11"/>
  <c r="E217" i="11"/>
  <c r="J217" i="11"/>
  <c r="A218" i="11"/>
  <c r="B218" i="11"/>
  <c r="E218" i="11"/>
  <c r="J218" i="11"/>
  <c r="A219" i="11"/>
  <c r="B219" i="11"/>
  <c r="E219" i="11"/>
  <c r="J219" i="11"/>
  <c r="A220" i="11"/>
  <c r="B220" i="11"/>
  <c r="E220" i="11"/>
  <c r="J220" i="11"/>
  <c r="A221" i="11"/>
  <c r="B221" i="11"/>
  <c r="E221" i="11"/>
  <c r="J221" i="11"/>
  <c r="A222" i="11"/>
  <c r="B222" i="11"/>
  <c r="E222" i="11"/>
  <c r="J222" i="11"/>
  <c r="A223" i="11"/>
  <c r="B223" i="11"/>
  <c r="E223" i="11"/>
  <c r="J223" i="11"/>
  <c r="A224" i="11"/>
  <c r="B224" i="11"/>
  <c r="E224" i="11"/>
  <c r="J224" i="11"/>
  <c r="A225" i="11"/>
  <c r="B225" i="11"/>
  <c r="E225" i="11"/>
  <c r="J225" i="11"/>
  <c r="A226" i="11"/>
  <c r="B226" i="11"/>
  <c r="E226" i="11"/>
  <c r="J226" i="11"/>
  <c r="A227" i="11"/>
  <c r="B227" i="11"/>
  <c r="E227" i="11"/>
  <c r="J227" i="11"/>
  <c r="A228" i="11"/>
  <c r="B228" i="11"/>
  <c r="E228" i="11"/>
  <c r="J228" i="11"/>
  <c r="A229" i="11"/>
  <c r="B229" i="11"/>
  <c r="E229" i="11"/>
  <c r="J229" i="11"/>
  <c r="A230" i="11"/>
  <c r="B230" i="11"/>
  <c r="E230" i="11"/>
  <c r="J230" i="11"/>
  <c r="A231" i="11"/>
  <c r="B231" i="11"/>
  <c r="E231" i="11"/>
  <c r="J231" i="11"/>
  <c r="A232" i="11"/>
  <c r="B232" i="11"/>
  <c r="E232" i="11"/>
  <c r="J232" i="11"/>
  <c r="A233" i="11"/>
  <c r="B233" i="11"/>
  <c r="E233" i="11"/>
  <c r="J233" i="11"/>
  <c r="A234" i="11"/>
  <c r="B234" i="11"/>
  <c r="E234" i="11"/>
  <c r="J234" i="11"/>
  <c r="A235" i="11"/>
  <c r="B235" i="11"/>
  <c r="E235" i="11"/>
  <c r="J235" i="11"/>
  <c r="A236" i="11"/>
  <c r="B236" i="11"/>
  <c r="E236" i="11"/>
  <c r="J236" i="11"/>
  <c r="A237" i="11"/>
  <c r="B237" i="11"/>
  <c r="E237" i="11"/>
  <c r="J237" i="11"/>
  <c r="A238" i="11"/>
  <c r="B238" i="11"/>
  <c r="E238" i="11"/>
  <c r="J238" i="11"/>
  <c r="A239" i="11"/>
  <c r="B239" i="11"/>
  <c r="E239" i="11"/>
  <c r="J239" i="11"/>
  <c r="A240" i="11"/>
  <c r="B240" i="11"/>
  <c r="E240" i="11"/>
  <c r="J240" i="11"/>
  <c r="A241" i="11"/>
  <c r="B241" i="11"/>
  <c r="E241" i="11"/>
  <c r="J241" i="11"/>
  <c r="A242" i="11"/>
  <c r="B242" i="11"/>
  <c r="E242" i="11"/>
  <c r="J242" i="11"/>
  <c r="A243" i="11"/>
  <c r="B243" i="11"/>
  <c r="E243" i="11"/>
  <c r="J243" i="11"/>
  <c r="A244" i="11"/>
  <c r="B244" i="11"/>
  <c r="E244" i="11"/>
  <c r="J244" i="11"/>
  <c r="A245" i="11"/>
  <c r="B245" i="11"/>
  <c r="E245" i="11"/>
  <c r="J245" i="11"/>
  <c r="A246" i="11"/>
  <c r="B246" i="11"/>
  <c r="E246" i="11"/>
  <c r="J246" i="11"/>
  <c r="A247" i="11"/>
  <c r="B247" i="11"/>
  <c r="E247" i="11"/>
  <c r="J247" i="11"/>
  <c r="A248" i="11"/>
  <c r="B248" i="11"/>
  <c r="E248" i="11"/>
  <c r="J248" i="11"/>
  <c r="A249" i="11"/>
  <c r="B249" i="11"/>
  <c r="E249" i="11"/>
  <c r="J249" i="11"/>
  <c r="A250" i="11"/>
  <c r="B250" i="11"/>
  <c r="E250" i="11"/>
  <c r="J250" i="11"/>
  <c r="A251" i="11"/>
  <c r="B251" i="11"/>
  <c r="E251" i="11"/>
  <c r="J251" i="11"/>
  <c r="A252" i="11"/>
  <c r="B252" i="11"/>
  <c r="E252" i="11"/>
  <c r="J252" i="11"/>
  <c r="A253" i="11"/>
  <c r="B253" i="11"/>
  <c r="E253" i="11"/>
  <c r="J253" i="11"/>
  <c r="A254" i="11"/>
  <c r="B254" i="11"/>
  <c r="E254" i="11"/>
  <c r="J254" i="11"/>
  <c r="A255" i="11"/>
  <c r="B255" i="11"/>
  <c r="E255" i="11"/>
  <c r="J255" i="11"/>
  <c r="A256" i="11"/>
  <c r="B256" i="11"/>
  <c r="E256" i="11"/>
  <c r="J256" i="11"/>
  <c r="A257" i="11"/>
  <c r="B257" i="11"/>
  <c r="E257" i="11"/>
  <c r="J257" i="11"/>
  <c r="A258" i="11"/>
  <c r="B258" i="11"/>
  <c r="E258" i="11"/>
  <c r="J258" i="11"/>
  <c r="A259" i="11"/>
  <c r="B259" i="11"/>
  <c r="E259" i="11"/>
  <c r="J259" i="11"/>
  <c r="A260" i="11"/>
  <c r="B260" i="11"/>
  <c r="E260" i="11"/>
  <c r="J260" i="11"/>
  <c r="A261" i="11"/>
  <c r="B261" i="11"/>
  <c r="E261" i="11"/>
  <c r="J261" i="11"/>
  <c r="A262" i="11"/>
  <c r="B262" i="11"/>
  <c r="E262" i="11"/>
  <c r="J262" i="11"/>
  <c r="A263" i="11"/>
  <c r="B263" i="11"/>
  <c r="E263" i="11"/>
  <c r="J263" i="11"/>
  <c r="A264" i="11"/>
  <c r="B264" i="11"/>
  <c r="E264" i="11"/>
  <c r="J264" i="11"/>
  <c r="A265" i="11"/>
  <c r="B265" i="11"/>
  <c r="E265" i="11"/>
  <c r="J265" i="11"/>
  <c r="A266" i="11"/>
  <c r="B266" i="11"/>
  <c r="E266" i="11"/>
  <c r="J266" i="11"/>
  <c r="A267" i="11"/>
  <c r="B267" i="11"/>
  <c r="E267" i="11"/>
  <c r="J267" i="11"/>
  <c r="A268" i="11"/>
  <c r="B268" i="11"/>
  <c r="E268" i="11"/>
  <c r="J268" i="11"/>
  <c r="A269" i="11"/>
  <c r="B269" i="11"/>
  <c r="E269" i="11"/>
  <c r="J269" i="11"/>
  <c r="A270" i="11"/>
  <c r="B270" i="11"/>
  <c r="E270" i="11"/>
  <c r="J270" i="11"/>
  <c r="A271" i="11"/>
  <c r="B271" i="11"/>
  <c r="E271" i="11"/>
  <c r="J271" i="11"/>
  <c r="A272" i="11"/>
  <c r="B272" i="11"/>
  <c r="E272" i="11"/>
  <c r="J272" i="11"/>
  <c r="A273" i="11"/>
  <c r="B273" i="11"/>
  <c r="E273" i="11"/>
  <c r="J273" i="11"/>
  <c r="A274" i="11"/>
  <c r="B274" i="11"/>
  <c r="E274" i="11"/>
  <c r="J274" i="11"/>
  <c r="A275" i="11"/>
  <c r="B275" i="11"/>
  <c r="E275" i="11"/>
  <c r="J275" i="11"/>
  <c r="A276" i="11"/>
  <c r="B276" i="11"/>
  <c r="E276" i="11"/>
  <c r="J276" i="11"/>
  <c r="A277" i="11"/>
  <c r="B277" i="11"/>
  <c r="E277" i="11"/>
  <c r="J277" i="11"/>
  <c r="A278" i="11"/>
  <c r="B278" i="11"/>
  <c r="E278" i="11"/>
  <c r="J278" i="11"/>
  <c r="A279" i="11"/>
  <c r="B279" i="11"/>
  <c r="E279" i="11"/>
  <c r="J279" i="11"/>
  <c r="A280" i="11"/>
  <c r="B280" i="11"/>
  <c r="E280" i="11"/>
  <c r="J280" i="11"/>
  <c r="A281" i="11"/>
  <c r="B281" i="11"/>
  <c r="E281" i="11"/>
  <c r="J281" i="11"/>
  <c r="A282" i="11"/>
  <c r="B282" i="11"/>
  <c r="E282" i="11"/>
  <c r="J282" i="11"/>
  <c r="A283" i="11"/>
  <c r="B283" i="11"/>
  <c r="E283" i="11"/>
  <c r="J283" i="11"/>
  <c r="A284" i="11"/>
  <c r="B284" i="11"/>
  <c r="E284" i="11"/>
  <c r="J284" i="11"/>
  <c r="A285" i="11"/>
  <c r="B285" i="11"/>
  <c r="E285" i="11"/>
  <c r="J285" i="11"/>
  <c r="A286" i="11"/>
  <c r="B286" i="11"/>
  <c r="E286" i="11"/>
  <c r="J286" i="11"/>
  <c r="A287" i="11"/>
  <c r="B287" i="11"/>
  <c r="E287" i="11"/>
  <c r="J287" i="11"/>
  <c r="A288" i="11"/>
  <c r="B288" i="11"/>
  <c r="E288" i="11"/>
  <c r="J288" i="11"/>
  <c r="A289" i="11"/>
  <c r="B289" i="11"/>
  <c r="E289" i="11"/>
  <c r="J289" i="11"/>
  <c r="A290" i="11"/>
  <c r="B290" i="11"/>
  <c r="E290" i="11"/>
  <c r="J290" i="11"/>
  <c r="A291" i="11"/>
  <c r="B291" i="11"/>
  <c r="E291" i="11"/>
  <c r="J291" i="11"/>
  <c r="A292" i="11"/>
  <c r="B292" i="11"/>
  <c r="E292" i="11"/>
  <c r="J292" i="11"/>
  <c r="A293" i="11"/>
  <c r="B293" i="11"/>
  <c r="E293" i="11"/>
  <c r="J293" i="11"/>
  <c r="A294" i="11"/>
  <c r="B294" i="11"/>
  <c r="E294" i="11"/>
  <c r="J294" i="11"/>
  <c r="A295" i="11"/>
  <c r="B295" i="11"/>
  <c r="E295" i="11"/>
  <c r="J295" i="11"/>
  <c r="A296" i="11"/>
  <c r="B296" i="11"/>
  <c r="E296" i="11"/>
  <c r="J296" i="11"/>
  <c r="A297" i="11"/>
  <c r="B297" i="11"/>
  <c r="E297" i="11"/>
  <c r="J297" i="11"/>
  <c r="A298" i="11"/>
  <c r="B298" i="11"/>
  <c r="E298" i="11"/>
  <c r="J298" i="11"/>
  <c r="A299" i="11"/>
  <c r="B299" i="11"/>
  <c r="E299" i="11"/>
  <c r="J299" i="11"/>
  <c r="A300" i="11"/>
  <c r="B300" i="11"/>
  <c r="E300" i="11"/>
  <c r="J300" i="11"/>
  <c r="A301" i="11"/>
  <c r="B301" i="11"/>
  <c r="E301" i="11"/>
  <c r="J301" i="11"/>
  <c r="A302" i="11"/>
  <c r="B302" i="11"/>
  <c r="E302" i="11"/>
  <c r="J302" i="11"/>
  <c r="A303" i="11"/>
  <c r="B303" i="11"/>
  <c r="E303" i="11"/>
  <c r="J303" i="11"/>
  <c r="A304" i="11"/>
  <c r="B304" i="11"/>
  <c r="E304" i="11"/>
  <c r="J304" i="11"/>
  <c r="A305" i="11"/>
  <c r="B305" i="11"/>
  <c r="E305" i="11"/>
  <c r="J305" i="11"/>
  <c r="M68" i="42"/>
  <c r="T68" i="42" s="1"/>
  <c r="M155" i="42"/>
  <c r="T155" i="42" s="1"/>
  <c r="M235" i="42"/>
  <c r="T235" i="42" s="1"/>
  <c r="M275" i="42"/>
  <c r="T275" i="42" s="1"/>
  <c r="K45" i="40" l="1"/>
  <c r="C5" i="9"/>
  <c r="A6" i="25"/>
  <c r="B6" i="25"/>
  <c r="D6" i="25"/>
  <c r="A7" i="25"/>
  <c r="B7" i="25"/>
  <c r="D7" i="25"/>
  <c r="A8" i="25"/>
  <c r="B8" i="25"/>
  <c r="D8" i="25"/>
  <c r="A9" i="25"/>
  <c r="B9" i="25"/>
  <c r="D9" i="25"/>
  <c r="A10" i="25"/>
  <c r="B10" i="25"/>
  <c r="D10" i="25"/>
  <c r="A11" i="25"/>
  <c r="B11" i="25"/>
  <c r="D11" i="25"/>
  <c r="A12" i="25"/>
  <c r="B12" i="25"/>
  <c r="D12" i="25"/>
  <c r="A13" i="25"/>
  <c r="B13" i="25"/>
  <c r="D13" i="25"/>
  <c r="A14" i="25"/>
  <c r="B14" i="25"/>
  <c r="D14" i="25"/>
  <c r="A15" i="25"/>
  <c r="B15" i="25"/>
  <c r="D15" i="25"/>
  <c r="A16" i="25"/>
  <c r="B16" i="25"/>
  <c r="D16" i="25"/>
  <c r="A17" i="25"/>
  <c r="B17" i="25"/>
  <c r="D17" i="25"/>
  <c r="A18" i="25"/>
  <c r="B18" i="25"/>
  <c r="D18" i="25"/>
  <c r="A19" i="25"/>
  <c r="B19" i="25"/>
  <c r="D19" i="25"/>
  <c r="A20" i="25"/>
  <c r="B20" i="25"/>
  <c r="D20" i="25"/>
  <c r="A21" i="25"/>
  <c r="B21" i="25"/>
  <c r="D21" i="25"/>
  <c r="A22" i="25"/>
  <c r="B22" i="25"/>
  <c r="D22" i="25"/>
  <c r="A23" i="25"/>
  <c r="B23" i="25"/>
  <c r="D23" i="25"/>
  <c r="A24" i="25"/>
  <c r="B24" i="25"/>
  <c r="D24" i="25"/>
  <c r="A25" i="25"/>
  <c r="B25" i="25"/>
  <c r="D25" i="25"/>
  <c r="A26" i="25"/>
  <c r="B26" i="25"/>
  <c r="D26" i="25"/>
  <c r="A27" i="25"/>
  <c r="B27" i="25"/>
  <c r="D27" i="25"/>
  <c r="A28" i="25"/>
  <c r="B28" i="25"/>
  <c r="D28" i="25"/>
  <c r="A29" i="25"/>
  <c r="B29" i="25"/>
  <c r="D29" i="25"/>
  <c r="A30" i="25"/>
  <c r="B30" i="25"/>
  <c r="D30" i="25"/>
  <c r="A31" i="25"/>
  <c r="B31" i="25"/>
  <c r="D31" i="25"/>
  <c r="A32" i="25"/>
  <c r="B32" i="25"/>
  <c r="D32" i="25"/>
  <c r="A33" i="25"/>
  <c r="B33" i="25"/>
  <c r="D33" i="25"/>
  <c r="A34" i="25"/>
  <c r="B34" i="25"/>
  <c r="D34" i="25"/>
  <c r="A35" i="25"/>
  <c r="B35" i="25"/>
  <c r="D35" i="25"/>
  <c r="A36" i="25"/>
  <c r="B36" i="25"/>
  <c r="D36" i="25"/>
  <c r="A37" i="25"/>
  <c r="B37" i="25"/>
  <c r="D37" i="25"/>
  <c r="A38" i="25"/>
  <c r="B38" i="25"/>
  <c r="D38" i="25"/>
  <c r="A39" i="25"/>
  <c r="B39" i="25"/>
  <c r="D39" i="25"/>
  <c r="A40" i="25"/>
  <c r="B40" i="25"/>
  <c r="D40" i="25"/>
  <c r="A41" i="25"/>
  <c r="B41" i="25"/>
  <c r="D41" i="25"/>
  <c r="A42" i="25"/>
  <c r="B42" i="25"/>
  <c r="D42" i="25"/>
  <c r="A43" i="25"/>
  <c r="B43" i="25"/>
  <c r="D43" i="25"/>
  <c r="A44" i="25"/>
  <c r="B44" i="25"/>
  <c r="D44" i="25"/>
  <c r="A45" i="25"/>
  <c r="B45" i="25"/>
  <c r="D45" i="25"/>
  <c r="A46" i="25"/>
  <c r="B46" i="25"/>
  <c r="D46" i="25"/>
  <c r="A47" i="25"/>
  <c r="B47" i="25"/>
  <c r="D47" i="25"/>
  <c r="A48" i="25"/>
  <c r="B48" i="25"/>
  <c r="D48" i="25"/>
  <c r="A49" i="25"/>
  <c r="B49" i="25"/>
  <c r="D49" i="25"/>
  <c r="A50" i="25"/>
  <c r="B50" i="25"/>
  <c r="D50" i="25"/>
  <c r="A51" i="25"/>
  <c r="B51" i="25"/>
  <c r="D51" i="25"/>
  <c r="A52" i="25"/>
  <c r="B52" i="25"/>
  <c r="D52" i="25"/>
  <c r="A53" i="25"/>
  <c r="B53" i="25"/>
  <c r="D53" i="25"/>
  <c r="A54" i="25"/>
  <c r="B54" i="25"/>
  <c r="D54" i="25"/>
  <c r="A55" i="25"/>
  <c r="B55" i="25"/>
  <c r="D55" i="25"/>
  <c r="A56" i="25"/>
  <c r="B56" i="25"/>
  <c r="D56" i="25"/>
  <c r="A57" i="25"/>
  <c r="B57" i="25"/>
  <c r="D57" i="25"/>
  <c r="A58" i="25"/>
  <c r="B58" i="25"/>
  <c r="D58" i="25"/>
  <c r="A59" i="25"/>
  <c r="B59" i="25"/>
  <c r="D59" i="25"/>
  <c r="A60" i="25"/>
  <c r="B60" i="25"/>
  <c r="D60" i="25"/>
  <c r="A61" i="25"/>
  <c r="B61" i="25"/>
  <c r="D61" i="25"/>
  <c r="A62" i="25"/>
  <c r="B62" i="25"/>
  <c r="D62" i="25"/>
  <c r="A63" i="25"/>
  <c r="B63" i="25"/>
  <c r="D63" i="25"/>
  <c r="A64" i="25"/>
  <c r="B64" i="25"/>
  <c r="D64" i="25"/>
  <c r="A65" i="25"/>
  <c r="B65" i="25"/>
  <c r="D65" i="25"/>
  <c r="A66" i="25"/>
  <c r="B66" i="25"/>
  <c r="D66" i="25"/>
  <c r="A67" i="25"/>
  <c r="B67" i="25"/>
  <c r="D67" i="25"/>
  <c r="A68" i="25"/>
  <c r="B68" i="25"/>
  <c r="D68" i="25"/>
  <c r="A69" i="25"/>
  <c r="B69" i="25"/>
  <c r="D69" i="25"/>
  <c r="A70" i="25"/>
  <c r="B70" i="25"/>
  <c r="D70" i="25"/>
  <c r="A71" i="25"/>
  <c r="B71" i="25"/>
  <c r="D71" i="25"/>
  <c r="A72" i="25"/>
  <c r="B72" i="25"/>
  <c r="D72" i="25"/>
  <c r="A73" i="25"/>
  <c r="B73" i="25"/>
  <c r="D73" i="25"/>
  <c r="A74" i="25"/>
  <c r="B74" i="25"/>
  <c r="D74" i="25"/>
  <c r="A75" i="25"/>
  <c r="B75" i="25"/>
  <c r="D75" i="25"/>
  <c r="A76" i="25"/>
  <c r="B76" i="25"/>
  <c r="D76" i="25"/>
  <c r="A77" i="25"/>
  <c r="B77" i="25"/>
  <c r="D77" i="25"/>
  <c r="A78" i="25"/>
  <c r="B78" i="25"/>
  <c r="D78" i="25"/>
  <c r="A79" i="25"/>
  <c r="B79" i="25"/>
  <c r="D79" i="25"/>
  <c r="A80" i="25"/>
  <c r="B80" i="25"/>
  <c r="D80" i="25"/>
  <c r="A81" i="25"/>
  <c r="B81" i="25"/>
  <c r="D81" i="25"/>
  <c r="A82" i="25"/>
  <c r="B82" i="25"/>
  <c r="D82" i="25"/>
  <c r="A83" i="25"/>
  <c r="B83" i="25"/>
  <c r="D83" i="25"/>
  <c r="A84" i="25"/>
  <c r="B84" i="25"/>
  <c r="D84" i="25"/>
  <c r="A85" i="25"/>
  <c r="B85" i="25"/>
  <c r="D85" i="25"/>
  <c r="A86" i="25"/>
  <c r="B86" i="25"/>
  <c r="D86" i="25"/>
  <c r="A87" i="25"/>
  <c r="B87" i="25"/>
  <c r="D87" i="25"/>
  <c r="A88" i="25"/>
  <c r="B88" i="25"/>
  <c r="D88" i="25"/>
  <c r="A89" i="25"/>
  <c r="B89" i="25"/>
  <c r="D89" i="25"/>
  <c r="A90" i="25"/>
  <c r="B90" i="25"/>
  <c r="D90" i="25"/>
  <c r="A91" i="25"/>
  <c r="B91" i="25"/>
  <c r="D91" i="25"/>
  <c r="A92" i="25"/>
  <c r="B92" i="25"/>
  <c r="D92" i="25"/>
  <c r="A93" i="25"/>
  <c r="B93" i="25"/>
  <c r="D93" i="25"/>
  <c r="A94" i="25"/>
  <c r="B94" i="25"/>
  <c r="D94" i="25"/>
  <c r="A95" i="25"/>
  <c r="B95" i="25"/>
  <c r="D95" i="25"/>
  <c r="A96" i="25"/>
  <c r="B96" i="25"/>
  <c r="D96" i="25"/>
  <c r="A97" i="25"/>
  <c r="B97" i="25"/>
  <c r="D97" i="25"/>
  <c r="A98" i="25"/>
  <c r="B98" i="25"/>
  <c r="D98" i="25"/>
  <c r="A99" i="25"/>
  <c r="B99" i="25"/>
  <c r="D99" i="25"/>
  <c r="A100" i="25"/>
  <c r="B100" i="25"/>
  <c r="D100" i="25"/>
  <c r="A101" i="25"/>
  <c r="B101" i="25"/>
  <c r="D101" i="25"/>
  <c r="A102" i="25"/>
  <c r="B102" i="25"/>
  <c r="D102" i="25"/>
  <c r="A103" i="25"/>
  <c r="B103" i="25"/>
  <c r="D103" i="25"/>
  <c r="A104" i="25"/>
  <c r="B104" i="25"/>
  <c r="D104" i="25"/>
  <c r="A105" i="25"/>
  <c r="B105" i="25"/>
  <c r="D105" i="25"/>
  <c r="A106" i="25"/>
  <c r="B106" i="25"/>
  <c r="D106" i="25"/>
  <c r="A107" i="25"/>
  <c r="B107" i="25"/>
  <c r="D107" i="25"/>
  <c r="A108" i="25"/>
  <c r="B108" i="25"/>
  <c r="D108" i="25"/>
  <c r="A109" i="25"/>
  <c r="B109" i="25"/>
  <c r="D109" i="25"/>
  <c r="A110" i="25"/>
  <c r="B110" i="25"/>
  <c r="D110" i="25"/>
  <c r="A111" i="25"/>
  <c r="B111" i="25"/>
  <c r="D111" i="25"/>
  <c r="A112" i="25"/>
  <c r="B112" i="25"/>
  <c r="D112" i="25"/>
  <c r="A113" i="25"/>
  <c r="B113" i="25"/>
  <c r="D113" i="25"/>
  <c r="A114" i="25"/>
  <c r="B114" i="25"/>
  <c r="D114" i="25"/>
  <c r="A115" i="25"/>
  <c r="B115" i="25"/>
  <c r="D115" i="25"/>
  <c r="A116" i="25"/>
  <c r="B116" i="25"/>
  <c r="D116" i="25"/>
  <c r="A117" i="25"/>
  <c r="B117" i="25"/>
  <c r="D117" i="25"/>
  <c r="A118" i="25"/>
  <c r="B118" i="25"/>
  <c r="D118" i="25"/>
  <c r="A119" i="25"/>
  <c r="B119" i="25"/>
  <c r="D119" i="25"/>
  <c r="A120" i="25"/>
  <c r="B120" i="25"/>
  <c r="D120" i="25"/>
  <c r="A121" i="25"/>
  <c r="B121" i="25"/>
  <c r="D121" i="25"/>
  <c r="A122" i="25"/>
  <c r="B122" i="25"/>
  <c r="D122" i="25"/>
  <c r="A123" i="25"/>
  <c r="B123" i="25"/>
  <c r="D123" i="25"/>
  <c r="A124" i="25"/>
  <c r="B124" i="25"/>
  <c r="D124" i="25"/>
  <c r="A125" i="25"/>
  <c r="B125" i="25"/>
  <c r="D125" i="25"/>
  <c r="A126" i="25"/>
  <c r="B126" i="25"/>
  <c r="D126" i="25"/>
  <c r="A127" i="25"/>
  <c r="B127" i="25"/>
  <c r="D127" i="25"/>
  <c r="A128" i="25"/>
  <c r="B128" i="25"/>
  <c r="D128" i="25"/>
  <c r="A129" i="25"/>
  <c r="B129" i="25"/>
  <c r="D129" i="25"/>
  <c r="A130" i="25"/>
  <c r="B130" i="25"/>
  <c r="D130" i="25"/>
  <c r="A131" i="25"/>
  <c r="B131" i="25"/>
  <c r="D131" i="25"/>
  <c r="A132" i="25"/>
  <c r="B132" i="25"/>
  <c r="D132" i="25"/>
  <c r="A133" i="25"/>
  <c r="B133" i="25"/>
  <c r="D133" i="25"/>
  <c r="A134" i="25"/>
  <c r="B134" i="25"/>
  <c r="D134" i="25"/>
  <c r="A135" i="25"/>
  <c r="B135" i="25"/>
  <c r="D135" i="25"/>
  <c r="A136" i="25"/>
  <c r="B136" i="25"/>
  <c r="D136" i="25"/>
  <c r="A137" i="25"/>
  <c r="B137" i="25"/>
  <c r="D137" i="25"/>
  <c r="A138" i="25"/>
  <c r="B138" i="25"/>
  <c r="D138" i="25"/>
  <c r="A139" i="25"/>
  <c r="B139" i="25"/>
  <c r="D139" i="25"/>
  <c r="A140" i="25"/>
  <c r="B140" i="25"/>
  <c r="D140" i="25"/>
  <c r="A141" i="25"/>
  <c r="B141" i="25"/>
  <c r="D141" i="25"/>
  <c r="A142" i="25"/>
  <c r="B142" i="25"/>
  <c r="D142" i="25"/>
  <c r="A143" i="25"/>
  <c r="B143" i="25"/>
  <c r="D143" i="25"/>
  <c r="A144" i="25"/>
  <c r="B144" i="25"/>
  <c r="D144" i="25"/>
  <c r="A145" i="25"/>
  <c r="B145" i="25"/>
  <c r="D145" i="25"/>
  <c r="A146" i="25"/>
  <c r="B146" i="25"/>
  <c r="D146" i="25"/>
  <c r="A147" i="25"/>
  <c r="B147" i="25"/>
  <c r="D147" i="25"/>
  <c r="A148" i="25"/>
  <c r="B148" i="25"/>
  <c r="D148" i="25"/>
  <c r="A149" i="25"/>
  <c r="B149" i="25"/>
  <c r="D149" i="25"/>
  <c r="A150" i="25"/>
  <c r="B150" i="25"/>
  <c r="D150" i="25"/>
  <c r="A151" i="25"/>
  <c r="B151" i="25"/>
  <c r="D151" i="25"/>
  <c r="A152" i="25"/>
  <c r="B152" i="25"/>
  <c r="D152" i="25"/>
  <c r="A153" i="25"/>
  <c r="B153" i="25"/>
  <c r="D153" i="25"/>
  <c r="A154" i="25"/>
  <c r="B154" i="25"/>
  <c r="D154" i="25"/>
  <c r="A155" i="25"/>
  <c r="B155" i="25"/>
  <c r="D155" i="25"/>
  <c r="A156" i="25"/>
  <c r="B156" i="25"/>
  <c r="D156" i="25"/>
  <c r="A157" i="25"/>
  <c r="B157" i="25"/>
  <c r="D157" i="25"/>
  <c r="A158" i="25"/>
  <c r="B158" i="25"/>
  <c r="D158" i="25"/>
  <c r="A159" i="25"/>
  <c r="B159" i="25"/>
  <c r="D159" i="25"/>
  <c r="A160" i="25"/>
  <c r="B160" i="25"/>
  <c r="D160" i="25"/>
  <c r="A161" i="25"/>
  <c r="B161" i="25"/>
  <c r="D161" i="25"/>
  <c r="A162" i="25"/>
  <c r="B162" i="25"/>
  <c r="D162" i="25"/>
  <c r="A163" i="25"/>
  <c r="B163" i="25"/>
  <c r="D163" i="25"/>
  <c r="A164" i="25"/>
  <c r="B164" i="25"/>
  <c r="D164" i="25"/>
  <c r="A165" i="25"/>
  <c r="B165" i="25"/>
  <c r="D165" i="25"/>
  <c r="A166" i="25"/>
  <c r="B166" i="25"/>
  <c r="D166" i="25"/>
  <c r="A167" i="25"/>
  <c r="B167" i="25"/>
  <c r="D167" i="25"/>
  <c r="A168" i="25"/>
  <c r="B168" i="25"/>
  <c r="D168" i="25"/>
  <c r="A169" i="25"/>
  <c r="B169" i="25"/>
  <c r="D169" i="25"/>
  <c r="A170" i="25"/>
  <c r="B170" i="25"/>
  <c r="D170" i="25"/>
  <c r="A171" i="25"/>
  <c r="B171" i="25"/>
  <c r="D171" i="25"/>
  <c r="A172" i="25"/>
  <c r="B172" i="25"/>
  <c r="D172" i="25"/>
  <c r="A173" i="25"/>
  <c r="B173" i="25"/>
  <c r="D173" i="25"/>
  <c r="A174" i="25"/>
  <c r="B174" i="25"/>
  <c r="D174" i="25"/>
  <c r="A175" i="25"/>
  <c r="B175" i="25"/>
  <c r="D175" i="25"/>
  <c r="A176" i="25"/>
  <c r="B176" i="25"/>
  <c r="D176" i="25"/>
  <c r="A177" i="25"/>
  <c r="B177" i="25"/>
  <c r="D177" i="25"/>
  <c r="A178" i="25"/>
  <c r="B178" i="25"/>
  <c r="D178" i="25"/>
  <c r="A179" i="25"/>
  <c r="B179" i="25"/>
  <c r="D179" i="25"/>
  <c r="A180" i="25"/>
  <c r="B180" i="25"/>
  <c r="D180" i="25"/>
  <c r="A181" i="25"/>
  <c r="B181" i="25"/>
  <c r="D181" i="25"/>
  <c r="A182" i="25"/>
  <c r="B182" i="25"/>
  <c r="D182" i="25"/>
  <c r="A183" i="25"/>
  <c r="B183" i="25"/>
  <c r="D183" i="25"/>
  <c r="A184" i="25"/>
  <c r="B184" i="25"/>
  <c r="D184" i="25"/>
  <c r="A185" i="25"/>
  <c r="B185" i="25"/>
  <c r="D185" i="25"/>
  <c r="A186" i="25"/>
  <c r="B186" i="25"/>
  <c r="D186" i="25"/>
  <c r="A187" i="25"/>
  <c r="B187" i="25"/>
  <c r="D187" i="25"/>
  <c r="A188" i="25"/>
  <c r="B188" i="25"/>
  <c r="D188" i="25"/>
  <c r="A189" i="25"/>
  <c r="B189" i="25"/>
  <c r="D189" i="25"/>
  <c r="A190" i="25"/>
  <c r="B190" i="25"/>
  <c r="D190" i="25"/>
  <c r="A191" i="25"/>
  <c r="B191" i="25"/>
  <c r="D191" i="25"/>
  <c r="A192" i="25"/>
  <c r="B192" i="25"/>
  <c r="D192" i="25"/>
  <c r="A193" i="25"/>
  <c r="B193" i="25"/>
  <c r="D193" i="25"/>
  <c r="A194" i="25"/>
  <c r="B194" i="25"/>
  <c r="D194" i="25"/>
  <c r="A195" i="25"/>
  <c r="B195" i="25"/>
  <c r="D195" i="25"/>
  <c r="A196" i="25"/>
  <c r="B196" i="25"/>
  <c r="D196" i="25"/>
  <c r="A197" i="25"/>
  <c r="B197" i="25"/>
  <c r="D197" i="25"/>
  <c r="A198" i="25"/>
  <c r="B198" i="25"/>
  <c r="D198" i="25"/>
  <c r="A199" i="25"/>
  <c r="B199" i="25"/>
  <c r="D199" i="25"/>
  <c r="A200" i="25"/>
  <c r="B200" i="25"/>
  <c r="D200" i="25"/>
  <c r="A201" i="25"/>
  <c r="B201" i="25"/>
  <c r="D201" i="25"/>
  <c r="A202" i="25"/>
  <c r="B202" i="25"/>
  <c r="D202" i="25"/>
  <c r="A203" i="25"/>
  <c r="B203" i="25"/>
  <c r="D203" i="25"/>
  <c r="A204" i="25"/>
  <c r="B204" i="25"/>
  <c r="D204" i="25"/>
  <c r="A205" i="25"/>
  <c r="B205" i="25"/>
  <c r="D205" i="25"/>
  <c r="A206" i="25"/>
  <c r="B206" i="25"/>
  <c r="D206" i="25"/>
  <c r="A207" i="25"/>
  <c r="B207" i="25"/>
  <c r="D207" i="25"/>
  <c r="A208" i="25"/>
  <c r="B208" i="25"/>
  <c r="D208" i="25"/>
  <c r="A209" i="25"/>
  <c r="B209" i="25"/>
  <c r="D209" i="25"/>
  <c r="A210" i="25"/>
  <c r="B210" i="25"/>
  <c r="D210" i="25"/>
  <c r="A211" i="25"/>
  <c r="B211" i="25"/>
  <c r="D211" i="25"/>
  <c r="A212" i="25"/>
  <c r="B212" i="25"/>
  <c r="D212" i="25"/>
  <c r="A213" i="25"/>
  <c r="B213" i="25"/>
  <c r="D213" i="25"/>
  <c r="A214" i="25"/>
  <c r="B214" i="25"/>
  <c r="D214" i="25"/>
  <c r="A215" i="25"/>
  <c r="B215" i="25"/>
  <c r="D215" i="25"/>
  <c r="A216" i="25"/>
  <c r="B216" i="25"/>
  <c r="D216" i="25"/>
  <c r="A217" i="25"/>
  <c r="B217" i="25"/>
  <c r="D217" i="25"/>
  <c r="A218" i="25"/>
  <c r="B218" i="25"/>
  <c r="D218" i="25"/>
  <c r="A219" i="25"/>
  <c r="B219" i="25"/>
  <c r="D219" i="25"/>
  <c r="A220" i="25"/>
  <c r="B220" i="25"/>
  <c r="D220" i="25"/>
  <c r="A221" i="25"/>
  <c r="B221" i="25"/>
  <c r="D221" i="25"/>
  <c r="A222" i="25"/>
  <c r="B222" i="25"/>
  <c r="D222" i="25"/>
  <c r="A223" i="25"/>
  <c r="B223" i="25"/>
  <c r="D223" i="25"/>
  <c r="A224" i="25"/>
  <c r="B224" i="25"/>
  <c r="D224" i="25"/>
  <c r="A225" i="25"/>
  <c r="B225" i="25"/>
  <c r="D225" i="25"/>
  <c r="A226" i="25"/>
  <c r="B226" i="25"/>
  <c r="D226" i="25"/>
  <c r="A227" i="25"/>
  <c r="B227" i="25"/>
  <c r="D227" i="25"/>
  <c r="A228" i="25"/>
  <c r="B228" i="25"/>
  <c r="D228" i="25"/>
  <c r="A229" i="25"/>
  <c r="B229" i="25"/>
  <c r="D229" i="25"/>
  <c r="A230" i="25"/>
  <c r="B230" i="25"/>
  <c r="D230" i="25"/>
  <c r="A231" i="25"/>
  <c r="B231" i="25"/>
  <c r="D231" i="25"/>
  <c r="A232" i="25"/>
  <c r="B232" i="25"/>
  <c r="D232" i="25"/>
  <c r="A233" i="25"/>
  <c r="B233" i="25"/>
  <c r="D233" i="25"/>
  <c r="A234" i="25"/>
  <c r="B234" i="25"/>
  <c r="D234" i="25"/>
  <c r="A235" i="25"/>
  <c r="B235" i="25"/>
  <c r="D235" i="25"/>
  <c r="A236" i="25"/>
  <c r="B236" i="25"/>
  <c r="D236" i="25"/>
  <c r="A237" i="25"/>
  <c r="B237" i="25"/>
  <c r="D237" i="25"/>
  <c r="A238" i="25"/>
  <c r="B238" i="25"/>
  <c r="D238" i="25"/>
  <c r="A239" i="25"/>
  <c r="B239" i="25"/>
  <c r="D239" i="25"/>
  <c r="A240" i="25"/>
  <c r="B240" i="25"/>
  <c r="D240" i="25"/>
  <c r="A241" i="25"/>
  <c r="B241" i="25"/>
  <c r="D241" i="25"/>
  <c r="A242" i="25"/>
  <c r="B242" i="25"/>
  <c r="D242" i="25"/>
  <c r="A243" i="25"/>
  <c r="B243" i="25"/>
  <c r="D243" i="25"/>
  <c r="A244" i="25"/>
  <c r="B244" i="25"/>
  <c r="D244" i="25"/>
  <c r="A245" i="25"/>
  <c r="B245" i="25"/>
  <c r="D245" i="25"/>
  <c r="A246" i="25"/>
  <c r="B246" i="25"/>
  <c r="D246" i="25"/>
  <c r="A247" i="25"/>
  <c r="B247" i="25"/>
  <c r="D247" i="25"/>
  <c r="A248" i="25"/>
  <c r="B248" i="25"/>
  <c r="D248" i="25"/>
  <c r="A249" i="25"/>
  <c r="B249" i="25"/>
  <c r="D249" i="25"/>
  <c r="A250" i="25"/>
  <c r="B250" i="25"/>
  <c r="D250" i="25"/>
  <c r="A251" i="25"/>
  <c r="B251" i="25"/>
  <c r="D251" i="25"/>
  <c r="A252" i="25"/>
  <c r="B252" i="25"/>
  <c r="D252" i="25"/>
  <c r="A253" i="25"/>
  <c r="B253" i="25"/>
  <c r="D253" i="25"/>
  <c r="A254" i="25"/>
  <c r="B254" i="25"/>
  <c r="D254" i="25"/>
  <c r="A255" i="25"/>
  <c r="B255" i="25"/>
  <c r="D255" i="25"/>
  <c r="A256" i="25"/>
  <c r="B256" i="25"/>
  <c r="D256" i="25"/>
  <c r="A257" i="25"/>
  <c r="B257" i="25"/>
  <c r="D257" i="25"/>
  <c r="A258" i="25"/>
  <c r="B258" i="25"/>
  <c r="D258" i="25"/>
  <c r="A259" i="25"/>
  <c r="B259" i="25"/>
  <c r="D259" i="25"/>
  <c r="A260" i="25"/>
  <c r="B260" i="25"/>
  <c r="D260" i="25"/>
  <c r="A261" i="25"/>
  <c r="B261" i="25"/>
  <c r="D261" i="25"/>
  <c r="A262" i="25"/>
  <c r="B262" i="25"/>
  <c r="D262" i="25"/>
  <c r="A263" i="25"/>
  <c r="B263" i="25"/>
  <c r="D263" i="25"/>
  <c r="A264" i="25"/>
  <c r="B264" i="25"/>
  <c r="D264" i="25"/>
  <c r="A265" i="25"/>
  <c r="B265" i="25"/>
  <c r="D265" i="25"/>
  <c r="A266" i="25"/>
  <c r="B266" i="25"/>
  <c r="D266" i="25"/>
  <c r="A267" i="25"/>
  <c r="B267" i="25"/>
  <c r="D267" i="25"/>
  <c r="A268" i="25"/>
  <c r="B268" i="25"/>
  <c r="D268" i="25"/>
  <c r="A269" i="25"/>
  <c r="B269" i="25"/>
  <c r="D269" i="25"/>
  <c r="A270" i="25"/>
  <c r="B270" i="25"/>
  <c r="D270" i="25"/>
  <c r="A271" i="25"/>
  <c r="B271" i="25"/>
  <c r="D271" i="25"/>
  <c r="A272" i="25"/>
  <c r="B272" i="25"/>
  <c r="D272" i="25"/>
  <c r="A273" i="25"/>
  <c r="B273" i="25"/>
  <c r="D273" i="25"/>
  <c r="A274" i="25"/>
  <c r="B274" i="25"/>
  <c r="D274" i="25"/>
  <c r="A275" i="25"/>
  <c r="B275" i="25"/>
  <c r="D275" i="25"/>
  <c r="A276" i="25"/>
  <c r="B276" i="25"/>
  <c r="D276" i="25"/>
  <c r="A277" i="25"/>
  <c r="B277" i="25"/>
  <c r="D277" i="25"/>
  <c r="A278" i="25"/>
  <c r="B278" i="25"/>
  <c r="D278" i="25"/>
  <c r="A279" i="25"/>
  <c r="B279" i="25"/>
  <c r="D279" i="25"/>
  <c r="A280" i="25"/>
  <c r="B280" i="25"/>
  <c r="D280" i="25"/>
  <c r="A281" i="25"/>
  <c r="B281" i="25"/>
  <c r="D281" i="25"/>
  <c r="A282" i="25"/>
  <c r="B282" i="25"/>
  <c r="D282" i="25"/>
  <c r="A283" i="25"/>
  <c r="B283" i="25"/>
  <c r="D283" i="25"/>
  <c r="A284" i="25"/>
  <c r="B284" i="25"/>
  <c r="D284" i="25"/>
  <c r="A285" i="25"/>
  <c r="B285" i="25"/>
  <c r="D285" i="25"/>
  <c r="A286" i="25"/>
  <c r="B286" i="25"/>
  <c r="D286" i="25"/>
  <c r="A287" i="25"/>
  <c r="B287" i="25"/>
  <c r="D287" i="25"/>
  <c r="A288" i="25"/>
  <c r="B288" i="25"/>
  <c r="D288" i="25"/>
  <c r="A289" i="25"/>
  <c r="B289" i="25"/>
  <c r="D289" i="25"/>
  <c r="A290" i="25"/>
  <c r="B290" i="25"/>
  <c r="D290" i="25"/>
  <c r="A291" i="25"/>
  <c r="B291" i="25"/>
  <c r="D291" i="25"/>
  <c r="A292" i="25"/>
  <c r="B292" i="25"/>
  <c r="D292" i="25"/>
  <c r="A293" i="25"/>
  <c r="B293" i="25"/>
  <c r="D293" i="25"/>
  <c r="A294" i="25"/>
  <c r="B294" i="25"/>
  <c r="D294" i="25"/>
  <c r="A295" i="25"/>
  <c r="B295" i="25"/>
  <c r="D295" i="25"/>
  <c r="A296" i="25"/>
  <c r="B296" i="25"/>
  <c r="D296" i="25"/>
  <c r="A297" i="25"/>
  <c r="B297" i="25"/>
  <c r="D297" i="25"/>
  <c r="A298" i="25"/>
  <c r="B298" i="25"/>
  <c r="D298" i="25"/>
  <c r="A299" i="25"/>
  <c r="B299" i="25"/>
  <c r="D299" i="25"/>
  <c r="A300" i="25"/>
  <c r="B300" i="25"/>
  <c r="D300" i="25"/>
  <c r="A301" i="25"/>
  <c r="B301" i="25"/>
  <c r="D301" i="25"/>
  <c r="A302" i="25"/>
  <c r="B302" i="25"/>
  <c r="D302" i="25"/>
  <c r="A303" i="25"/>
  <c r="B303" i="25"/>
  <c r="D303" i="25"/>
  <c r="A304" i="25"/>
  <c r="B304" i="25"/>
  <c r="D304" i="25"/>
  <c r="D7" i="49"/>
  <c r="E7" i="49"/>
  <c r="D8" i="49"/>
  <c r="E8" i="49"/>
  <c r="D9" i="49"/>
  <c r="E9" i="49"/>
  <c r="D10" i="49"/>
  <c r="E10" i="49"/>
  <c r="D11" i="49"/>
  <c r="E11" i="49"/>
  <c r="D12" i="49"/>
  <c r="E12" i="49"/>
  <c r="D13" i="49"/>
  <c r="E13" i="49"/>
  <c r="D14" i="49"/>
  <c r="E14" i="49"/>
  <c r="D15" i="49"/>
  <c r="E15" i="49"/>
  <c r="D16" i="49"/>
  <c r="E16" i="49"/>
  <c r="D17" i="49"/>
  <c r="E17" i="49"/>
  <c r="D18" i="49"/>
  <c r="E18" i="49"/>
  <c r="D19" i="49"/>
  <c r="E19" i="49"/>
  <c r="D20" i="49"/>
  <c r="E20" i="49"/>
  <c r="D21" i="49"/>
  <c r="E21" i="49"/>
  <c r="D22" i="49"/>
  <c r="E22" i="49"/>
  <c r="D23" i="49"/>
  <c r="E23" i="49"/>
  <c r="D24" i="49"/>
  <c r="E24" i="49"/>
  <c r="D25" i="49"/>
  <c r="E25" i="49"/>
  <c r="D26" i="49"/>
  <c r="E26" i="49"/>
  <c r="D27" i="49"/>
  <c r="E27" i="49"/>
  <c r="D28" i="49"/>
  <c r="E28" i="49"/>
  <c r="D29" i="49"/>
  <c r="E29" i="49"/>
  <c r="D30" i="49"/>
  <c r="E30" i="49"/>
  <c r="D31" i="49"/>
  <c r="E31" i="49"/>
  <c r="D32" i="49"/>
  <c r="E32" i="49"/>
  <c r="D33" i="49"/>
  <c r="E33" i="49"/>
  <c r="D34" i="49"/>
  <c r="E34" i="49"/>
  <c r="D35" i="49"/>
  <c r="E35" i="49"/>
  <c r="D36" i="49"/>
  <c r="E36" i="49"/>
  <c r="D37" i="49"/>
  <c r="E37" i="49"/>
  <c r="D38" i="49"/>
  <c r="E38" i="49"/>
  <c r="D39" i="49"/>
  <c r="E39" i="49"/>
  <c r="D40" i="49"/>
  <c r="E40" i="49"/>
  <c r="D41" i="49"/>
  <c r="E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63" i="49"/>
  <c r="E63" i="49"/>
  <c r="D64" i="49"/>
  <c r="E64" i="49"/>
  <c r="D65" i="49"/>
  <c r="E65" i="49"/>
  <c r="D66" i="49"/>
  <c r="E66" i="49"/>
  <c r="D67" i="49"/>
  <c r="E67" i="49"/>
  <c r="D68" i="49"/>
  <c r="E68" i="49"/>
  <c r="D69" i="49"/>
  <c r="E69" i="49"/>
  <c r="D70" i="49"/>
  <c r="E70" i="49"/>
  <c r="D71" i="49"/>
  <c r="E71" i="49"/>
  <c r="D72" i="49"/>
  <c r="E72" i="49"/>
  <c r="D73" i="49"/>
  <c r="E73" i="49"/>
  <c r="D74" i="49"/>
  <c r="E74" i="49"/>
  <c r="D75" i="49"/>
  <c r="E75" i="49"/>
  <c r="D76" i="49"/>
  <c r="E76" i="49"/>
  <c r="D77" i="49"/>
  <c r="E77" i="49"/>
  <c r="D78" i="49"/>
  <c r="E78" i="49"/>
  <c r="D79" i="49"/>
  <c r="E79" i="49"/>
  <c r="D80" i="49"/>
  <c r="E80" i="49"/>
  <c r="D81" i="49"/>
  <c r="E81" i="49"/>
  <c r="D82" i="49"/>
  <c r="E82" i="49"/>
  <c r="D83" i="49"/>
  <c r="E83" i="49"/>
  <c r="D84" i="49"/>
  <c r="E84" i="49"/>
  <c r="D85" i="49"/>
  <c r="E85" i="49"/>
  <c r="D86" i="49"/>
  <c r="E86" i="49"/>
  <c r="D87" i="49"/>
  <c r="E87" i="49"/>
  <c r="D88" i="49"/>
  <c r="E88" i="49"/>
  <c r="D89" i="49"/>
  <c r="E89" i="49"/>
  <c r="D90" i="49"/>
  <c r="E90" i="49"/>
  <c r="D91" i="49"/>
  <c r="E91" i="49"/>
  <c r="D92" i="49"/>
  <c r="E92" i="49"/>
  <c r="D93" i="49"/>
  <c r="E93" i="49"/>
  <c r="D94" i="49"/>
  <c r="E94" i="49"/>
  <c r="D95" i="49"/>
  <c r="E95" i="49"/>
  <c r="D96" i="49"/>
  <c r="E96" i="49"/>
  <c r="D97" i="49"/>
  <c r="E97" i="49"/>
  <c r="D98" i="49"/>
  <c r="E98" i="49"/>
  <c r="D99" i="49"/>
  <c r="E99" i="49"/>
  <c r="D100" i="49"/>
  <c r="E100" i="49"/>
  <c r="D101" i="49"/>
  <c r="E101" i="49"/>
  <c r="D102" i="49"/>
  <c r="E102" i="49"/>
  <c r="D103" i="49"/>
  <c r="E103" i="49"/>
  <c r="D104" i="49"/>
  <c r="E104" i="49"/>
  <c r="D105" i="49"/>
  <c r="E105" i="49"/>
  <c r="D106" i="49"/>
  <c r="E106" i="49"/>
  <c r="D107" i="49"/>
  <c r="E107" i="49"/>
  <c r="D108" i="49"/>
  <c r="E108" i="49"/>
  <c r="D109" i="49"/>
  <c r="E109" i="49"/>
  <c r="D110" i="49"/>
  <c r="E110" i="49"/>
  <c r="D111" i="49"/>
  <c r="E111" i="49"/>
  <c r="D112" i="49"/>
  <c r="E112" i="49"/>
  <c r="D113" i="49"/>
  <c r="E113" i="49"/>
  <c r="D114" i="49"/>
  <c r="E114" i="49"/>
  <c r="D115" i="49"/>
  <c r="E115" i="49"/>
  <c r="D116" i="49"/>
  <c r="E116" i="49"/>
  <c r="D117" i="49"/>
  <c r="E117" i="49"/>
  <c r="D118" i="49"/>
  <c r="E118" i="49"/>
  <c r="D119" i="49"/>
  <c r="E119" i="49"/>
  <c r="D120" i="49"/>
  <c r="E120" i="49"/>
  <c r="D121" i="49"/>
  <c r="E121" i="49"/>
  <c r="D122" i="49"/>
  <c r="E122" i="49"/>
  <c r="D123" i="49"/>
  <c r="E123" i="49"/>
  <c r="D124" i="49"/>
  <c r="E124" i="49"/>
  <c r="D125" i="49"/>
  <c r="E125" i="49"/>
  <c r="D126" i="49"/>
  <c r="E126" i="49"/>
  <c r="D127" i="49"/>
  <c r="E127" i="49"/>
  <c r="D128" i="49"/>
  <c r="E128" i="49"/>
  <c r="D129" i="49"/>
  <c r="E129" i="49"/>
  <c r="D130" i="49"/>
  <c r="E130" i="49"/>
  <c r="D131" i="49"/>
  <c r="E131" i="49"/>
  <c r="D132" i="49"/>
  <c r="E132" i="49"/>
  <c r="D133" i="49"/>
  <c r="E133" i="49"/>
  <c r="D134" i="49"/>
  <c r="E134" i="49"/>
  <c r="D135" i="49"/>
  <c r="E135" i="49"/>
  <c r="D136" i="49"/>
  <c r="E136" i="49"/>
  <c r="D137" i="49"/>
  <c r="E137" i="49"/>
  <c r="D138" i="49"/>
  <c r="E138" i="49"/>
  <c r="D139" i="49"/>
  <c r="E139" i="49"/>
  <c r="D140" i="49"/>
  <c r="E140" i="49"/>
  <c r="D141" i="49"/>
  <c r="E141" i="49"/>
  <c r="D142" i="49"/>
  <c r="E142" i="49"/>
  <c r="D143" i="49"/>
  <c r="E143" i="49"/>
  <c r="D144" i="49"/>
  <c r="E144" i="49"/>
  <c r="D145" i="49"/>
  <c r="E145" i="49"/>
  <c r="D146" i="49"/>
  <c r="E146" i="49"/>
  <c r="D147" i="49"/>
  <c r="E147" i="49"/>
  <c r="D148" i="49"/>
  <c r="E148" i="49"/>
  <c r="D149" i="49"/>
  <c r="E149" i="49"/>
  <c r="D150" i="49"/>
  <c r="E150" i="49"/>
  <c r="D151" i="49"/>
  <c r="E151" i="49"/>
  <c r="D152" i="49"/>
  <c r="E152" i="49"/>
  <c r="D153" i="49"/>
  <c r="E153" i="49"/>
  <c r="D154" i="49"/>
  <c r="E154" i="49"/>
  <c r="D155" i="49"/>
  <c r="E155" i="49"/>
  <c r="D156" i="49"/>
  <c r="E156" i="49"/>
  <c r="D157" i="49"/>
  <c r="E157" i="49"/>
  <c r="D158" i="49"/>
  <c r="E158" i="49"/>
  <c r="D159" i="49"/>
  <c r="E159" i="49"/>
  <c r="D160" i="49"/>
  <c r="E160" i="49"/>
  <c r="D161" i="49"/>
  <c r="E161" i="49"/>
  <c r="D162" i="49"/>
  <c r="E162" i="49"/>
  <c r="D163" i="49"/>
  <c r="E163" i="49"/>
  <c r="D164" i="49"/>
  <c r="E164" i="49"/>
  <c r="D165" i="49"/>
  <c r="E165" i="49"/>
  <c r="D166" i="49"/>
  <c r="E166" i="49"/>
  <c r="D167" i="49"/>
  <c r="E167" i="49"/>
  <c r="D168" i="49"/>
  <c r="E168" i="49"/>
  <c r="D169" i="49"/>
  <c r="E169" i="49"/>
  <c r="D170" i="49"/>
  <c r="E170" i="49"/>
  <c r="D171" i="49"/>
  <c r="E171" i="49"/>
  <c r="D172" i="49"/>
  <c r="E172" i="49"/>
  <c r="D173" i="49"/>
  <c r="E173" i="49"/>
  <c r="D174" i="49"/>
  <c r="E174" i="49"/>
  <c r="D175" i="49"/>
  <c r="E175" i="49"/>
  <c r="D176" i="49"/>
  <c r="E176" i="49"/>
  <c r="D177" i="49"/>
  <c r="E177" i="49"/>
  <c r="D178" i="49"/>
  <c r="E178" i="49"/>
  <c r="D179" i="49"/>
  <c r="E179" i="49"/>
  <c r="D180" i="49"/>
  <c r="E180" i="49"/>
  <c r="D181" i="49"/>
  <c r="E181" i="49"/>
  <c r="D182" i="49"/>
  <c r="E182" i="49"/>
  <c r="D183" i="49"/>
  <c r="E183" i="49"/>
  <c r="D184" i="49"/>
  <c r="E184" i="49"/>
  <c r="D185" i="49"/>
  <c r="E185" i="49"/>
  <c r="D186" i="49"/>
  <c r="E186" i="49"/>
  <c r="D187" i="49"/>
  <c r="E187" i="49"/>
  <c r="D188" i="49"/>
  <c r="E188" i="49"/>
  <c r="D189" i="49"/>
  <c r="E189" i="49"/>
  <c r="D190" i="49"/>
  <c r="E190" i="49"/>
  <c r="D191" i="49"/>
  <c r="E191" i="49"/>
  <c r="D192" i="49"/>
  <c r="E192" i="49"/>
  <c r="D193" i="49"/>
  <c r="E193" i="49"/>
  <c r="D194" i="49"/>
  <c r="E194" i="49"/>
  <c r="D195" i="49"/>
  <c r="E195" i="49"/>
  <c r="D196" i="49"/>
  <c r="E196" i="49"/>
  <c r="D197" i="49"/>
  <c r="E197" i="49"/>
  <c r="D198" i="49"/>
  <c r="E198" i="49"/>
  <c r="D199" i="49"/>
  <c r="E199" i="49"/>
  <c r="D200" i="49"/>
  <c r="E200" i="49"/>
  <c r="D201" i="49"/>
  <c r="E201" i="49"/>
  <c r="D202" i="49"/>
  <c r="E202" i="49"/>
  <c r="D203" i="49"/>
  <c r="E203" i="49"/>
  <c r="D204" i="49"/>
  <c r="E204" i="49"/>
  <c r="D205" i="49"/>
  <c r="E205" i="49"/>
  <c r="D206" i="49"/>
  <c r="E206" i="49"/>
  <c r="D207" i="49"/>
  <c r="E207" i="49"/>
  <c r="D208" i="49"/>
  <c r="E208" i="49"/>
  <c r="D209" i="49"/>
  <c r="E209" i="49"/>
  <c r="D210" i="49"/>
  <c r="E210" i="49"/>
  <c r="D211" i="49"/>
  <c r="E211" i="49"/>
  <c r="D212" i="49"/>
  <c r="E212" i="49"/>
  <c r="D213" i="49"/>
  <c r="E213" i="49"/>
  <c r="D214" i="49"/>
  <c r="E214" i="49"/>
  <c r="D215" i="49"/>
  <c r="E215" i="49"/>
  <c r="D216" i="49"/>
  <c r="E216" i="49"/>
  <c r="D217" i="49"/>
  <c r="E217" i="49"/>
  <c r="D218" i="49"/>
  <c r="E218" i="49"/>
  <c r="D219" i="49"/>
  <c r="E219" i="49"/>
  <c r="D220" i="49"/>
  <c r="E220" i="49"/>
  <c r="D221" i="49"/>
  <c r="E221" i="49"/>
  <c r="D222" i="49"/>
  <c r="E222" i="49"/>
  <c r="D223" i="49"/>
  <c r="E223" i="49"/>
  <c r="D224" i="49"/>
  <c r="E224" i="49"/>
  <c r="D225" i="49"/>
  <c r="E225" i="49"/>
  <c r="D226" i="49"/>
  <c r="E226" i="49"/>
  <c r="D227" i="49"/>
  <c r="E227" i="49"/>
  <c r="D228" i="49"/>
  <c r="E228" i="49"/>
  <c r="D229" i="49"/>
  <c r="E229" i="49"/>
  <c r="D230" i="49"/>
  <c r="E230" i="49"/>
  <c r="D231" i="49"/>
  <c r="E231" i="49"/>
  <c r="D232" i="49"/>
  <c r="E232" i="49"/>
  <c r="D233" i="49"/>
  <c r="E233" i="49"/>
  <c r="D234" i="49"/>
  <c r="E234" i="49"/>
  <c r="D235" i="49"/>
  <c r="E235" i="49"/>
  <c r="D236" i="49"/>
  <c r="E236" i="49"/>
  <c r="D237" i="49"/>
  <c r="E237" i="49"/>
  <c r="D238" i="49"/>
  <c r="E238" i="49"/>
  <c r="D239" i="49"/>
  <c r="E239" i="49"/>
  <c r="D240" i="49"/>
  <c r="E240" i="49"/>
  <c r="D241" i="49"/>
  <c r="E241" i="49"/>
  <c r="D242" i="49"/>
  <c r="E242" i="49"/>
  <c r="D243" i="49"/>
  <c r="E243" i="49"/>
  <c r="D244" i="49"/>
  <c r="E244" i="49"/>
  <c r="D245" i="49"/>
  <c r="E245" i="49"/>
  <c r="D246" i="49"/>
  <c r="E246" i="49"/>
  <c r="D247" i="49"/>
  <c r="E247" i="49"/>
  <c r="D248" i="49"/>
  <c r="E248" i="49"/>
  <c r="D249" i="49"/>
  <c r="E249" i="49"/>
  <c r="D250" i="49"/>
  <c r="E250" i="49"/>
  <c r="D251" i="49"/>
  <c r="E251" i="49"/>
  <c r="D252" i="49"/>
  <c r="E252" i="49"/>
  <c r="D253" i="49"/>
  <c r="E253" i="49"/>
  <c r="D254" i="49"/>
  <c r="E254" i="49"/>
  <c r="D255" i="49"/>
  <c r="E255" i="49"/>
  <c r="D256" i="49"/>
  <c r="E256" i="49"/>
  <c r="D257" i="49"/>
  <c r="E257" i="49"/>
  <c r="D258" i="49"/>
  <c r="E258" i="49"/>
  <c r="D259" i="49"/>
  <c r="E259" i="49"/>
  <c r="D260" i="49"/>
  <c r="E260" i="49"/>
  <c r="D261" i="49"/>
  <c r="E261" i="49"/>
  <c r="D262" i="49"/>
  <c r="E262" i="49"/>
  <c r="D263" i="49"/>
  <c r="E263" i="49"/>
  <c r="D264" i="49"/>
  <c r="E264" i="49"/>
  <c r="D265" i="49"/>
  <c r="E265" i="49"/>
  <c r="D266" i="49"/>
  <c r="E266" i="49"/>
  <c r="D267" i="49"/>
  <c r="E267" i="49"/>
  <c r="D268" i="49"/>
  <c r="E268" i="49"/>
  <c r="D269" i="49"/>
  <c r="E269" i="49"/>
  <c r="D270" i="49"/>
  <c r="E270" i="49"/>
  <c r="D271" i="49"/>
  <c r="E271" i="49"/>
  <c r="D272" i="49"/>
  <c r="E272" i="49"/>
  <c r="D273" i="49"/>
  <c r="E273" i="49"/>
  <c r="D274" i="49"/>
  <c r="E274" i="49"/>
  <c r="D275" i="49"/>
  <c r="E275" i="49"/>
  <c r="D276" i="49"/>
  <c r="E276" i="49"/>
  <c r="D277" i="49"/>
  <c r="E277" i="49"/>
  <c r="D278" i="49"/>
  <c r="E278" i="49"/>
  <c r="D279" i="49"/>
  <c r="E279" i="49"/>
  <c r="D280" i="49"/>
  <c r="E280" i="49"/>
  <c r="D281" i="49"/>
  <c r="E281" i="49"/>
  <c r="D282" i="49"/>
  <c r="E282" i="49"/>
  <c r="D283" i="49"/>
  <c r="E283" i="49"/>
  <c r="D284" i="49"/>
  <c r="E284" i="49"/>
  <c r="D285" i="49"/>
  <c r="E285" i="49"/>
  <c r="D286" i="49"/>
  <c r="E286" i="49"/>
  <c r="D287" i="49"/>
  <c r="E287" i="49"/>
  <c r="D288" i="49"/>
  <c r="E288" i="49"/>
  <c r="D289" i="49"/>
  <c r="E289" i="49"/>
  <c r="D290" i="49"/>
  <c r="E290" i="49"/>
  <c r="D291" i="49"/>
  <c r="E291" i="49"/>
  <c r="D292" i="49"/>
  <c r="E292" i="49"/>
  <c r="D293" i="49"/>
  <c r="E293" i="49"/>
  <c r="D294" i="49"/>
  <c r="E294" i="49"/>
  <c r="D295" i="49"/>
  <c r="E295" i="49"/>
  <c r="D296" i="49"/>
  <c r="E296" i="49"/>
  <c r="D297" i="49"/>
  <c r="E297" i="49"/>
  <c r="D298" i="49"/>
  <c r="E298" i="49"/>
  <c r="D299" i="49"/>
  <c r="E299" i="49"/>
  <c r="D300" i="49"/>
  <c r="E300" i="49"/>
  <c r="D301" i="49"/>
  <c r="E301" i="49"/>
  <c r="D302" i="49"/>
  <c r="E302" i="49"/>
  <c r="D303" i="49"/>
  <c r="E303" i="49"/>
  <c r="D304" i="49"/>
  <c r="E304" i="49"/>
  <c r="D305" i="49"/>
  <c r="E305" i="49"/>
  <c r="A7" i="13"/>
  <c r="B7" i="13"/>
  <c r="A8" i="13"/>
  <c r="B8" i="13"/>
  <c r="A9" i="13"/>
  <c r="B9" i="13"/>
  <c r="A10" i="13"/>
  <c r="B10" i="13"/>
  <c r="A11" i="13"/>
  <c r="B11" i="13"/>
  <c r="A12" i="13"/>
  <c r="B12" i="13"/>
  <c r="A13" i="13"/>
  <c r="B13" i="13"/>
  <c r="A14" i="13"/>
  <c r="B14" i="13"/>
  <c r="A15" i="13"/>
  <c r="B15" i="13"/>
  <c r="A16" i="13"/>
  <c r="B16" i="13"/>
  <c r="A17" i="13"/>
  <c r="B17" i="13"/>
  <c r="A18" i="13"/>
  <c r="B18" i="13"/>
  <c r="A19" i="13"/>
  <c r="B19" i="13"/>
  <c r="A20" i="13"/>
  <c r="B20" i="13"/>
  <c r="A21" i="13"/>
  <c r="B21" i="13"/>
  <c r="A22" i="13"/>
  <c r="B22" i="13"/>
  <c r="A23" i="13"/>
  <c r="B23" i="13"/>
  <c r="A24" i="13"/>
  <c r="B24" i="13"/>
  <c r="A25" i="13"/>
  <c r="B25" i="13"/>
  <c r="A26" i="13"/>
  <c r="B26" i="13"/>
  <c r="A27" i="13"/>
  <c r="B27"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41" i="13"/>
  <c r="B41" i="13"/>
  <c r="A42" i="13"/>
  <c r="B42" i="13"/>
  <c r="A43" i="13"/>
  <c r="B43" i="13"/>
  <c r="A44" i="13"/>
  <c r="B44" i="13"/>
  <c r="A45" i="13"/>
  <c r="B45" i="13"/>
  <c r="A46" i="13"/>
  <c r="B46" i="13"/>
  <c r="A47" i="13"/>
  <c r="B47" i="13"/>
  <c r="A48" i="13"/>
  <c r="B48" i="13"/>
  <c r="A49" i="13"/>
  <c r="B49" i="13"/>
  <c r="A50" i="13"/>
  <c r="B50" i="13"/>
  <c r="A51" i="13"/>
  <c r="B51" i="13"/>
  <c r="A52" i="13"/>
  <c r="B52" i="13"/>
  <c r="A53" i="13"/>
  <c r="B53" i="13"/>
  <c r="A54" i="13"/>
  <c r="B54" i="13"/>
  <c r="A55" i="13"/>
  <c r="B55" i="13"/>
  <c r="A56" i="13"/>
  <c r="B56" i="13"/>
  <c r="A57" i="13"/>
  <c r="B57" i="13"/>
  <c r="A58" i="13"/>
  <c r="B58" i="13"/>
  <c r="A59" i="13"/>
  <c r="B59" i="13"/>
  <c r="A60" i="13"/>
  <c r="B60" i="13"/>
  <c r="A61" i="13"/>
  <c r="B61" i="13"/>
  <c r="A62" i="13"/>
  <c r="B62" i="13"/>
  <c r="A63" i="13"/>
  <c r="B63" i="13"/>
  <c r="A64" i="13"/>
  <c r="B64" i="13"/>
  <c r="A65" i="13"/>
  <c r="B65" i="13"/>
  <c r="A66" i="13"/>
  <c r="B66" i="13"/>
  <c r="A67" i="13"/>
  <c r="B67" i="13"/>
  <c r="A68" i="13"/>
  <c r="B68" i="13"/>
  <c r="A69" i="13"/>
  <c r="B69" i="13"/>
  <c r="A70" i="13"/>
  <c r="B70" i="13"/>
  <c r="A71" i="13"/>
  <c r="B71" i="13"/>
  <c r="A72" i="13"/>
  <c r="B72" i="13"/>
  <c r="A73" i="13"/>
  <c r="B73" i="13"/>
  <c r="A74" i="13"/>
  <c r="B74" i="13"/>
  <c r="A75" i="13"/>
  <c r="B75" i="13"/>
  <c r="A76" i="13"/>
  <c r="B76" i="13"/>
  <c r="A77" i="13"/>
  <c r="B77" i="13"/>
  <c r="A78" i="13"/>
  <c r="B78" i="13"/>
  <c r="A79" i="13"/>
  <c r="B79" i="13"/>
  <c r="A80" i="13"/>
  <c r="B80" i="13"/>
  <c r="A81" i="13"/>
  <c r="B81" i="13"/>
  <c r="A82" i="13"/>
  <c r="B82" i="13"/>
  <c r="A83" i="13"/>
  <c r="B83" i="13"/>
  <c r="A84" i="13"/>
  <c r="B84" i="13"/>
  <c r="A85" i="13"/>
  <c r="B85" i="13"/>
  <c r="A86" i="13"/>
  <c r="B86" i="13"/>
  <c r="A87" i="13"/>
  <c r="B87" i="13"/>
  <c r="A88" i="13"/>
  <c r="B88" i="13"/>
  <c r="A89" i="13"/>
  <c r="B89" i="13"/>
  <c r="A90" i="13"/>
  <c r="B90" i="13"/>
  <c r="A91" i="13"/>
  <c r="B91" i="13"/>
  <c r="A92" i="13"/>
  <c r="B92" i="13"/>
  <c r="A93" i="13"/>
  <c r="B93" i="13"/>
  <c r="A94" i="13"/>
  <c r="B94" i="13"/>
  <c r="A95" i="13"/>
  <c r="B95" i="13"/>
  <c r="A96" i="13"/>
  <c r="B96" i="13"/>
  <c r="A97" i="13"/>
  <c r="B97" i="13"/>
  <c r="A98" i="13"/>
  <c r="B98" i="13"/>
  <c r="A99" i="13"/>
  <c r="B99" i="13"/>
  <c r="A100" i="13"/>
  <c r="B100" i="13"/>
  <c r="A101" i="13"/>
  <c r="B101" i="13"/>
  <c r="A102" i="13"/>
  <c r="B102" i="13"/>
  <c r="A103" i="13"/>
  <c r="B103" i="13"/>
  <c r="A104" i="13"/>
  <c r="B104" i="13"/>
  <c r="A105" i="13"/>
  <c r="B105" i="13"/>
  <c r="A106" i="13"/>
  <c r="B106" i="13"/>
  <c r="A107" i="13"/>
  <c r="B107" i="13"/>
  <c r="A108" i="13"/>
  <c r="B108" i="13"/>
  <c r="A109" i="13"/>
  <c r="B109" i="13"/>
  <c r="A110" i="13"/>
  <c r="B110" i="13"/>
  <c r="A111" i="13"/>
  <c r="B111" i="13"/>
  <c r="A112" i="13"/>
  <c r="B112" i="13"/>
  <c r="A113" i="13"/>
  <c r="B113" i="13"/>
  <c r="A114" i="13"/>
  <c r="B114" i="13"/>
  <c r="A115" i="13"/>
  <c r="B115" i="13"/>
  <c r="A116" i="13"/>
  <c r="B116" i="13"/>
  <c r="A117" i="13"/>
  <c r="B117" i="13"/>
  <c r="A118" i="13"/>
  <c r="B118" i="13"/>
  <c r="A119" i="13"/>
  <c r="B119" i="13"/>
  <c r="A120" i="13"/>
  <c r="B120" i="13"/>
  <c r="A121" i="13"/>
  <c r="B121" i="13"/>
  <c r="A122" i="13"/>
  <c r="B122" i="13"/>
  <c r="A123" i="13"/>
  <c r="B123" i="13"/>
  <c r="A124" i="13"/>
  <c r="B124" i="13"/>
  <c r="A125" i="13"/>
  <c r="B125" i="13"/>
  <c r="A126" i="13"/>
  <c r="B126" i="13"/>
  <c r="A127" i="13"/>
  <c r="B127" i="13"/>
  <c r="A128" i="13"/>
  <c r="B128" i="13"/>
  <c r="A129" i="13"/>
  <c r="B129" i="13"/>
  <c r="A130" i="13"/>
  <c r="B130" i="13"/>
  <c r="A131" i="13"/>
  <c r="B131" i="13"/>
  <c r="A132" i="13"/>
  <c r="B132" i="13"/>
  <c r="A133" i="13"/>
  <c r="B133" i="13"/>
  <c r="A134" i="13"/>
  <c r="B134" i="13"/>
  <c r="A135" i="13"/>
  <c r="B135" i="13"/>
  <c r="A136" i="13"/>
  <c r="B136" i="13"/>
  <c r="A137" i="13"/>
  <c r="B137" i="13"/>
  <c r="A138" i="13"/>
  <c r="B138" i="13"/>
  <c r="A139" i="13"/>
  <c r="B139" i="13"/>
  <c r="A140" i="13"/>
  <c r="B140" i="13"/>
  <c r="A141" i="13"/>
  <c r="B141" i="13"/>
  <c r="A142" i="13"/>
  <c r="B142" i="13"/>
  <c r="A143" i="13"/>
  <c r="B143" i="13"/>
  <c r="A144" i="13"/>
  <c r="B144" i="13"/>
  <c r="A145" i="13"/>
  <c r="B145" i="13"/>
  <c r="A146" i="13"/>
  <c r="B146" i="13"/>
  <c r="A147" i="13"/>
  <c r="B147" i="13"/>
  <c r="A148" i="13"/>
  <c r="B148" i="13"/>
  <c r="A149" i="13"/>
  <c r="B149" i="13"/>
  <c r="A150" i="13"/>
  <c r="B150" i="13"/>
  <c r="A151" i="13"/>
  <c r="B151" i="13"/>
  <c r="A152" i="13"/>
  <c r="B152" i="13"/>
  <c r="A153" i="13"/>
  <c r="B153" i="13"/>
  <c r="A154" i="13"/>
  <c r="B154" i="13"/>
  <c r="A155" i="13"/>
  <c r="B155" i="13"/>
  <c r="A156" i="13"/>
  <c r="B156" i="13"/>
  <c r="A157" i="13"/>
  <c r="B157" i="13"/>
  <c r="A158" i="13"/>
  <c r="B158" i="13"/>
  <c r="A159" i="13"/>
  <c r="B159" i="13"/>
  <c r="A160" i="13"/>
  <c r="B160" i="13"/>
  <c r="A161" i="13"/>
  <c r="B161" i="13"/>
  <c r="A162" i="13"/>
  <c r="B162" i="13"/>
  <c r="A163" i="13"/>
  <c r="B163" i="13"/>
  <c r="A164" i="13"/>
  <c r="B164" i="13"/>
  <c r="A165" i="13"/>
  <c r="B165" i="13"/>
  <c r="A166" i="13"/>
  <c r="B166" i="13"/>
  <c r="A167" i="13"/>
  <c r="B167" i="13"/>
  <c r="A168" i="13"/>
  <c r="B168" i="13"/>
  <c r="A169" i="13"/>
  <c r="B169" i="13"/>
  <c r="A170" i="13"/>
  <c r="B170" i="13"/>
  <c r="A171" i="13"/>
  <c r="B171" i="13"/>
  <c r="A172" i="13"/>
  <c r="B172" i="13"/>
  <c r="A173" i="13"/>
  <c r="B173" i="13"/>
  <c r="A174" i="13"/>
  <c r="B174" i="13"/>
  <c r="A175" i="13"/>
  <c r="B175" i="13"/>
  <c r="A176" i="13"/>
  <c r="B176" i="13"/>
  <c r="A177" i="13"/>
  <c r="B177" i="13"/>
  <c r="A178" i="13"/>
  <c r="B178" i="13"/>
  <c r="A179" i="13"/>
  <c r="B179" i="13"/>
  <c r="A180" i="13"/>
  <c r="B180" i="13"/>
  <c r="A181" i="13"/>
  <c r="B181" i="13"/>
  <c r="A182" i="13"/>
  <c r="B182" i="13"/>
  <c r="A183" i="13"/>
  <c r="B183" i="13"/>
  <c r="A184" i="13"/>
  <c r="B184" i="13"/>
  <c r="A185" i="13"/>
  <c r="B185" i="13"/>
  <c r="A186" i="13"/>
  <c r="B186" i="13"/>
  <c r="A187" i="13"/>
  <c r="B187" i="13"/>
  <c r="A188" i="13"/>
  <c r="B188" i="13"/>
  <c r="A189" i="13"/>
  <c r="B189" i="13"/>
  <c r="A190" i="13"/>
  <c r="B190" i="13"/>
  <c r="A191" i="13"/>
  <c r="B191" i="13"/>
  <c r="A192" i="13"/>
  <c r="B192" i="13"/>
  <c r="A193" i="13"/>
  <c r="B193" i="13"/>
  <c r="A194" i="13"/>
  <c r="B194" i="13"/>
  <c r="A195" i="13"/>
  <c r="B195" i="13"/>
  <c r="A196" i="13"/>
  <c r="B196" i="13"/>
  <c r="A197" i="13"/>
  <c r="B197" i="13"/>
  <c r="A198" i="13"/>
  <c r="B198" i="13"/>
  <c r="A199" i="13"/>
  <c r="B199" i="13"/>
  <c r="A200" i="13"/>
  <c r="B200" i="13"/>
  <c r="A201" i="13"/>
  <c r="B201" i="13"/>
  <c r="A202" i="13"/>
  <c r="B202" i="13"/>
  <c r="A203" i="13"/>
  <c r="B203" i="13"/>
  <c r="A204" i="13"/>
  <c r="B204" i="13"/>
  <c r="A205" i="13"/>
  <c r="B205" i="13"/>
  <c r="A206" i="13"/>
  <c r="B206" i="13"/>
  <c r="A207" i="13"/>
  <c r="B207" i="13"/>
  <c r="A208" i="13"/>
  <c r="B208" i="13"/>
  <c r="A209" i="13"/>
  <c r="B209" i="13"/>
  <c r="A210" i="13"/>
  <c r="B210" i="13"/>
  <c r="A211" i="13"/>
  <c r="B211" i="13"/>
  <c r="A212" i="13"/>
  <c r="B212" i="13"/>
  <c r="A213" i="13"/>
  <c r="B213" i="13"/>
  <c r="A214" i="13"/>
  <c r="B214" i="13"/>
  <c r="A215" i="13"/>
  <c r="B215" i="13"/>
  <c r="A216" i="13"/>
  <c r="B216" i="13"/>
  <c r="A217" i="13"/>
  <c r="B217" i="13"/>
  <c r="A218" i="13"/>
  <c r="B218" i="13"/>
  <c r="A219" i="13"/>
  <c r="B219" i="13"/>
  <c r="A220" i="13"/>
  <c r="B220" i="13"/>
  <c r="A221" i="13"/>
  <c r="B221" i="13"/>
  <c r="A222" i="13"/>
  <c r="B222" i="13"/>
  <c r="A223" i="13"/>
  <c r="B223" i="13"/>
  <c r="A224" i="13"/>
  <c r="B224" i="13"/>
  <c r="A225" i="13"/>
  <c r="B225" i="13"/>
  <c r="A226" i="13"/>
  <c r="B226" i="13"/>
  <c r="A227" i="13"/>
  <c r="B227" i="13"/>
  <c r="A228" i="13"/>
  <c r="B228" i="13"/>
  <c r="A229" i="13"/>
  <c r="B229" i="13"/>
  <c r="A230" i="13"/>
  <c r="B230" i="13"/>
  <c r="A231" i="13"/>
  <c r="B231" i="13"/>
  <c r="A232" i="13"/>
  <c r="B232" i="13"/>
  <c r="A233" i="13"/>
  <c r="B233" i="13"/>
  <c r="A234" i="13"/>
  <c r="B234" i="13"/>
  <c r="A235" i="13"/>
  <c r="B235" i="13"/>
  <c r="A236" i="13"/>
  <c r="B236" i="13"/>
  <c r="A237" i="13"/>
  <c r="B237" i="13"/>
  <c r="A238" i="13"/>
  <c r="B238" i="13"/>
  <c r="A239" i="13"/>
  <c r="B239" i="13"/>
  <c r="A240" i="13"/>
  <c r="B240" i="13"/>
  <c r="A241" i="13"/>
  <c r="B241" i="13"/>
  <c r="A242" i="13"/>
  <c r="B242" i="13"/>
  <c r="A243" i="13"/>
  <c r="B243" i="13"/>
  <c r="A244" i="13"/>
  <c r="B244" i="13"/>
  <c r="A245" i="13"/>
  <c r="B245" i="13"/>
  <c r="A246" i="13"/>
  <c r="B246" i="13"/>
  <c r="A247" i="13"/>
  <c r="B247" i="13"/>
  <c r="A248" i="13"/>
  <c r="B248" i="13"/>
  <c r="A249" i="13"/>
  <c r="B249" i="13"/>
  <c r="A250" i="13"/>
  <c r="B250" i="13"/>
  <c r="A251" i="13"/>
  <c r="B251" i="13"/>
  <c r="A252" i="13"/>
  <c r="B252" i="13"/>
  <c r="A253" i="13"/>
  <c r="B253" i="13"/>
  <c r="A254" i="13"/>
  <c r="B254" i="13"/>
  <c r="A255" i="13"/>
  <c r="B255" i="13"/>
  <c r="A256" i="13"/>
  <c r="B256" i="13"/>
  <c r="A257" i="13"/>
  <c r="B257" i="13"/>
  <c r="A258" i="13"/>
  <c r="B258" i="13"/>
  <c r="A259" i="13"/>
  <c r="B259" i="13"/>
  <c r="A260" i="13"/>
  <c r="B260" i="13"/>
  <c r="A261" i="13"/>
  <c r="B261" i="13"/>
  <c r="A262" i="13"/>
  <c r="B262" i="13"/>
  <c r="A263" i="13"/>
  <c r="B263" i="13"/>
  <c r="A264" i="13"/>
  <c r="B264" i="13"/>
  <c r="A265" i="13"/>
  <c r="B265" i="13"/>
  <c r="A266" i="13"/>
  <c r="B266" i="13"/>
  <c r="A267" i="13"/>
  <c r="B267" i="13"/>
  <c r="A268" i="13"/>
  <c r="B268" i="13"/>
  <c r="A269" i="13"/>
  <c r="B269" i="13"/>
  <c r="A270" i="13"/>
  <c r="B270" i="13"/>
  <c r="A271" i="13"/>
  <c r="B271" i="13"/>
  <c r="A272" i="13"/>
  <c r="B272" i="13"/>
  <c r="A273" i="13"/>
  <c r="B273" i="13"/>
  <c r="A274" i="13"/>
  <c r="B274" i="13"/>
  <c r="A275" i="13"/>
  <c r="B275" i="13"/>
  <c r="A276" i="13"/>
  <c r="B276" i="13"/>
  <c r="A277" i="13"/>
  <c r="B277" i="13"/>
  <c r="A278" i="13"/>
  <c r="B278" i="13"/>
  <c r="A279" i="13"/>
  <c r="B279" i="13"/>
  <c r="A280" i="13"/>
  <c r="B280" i="13"/>
  <c r="A281" i="13"/>
  <c r="B281" i="13"/>
  <c r="A282" i="13"/>
  <c r="B282" i="13"/>
  <c r="A283" i="13"/>
  <c r="B283" i="13"/>
  <c r="A284" i="13"/>
  <c r="B284" i="13"/>
  <c r="A285" i="13"/>
  <c r="B285" i="13"/>
  <c r="A286" i="13"/>
  <c r="B286" i="13"/>
  <c r="A287" i="13"/>
  <c r="B287" i="13"/>
  <c r="A288" i="13"/>
  <c r="B288" i="13"/>
  <c r="A289" i="13"/>
  <c r="B289" i="13"/>
  <c r="A290" i="13"/>
  <c r="B290" i="13"/>
  <c r="A291" i="13"/>
  <c r="B291" i="13"/>
  <c r="A292" i="13"/>
  <c r="B292" i="13"/>
  <c r="A293" i="13"/>
  <c r="B293" i="13"/>
  <c r="A294" i="13"/>
  <c r="B294" i="13"/>
  <c r="A295" i="13"/>
  <c r="B295" i="13"/>
  <c r="A296" i="13"/>
  <c r="B296" i="13"/>
  <c r="A297" i="13"/>
  <c r="B297" i="13"/>
  <c r="A298" i="13"/>
  <c r="B298" i="13"/>
  <c r="A299" i="13"/>
  <c r="B299" i="13"/>
  <c r="A300" i="13"/>
  <c r="B300" i="13"/>
  <c r="A301" i="13"/>
  <c r="B301" i="13"/>
  <c r="A302" i="13"/>
  <c r="B302" i="13"/>
  <c r="A303" i="13"/>
  <c r="B303" i="13"/>
  <c r="A304" i="13"/>
  <c r="B304" i="13"/>
  <c r="A305" i="13"/>
  <c r="B305" i="13"/>
  <c r="A7" i="39"/>
  <c r="B7" i="39"/>
  <c r="A8" i="39"/>
  <c r="B8" i="39"/>
  <c r="A9" i="39"/>
  <c r="B9" i="39"/>
  <c r="A10" i="39"/>
  <c r="B10" i="39"/>
  <c r="A11" i="39"/>
  <c r="B11" i="39"/>
  <c r="A12" i="39"/>
  <c r="B12" i="39"/>
  <c r="A13" i="39"/>
  <c r="B13" i="39"/>
  <c r="A14" i="39"/>
  <c r="B14" i="39"/>
  <c r="A15" i="39"/>
  <c r="B15" i="39"/>
  <c r="A16" i="39"/>
  <c r="B16" i="39"/>
  <c r="A17" i="39"/>
  <c r="B17" i="39"/>
  <c r="A18" i="39"/>
  <c r="B18" i="39"/>
  <c r="A19" i="39"/>
  <c r="B19" i="39"/>
  <c r="A20" i="39"/>
  <c r="B20" i="39"/>
  <c r="A21" i="39"/>
  <c r="B21" i="39"/>
  <c r="A22" i="39"/>
  <c r="B22" i="39"/>
  <c r="A23" i="39"/>
  <c r="B23" i="39"/>
  <c r="A24" i="39"/>
  <c r="B24" i="39"/>
  <c r="A25" i="39"/>
  <c r="B25" i="39"/>
  <c r="A26" i="39"/>
  <c r="B26" i="39"/>
  <c r="A27" i="39"/>
  <c r="B27" i="39"/>
  <c r="A28" i="39"/>
  <c r="B28" i="39"/>
  <c r="A29" i="39"/>
  <c r="B29" i="39"/>
  <c r="A30" i="39"/>
  <c r="B30" i="39"/>
  <c r="A31" i="39"/>
  <c r="B31" i="39"/>
  <c r="A32" i="39"/>
  <c r="B32" i="39"/>
  <c r="A33" i="39"/>
  <c r="B33" i="39"/>
  <c r="A34" i="39"/>
  <c r="B34" i="39"/>
  <c r="A35" i="39"/>
  <c r="B35" i="39"/>
  <c r="A36" i="39"/>
  <c r="B36" i="39"/>
  <c r="A37" i="39"/>
  <c r="B37" i="39"/>
  <c r="A38" i="39"/>
  <c r="B38" i="39"/>
  <c r="A39" i="39"/>
  <c r="B39" i="39"/>
  <c r="A40" i="39"/>
  <c r="B40" i="39"/>
  <c r="A41" i="39"/>
  <c r="B41" i="39"/>
  <c r="A42" i="39"/>
  <c r="B42" i="39"/>
  <c r="A43" i="39"/>
  <c r="B43" i="39"/>
  <c r="A44" i="39"/>
  <c r="B44" i="39"/>
  <c r="A45" i="39"/>
  <c r="B45" i="39"/>
  <c r="A46" i="39"/>
  <c r="B46" i="39"/>
  <c r="A47" i="39"/>
  <c r="B47" i="39"/>
  <c r="A48" i="39"/>
  <c r="B48" i="39"/>
  <c r="A49" i="39"/>
  <c r="B49" i="39"/>
  <c r="A50" i="39"/>
  <c r="B50" i="39"/>
  <c r="A51" i="39"/>
  <c r="B51" i="39"/>
  <c r="A52" i="39"/>
  <c r="B52" i="39"/>
  <c r="A53" i="39"/>
  <c r="B53" i="39"/>
  <c r="A54" i="39"/>
  <c r="B54" i="39"/>
  <c r="A55" i="39"/>
  <c r="B55" i="39"/>
  <c r="A56" i="39"/>
  <c r="B56" i="39"/>
  <c r="A57" i="39"/>
  <c r="B57" i="39"/>
  <c r="A58" i="39"/>
  <c r="B58" i="39"/>
  <c r="A59" i="39"/>
  <c r="B59" i="39"/>
  <c r="A60" i="39"/>
  <c r="B60" i="39"/>
  <c r="A61" i="39"/>
  <c r="B61" i="39"/>
  <c r="A62" i="39"/>
  <c r="B62" i="39"/>
  <c r="A63" i="39"/>
  <c r="B63" i="39"/>
  <c r="A64" i="39"/>
  <c r="B64" i="39"/>
  <c r="A65" i="39"/>
  <c r="B65" i="39"/>
  <c r="A66" i="39"/>
  <c r="B66" i="39"/>
  <c r="A67" i="39"/>
  <c r="B67" i="39"/>
  <c r="A68" i="39"/>
  <c r="B68" i="39"/>
  <c r="A69" i="39"/>
  <c r="B69" i="39"/>
  <c r="A70" i="39"/>
  <c r="B70" i="39"/>
  <c r="A71" i="39"/>
  <c r="B71" i="39"/>
  <c r="A72" i="39"/>
  <c r="B72" i="39"/>
  <c r="A73" i="39"/>
  <c r="B73" i="39"/>
  <c r="A74" i="39"/>
  <c r="B74" i="39"/>
  <c r="A75" i="39"/>
  <c r="B75" i="39"/>
  <c r="A76" i="39"/>
  <c r="B76" i="39"/>
  <c r="A77" i="39"/>
  <c r="B77" i="39"/>
  <c r="A78" i="39"/>
  <c r="B78" i="39"/>
  <c r="A79" i="39"/>
  <c r="B79" i="39"/>
  <c r="A80" i="39"/>
  <c r="B80" i="39"/>
  <c r="A81" i="39"/>
  <c r="B81" i="39"/>
  <c r="A82" i="39"/>
  <c r="B82" i="39"/>
  <c r="A83" i="39"/>
  <c r="B83" i="39"/>
  <c r="A84" i="39"/>
  <c r="B84" i="39"/>
  <c r="A85" i="39"/>
  <c r="B85" i="39"/>
  <c r="A86" i="39"/>
  <c r="B86" i="39"/>
  <c r="A87" i="39"/>
  <c r="B87" i="39"/>
  <c r="A88" i="39"/>
  <c r="B88" i="39"/>
  <c r="A89" i="39"/>
  <c r="B89" i="39"/>
  <c r="A90" i="39"/>
  <c r="B90" i="39"/>
  <c r="A91" i="39"/>
  <c r="B91" i="39"/>
  <c r="A92" i="39"/>
  <c r="B92" i="39"/>
  <c r="A93" i="39"/>
  <c r="B93" i="39"/>
  <c r="A94" i="39"/>
  <c r="B94" i="39"/>
  <c r="A95" i="39"/>
  <c r="B95" i="39"/>
  <c r="A96" i="39"/>
  <c r="B96" i="39"/>
  <c r="A97" i="39"/>
  <c r="B97" i="39"/>
  <c r="A98" i="39"/>
  <c r="B98" i="39"/>
  <c r="A99" i="39"/>
  <c r="B99" i="39"/>
  <c r="A100" i="39"/>
  <c r="B100" i="39"/>
  <c r="A101" i="39"/>
  <c r="B101" i="39"/>
  <c r="A102" i="39"/>
  <c r="B102" i="39"/>
  <c r="A103" i="39"/>
  <c r="B103" i="39"/>
  <c r="A104" i="39"/>
  <c r="B104" i="39"/>
  <c r="A105" i="39"/>
  <c r="B105" i="39"/>
  <c r="A106" i="39"/>
  <c r="B106" i="39"/>
  <c r="A107" i="39"/>
  <c r="B107" i="39"/>
  <c r="A108" i="39"/>
  <c r="B108" i="39"/>
  <c r="A109" i="39"/>
  <c r="B109" i="39"/>
  <c r="A110" i="39"/>
  <c r="B110" i="39"/>
  <c r="A111" i="39"/>
  <c r="B111" i="39"/>
  <c r="A112" i="39"/>
  <c r="B112" i="39"/>
  <c r="A113" i="39"/>
  <c r="B113" i="39"/>
  <c r="A114" i="39"/>
  <c r="B114" i="39"/>
  <c r="A115" i="39"/>
  <c r="B115" i="39"/>
  <c r="A116" i="39"/>
  <c r="B116" i="39"/>
  <c r="A117" i="39"/>
  <c r="B117" i="39"/>
  <c r="A118" i="39"/>
  <c r="B118" i="39"/>
  <c r="A119" i="39"/>
  <c r="B119" i="39"/>
  <c r="A120" i="39"/>
  <c r="B120" i="39"/>
  <c r="A121" i="39"/>
  <c r="B121" i="39"/>
  <c r="A122" i="39"/>
  <c r="B122" i="39"/>
  <c r="A123" i="39"/>
  <c r="B123" i="39"/>
  <c r="A124" i="39"/>
  <c r="B124" i="39"/>
  <c r="A125" i="39"/>
  <c r="B125" i="39"/>
  <c r="A126" i="39"/>
  <c r="B126" i="39"/>
  <c r="A127" i="39"/>
  <c r="B127" i="39"/>
  <c r="A128" i="39"/>
  <c r="B128" i="39"/>
  <c r="A129" i="39"/>
  <c r="B129" i="39"/>
  <c r="A130" i="39"/>
  <c r="B130" i="39"/>
  <c r="A131" i="39"/>
  <c r="B131" i="39"/>
  <c r="A132" i="39"/>
  <c r="B132" i="39"/>
  <c r="A133" i="39"/>
  <c r="B133" i="39"/>
  <c r="A134" i="39"/>
  <c r="B134" i="39"/>
  <c r="A135" i="39"/>
  <c r="B135" i="39"/>
  <c r="A136" i="39"/>
  <c r="B136" i="39"/>
  <c r="A137" i="39"/>
  <c r="B137" i="39"/>
  <c r="A138" i="39"/>
  <c r="B138" i="39"/>
  <c r="A139" i="39"/>
  <c r="B139" i="39"/>
  <c r="A140" i="39"/>
  <c r="B140" i="39"/>
  <c r="A141" i="39"/>
  <c r="B141" i="39"/>
  <c r="A142" i="39"/>
  <c r="B142" i="39"/>
  <c r="A143" i="39"/>
  <c r="B143" i="39"/>
  <c r="A144" i="39"/>
  <c r="B144" i="39"/>
  <c r="A145" i="39"/>
  <c r="B145" i="39"/>
  <c r="A146" i="39"/>
  <c r="B146" i="39"/>
  <c r="A147" i="39"/>
  <c r="B147" i="39"/>
  <c r="A148" i="39"/>
  <c r="B148" i="39"/>
  <c r="A149" i="39"/>
  <c r="B149" i="39"/>
  <c r="A150" i="39"/>
  <c r="B150" i="39"/>
  <c r="A151" i="39"/>
  <c r="B151" i="39"/>
  <c r="A152" i="39"/>
  <c r="B152" i="39"/>
  <c r="A153" i="39"/>
  <c r="B153" i="39"/>
  <c r="A154" i="39"/>
  <c r="B154" i="39"/>
  <c r="A155" i="39"/>
  <c r="B155" i="39"/>
  <c r="A156" i="39"/>
  <c r="B156" i="39"/>
  <c r="A157" i="39"/>
  <c r="B157" i="39"/>
  <c r="A158" i="39"/>
  <c r="B158" i="39"/>
  <c r="A159" i="39"/>
  <c r="B159" i="39"/>
  <c r="A160" i="39"/>
  <c r="B160" i="39"/>
  <c r="A161" i="39"/>
  <c r="B161" i="39"/>
  <c r="A162" i="39"/>
  <c r="B162" i="39"/>
  <c r="A163" i="39"/>
  <c r="B163" i="39"/>
  <c r="A164" i="39"/>
  <c r="B164" i="39"/>
  <c r="A165" i="39"/>
  <c r="B165" i="39"/>
  <c r="A166" i="39"/>
  <c r="B166" i="39"/>
  <c r="A167" i="39"/>
  <c r="B167" i="39"/>
  <c r="A168" i="39"/>
  <c r="B168" i="39"/>
  <c r="A169" i="39"/>
  <c r="B169" i="39"/>
  <c r="A170" i="39"/>
  <c r="B170" i="39"/>
  <c r="A171" i="39"/>
  <c r="B171" i="39"/>
  <c r="A172" i="39"/>
  <c r="B172" i="39"/>
  <c r="A173" i="39"/>
  <c r="B173" i="39"/>
  <c r="A174" i="39"/>
  <c r="B174" i="39"/>
  <c r="A175" i="39"/>
  <c r="B175" i="39"/>
  <c r="A176" i="39"/>
  <c r="B176" i="39"/>
  <c r="A177" i="39"/>
  <c r="B177" i="39"/>
  <c r="A178" i="39"/>
  <c r="B178" i="39"/>
  <c r="A179" i="39"/>
  <c r="B179" i="39"/>
  <c r="A180" i="39"/>
  <c r="B180" i="39"/>
  <c r="A181" i="39"/>
  <c r="B181" i="39"/>
  <c r="A182" i="39"/>
  <c r="B182" i="39"/>
  <c r="A183" i="39"/>
  <c r="B183" i="39"/>
  <c r="A184" i="39"/>
  <c r="B184" i="39"/>
  <c r="A185" i="39"/>
  <c r="B185" i="39"/>
  <c r="A186" i="39"/>
  <c r="B186" i="39"/>
  <c r="A187" i="39"/>
  <c r="B187" i="39"/>
  <c r="A188" i="39"/>
  <c r="B188" i="39"/>
  <c r="A189" i="39"/>
  <c r="B189" i="39"/>
  <c r="A190" i="39"/>
  <c r="B190" i="39"/>
  <c r="A191" i="39"/>
  <c r="B191" i="39"/>
  <c r="A192" i="39"/>
  <c r="B192" i="39"/>
  <c r="A193" i="39"/>
  <c r="B193" i="39"/>
  <c r="A194" i="39"/>
  <c r="B194" i="39"/>
  <c r="A195" i="39"/>
  <c r="B195" i="39"/>
  <c r="A196" i="39"/>
  <c r="B196" i="39"/>
  <c r="A197" i="39"/>
  <c r="B197" i="39"/>
  <c r="A198" i="39"/>
  <c r="B198" i="39"/>
  <c r="A199" i="39"/>
  <c r="B199" i="39"/>
  <c r="A200" i="39"/>
  <c r="B200" i="39"/>
  <c r="A201" i="39"/>
  <c r="B201" i="39"/>
  <c r="A202" i="39"/>
  <c r="B202" i="39"/>
  <c r="A203" i="39"/>
  <c r="B203" i="39"/>
  <c r="A204" i="39"/>
  <c r="B204" i="39"/>
  <c r="A205" i="39"/>
  <c r="B205" i="39"/>
  <c r="A206" i="39"/>
  <c r="B206" i="39"/>
  <c r="A207" i="39"/>
  <c r="B207" i="39"/>
  <c r="A208" i="39"/>
  <c r="B208" i="39"/>
  <c r="A209" i="39"/>
  <c r="B209" i="39"/>
  <c r="A210" i="39"/>
  <c r="B210" i="39"/>
  <c r="A211" i="39"/>
  <c r="B211" i="39"/>
  <c r="A212" i="39"/>
  <c r="B212" i="39"/>
  <c r="A213" i="39"/>
  <c r="B213" i="39"/>
  <c r="A214" i="39"/>
  <c r="B214" i="39"/>
  <c r="A215" i="39"/>
  <c r="B215" i="39"/>
  <c r="A216" i="39"/>
  <c r="B216" i="39"/>
  <c r="A217" i="39"/>
  <c r="B217" i="39"/>
  <c r="A218" i="39"/>
  <c r="B218" i="39"/>
  <c r="A219" i="39"/>
  <c r="B219" i="39"/>
  <c r="A220" i="39"/>
  <c r="B220" i="39"/>
  <c r="A221" i="39"/>
  <c r="B221" i="39"/>
  <c r="A222" i="39"/>
  <c r="B222" i="39"/>
  <c r="A223" i="39"/>
  <c r="B223" i="39"/>
  <c r="A224" i="39"/>
  <c r="B224" i="39"/>
  <c r="A225" i="39"/>
  <c r="B225" i="39"/>
  <c r="A226" i="39"/>
  <c r="B226" i="39"/>
  <c r="A227" i="39"/>
  <c r="B227" i="39"/>
  <c r="A228" i="39"/>
  <c r="B228" i="39"/>
  <c r="A229" i="39"/>
  <c r="B229" i="39"/>
  <c r="A230" i="39"/>
  <c r="B230" i="39"/>
  <c r="A231" i="39"/>
  <c r="B231" i="39"/>
  <c r="A232" i="39"/>
  <c r="B232" i="39"/>
  <c r="A233" i="39"/>
  <c r="B233" i="39"/>
  <c r="A234" i="39"/>
  <c r="B234" i="39"/>
  <c r="A235" i="39"/>
  <c r="B235" i="39"/>
  <c r="A236" i="39"/>
  <c r="B236" i="39"/>
  <c r="A237" i="39"/>
  <c r="B237" i="39"/>
  <c r="A238" i="39"/>
  <c r="B238" i="39"/>
  <c r="A239" i="39"/>
  <c r="B239" i="39"/>
  <c r="A240" i="39"/>
  <c r="B240" i="39"/>
  <c r="A241" i="39"/>
  <c r="B241" i="39"/>
  <c r="A242" i="39"/>
  <c r="B242" i="39"/>
  <c r="A243" i="39"/>
  <c r="B243" i="39"/>
  <c r="A244" i="39"/>
  <c r="B244" i="39"/>
  <c r="A245" i="39"/>
  <c r="B245" i="39"/>
  <c r="A246" i="39"/>
  <c r="B246" i="39"/>
  <c r="A247" i="39"/>
  <c r="B247" i="39"/>
  <c r="A248" i="39"/>
  <c r="B248" i="39"/>
  <c r="A249" i="39"/>
  <c r="B249" i="39"/>
  <c r="A250" i="39"/>
  <c r="B250" i="39"/>
  <c r="A251" i="39"/>
  <c r="B251" i="39"/>
  <c r="A252" i="39"/>
  <c r="B252" i="39"/>
  <c r="A253" i="39"/>
  <c r="B253" i="39"/>
  <c r="A254" i="39"/>
  <c r="B254" i="39"/>
  <c r="A255" i="39"/>
  <c r="B255" i="39"/>
  <c r="A256" i="39"/>
  <c r="B256" i="39"/>
  <c r="A257" i="39"/>
  <c r="B257" i="39"/>
  <c r="A258" i="39"/>
  <c r="B258" i="39"/>
  <c r="A259" i="39"/>
  <c r="B259" i="39"/>
  <c r="A260" i="39"/>
  <c r="B260" i="39"/>
  <c r="A261" i="39"/>
  <c r="B261" i="39"/>
  <c r="A262" i="39"/>
  <c r="B262" i="39"/>
  <c r="A263" i="39"/>
  <c r="B263" i="39"/>
  <c r="A264" i="39"/>
  <c r="B264" i="39"/>
  <c r="A265" i="39"/>
  <c r="B265" i="39"/>
  <c r="A266" i="39"/>
  <c r="B266" i="39"/>
  <c r="A267" i="39"/>
  <c r="B267" i="39"/>
  <c r="A268" i="39"/>
  <c r="B268" i="39"/>
  <c r="A269" i="39"/>
  <c r="B269" i="39"/>
  <c r="A270" i="39"/>
  <c r="B270" i="39"/>
  <c r="A271" i="39"/>
  <c r="B271" i="39"/>
  <c r="A272" i="39"/>
  <c r="B272" i="39"/>
  <c r="A273" i="39"/>
  <c r="B273" i="39"/>
  <c r="A274" i="39"/>
  <c r="B274" i="39"/>
  <c r="A275" i="39"/>
  <c r="B275" i="39"/>
  <c r="A276" i="39"/>
  <c r="B276" i="39"/>
  <c r="A277" i="39"/>
  <c r="B277" i="39"/>
  <c r="A278" i="39"/>
  <c r="B278" i="39"/>
  <c r="A279" i="39"/>
  <c r="B279" i="39"/>
  <c r="A280" i="39"/>
  <c r="B280" i="39"/>
  <c r="A281" i="39"/>
  <c r="B281" i="39"/>
  <c r="A282" i="39"/>
  <c r="B282" i="39"/>
  <c r="A283" i="39"/>
  <c r="B283" i="39"/>
  <c r="A284" i="39"/>
  <c r="B284" i="39"/>
  <c r="A285" i="39"/>
  <c r="B285" i="39"/>
  <c r="A286" i="39"/>
  <c r="B286" i="39"/>
  <c r="A287" i="39"/>
  <c r="B287" i="39"/>
  <c r="A288" i="39"/>
  <c r="B288" i="39"/>
  <c r="A289" i="39"/>
  <c r="B289" i="39"/>
  <c r="A290" i="39"/>
  <c r="B290" i="39"/>
  <c r="A291" i="39"/>
  <c r="B291" i="39"/>
  <c r="A292" i="39"/>
  <c r="B292" i="39"/>
  <c r="A293" i="39"/>
  <c r="B293" i="39"/>
  <c r="A294" i="39"/>
  <c r="B294" i="39"/>
  <c r="A295" i="39"/>
  <c r="B295" i="39"/>
  <c r="A296" i="39"/>
  <c r="B296" i="39"/>
  <c r="A297" i="39"/>
  <c r="B297" i="39"/>
  <c r="A298" i="39"/>
  <c r="B298" i="39"/>
  <c r="A299" i="39"/>
  <c r="B299" i="39"/>
  <c r="A300" i="39"/>
  <c r="B300" i="39"/>
  <c r="A301" i="39"/>
  <c r="B301" i="39"/>
  <c r="A302" i="39"/>
  <c r="B302" i="39"/>
  <c r="A303" i="39"/>
  <c r="B303" i="39"/>
  <c r="A304" i="39"/>
  <c r="B304" i="39"/>
  <c r="A305" i="39"/>
  <c r="B305" i="39"/>
  <c r="A7" i="12"/>
  <c r="B7" i="12"/>
  <c r="A8" i="12"/>
  <c r="B8" i="12"/>
  <c r="A9" i="12"/>
  <c r="B9" i="12"/>
  <c r="A10" i="12"/>
  <c r="B10" i="12"/>
  <c r="A11" i="12"/>
  <c r="B11" i="12"/>
  <c r="A12" i="12"/>
  <c r="B12" i="12"/>
  <c r="A13" i="12"/>
  <c r="B13" i="12"/>
  <c r="A14" i="12"/>
  <c r="B14" i="12"/>
  <c r="A15" i="12"/>
  <c r="B15" i="12"/>
  <c r="A16" i="12"/>
  <c r="B16" i="12"/>
  <c r="A17" i="12"/>
  <c r="B17" i="12"/>
  <c r="A18" i="12"/>
  <c r="B18" i="12"/>
  <c r="A19" i="12"/>
  <c r="B19" i="12"/>
  <c r="A20" i="12"/>
  <c r="B20" i="12"/>
  <c r="A21" i="12"/>
  <c r="B21" i="12"/>
  <c r="A22" i="12"/>
  <c r="B22" i="12"/>
  <c r="A23" i="12"/>
  <c r="B23" i="12"/>
  <c r="A24" i="12"/>
  <c r="B24" i="12"/>
  <c r="A25" i="12"/>
  <c r="B25" i="12"/>
  <c r="A26" i="12"/>
  <c r="B26" i="12"/>
  <c r="A27" i="12"/>
  <c r="B27" i="12"/>
  <c r="A28" i="12"/>
  <c r="B28" i="12"/>
  <c r="A29" i="12"/>
  <c r="B29" i="12"/>
  <c r="A30" i="12"/>
  <c r="B30" i="12"/>
  <c r="A31" i="12"/>
  <c r="B31" i="12"/>
  <c r="A32" i="12"/>
  <c r="B32" i="12"/>
  <c r="A33" i="12"/>
  <c r="B33" i="12"/>
  <c r="A34" i="12"/>
  <c r="B34" i="12"/>
  <c r="A35" i="12"/>
  <c r="B35" i="12"/>
  <c r="A36" i="12"/>
  <c r="B36" i="12"/>
  <c r="A37" i="12"/>
  <c r="B37" i="12"/>
  <c r="A38" i="12"/>
  <c r="B38" i="12"/>
  <c r="A39" i="12"/>
  <c r="B39" i="12"/>
  <c r="A40" i="12"/>
  <c r="B40" i="12"/>
  <c r="A41" i="12"/>
  <c r="B41" i="12"/>
  <c r="A42" i="12"/>
  <c r="B42" i="12"/>
  <c r="A43" i="12"/>
  <c r="B43" i="12"/>
  <c r="A44" i="12"/>
  <c r="B44" i="12"/>
  <c r="A45" i="12"/>
  <c r="B45" i="12"/>
  <c r="A46" i="12"/>
  <c r="B46" i="12"/>
  <c r="A47" i="12"/>
  <c r="B47" i="12"/>
  <c r="A48" i="12"/>
  <c r="B48" i="12"/>
  <c r="A49" i="12"/>
  <c r="B49" i="12"/>
  <c r="A50" i="12"/>
  <c r="B50" i="12"/>
  <c r="A51" i="12"/>
  <c r="B51" i="12"/>
  <c r="A52" i="12"/>
  <c r="B52" i="12"/>
  <c r="A53" i="12"/>
  <c r="B53" i="12"/>
  <c r="A54" i="12"/>
  <c r="B54" i="12"/>
  <c r="A55" i="12"/>
  <c r="B55" i="12"/>
  <c r="A56" i="12"/>
  <c r="B56" i="12"/>
  <c r="A57" i="12"/>
  <c r="B57" i="12"/>
  <c r="A58" i="12"/>
  <c r="B58" i="12"/>
  <c r="A59" i="12"/>
  <c r="B59" i="12"/>
  <c r="A60" i="12"/>
  <c r="B60" i="12"/>
  <c r="A61" i="12"/>
  <c r="B61" i="12"/>
  <c r="A62" i="12"/>
  <c r="B62" i="12"/>
  <c r="A63" i="12"/>
  <c r="B63" i="12"/>
  <c r="A64" i="12"/>
  <c r="B64" i="12"/>
  <c r="A65" i="12"/>
  <c r="B65" i="12"/>
  <c r="A66" i="12"/>
  <c r="B66" i="12"/>
  <c r="A67" i="12"/>
  <c r="B67" i="12"/>
  <c r="A68" i="12"/>
  <c r="B68" i="12"/>
  <c r="A69" i="12"/>
  <c r="B69" i="12"/>
  <c r="A70" i="12"/>
  <c r="B70" i="12"/>
  <c r="A71" i="12"/>
  <c r="B71" i="12"/>
  <c r="A72" i="12"/>
  <c r="B72" i="12"/>
  <c r="A73" i="12"/>
  <c r="B73" i="12"/>
  <c r="A74" i="12"/>
  <c r="B74" i="12"/>
  <c r="A75" i="12"/>
  <c r="B75" i="12"/>
  <c r="A76" i="12"/>
  <c r="B76" i="12"/>
  <c r="A77" i="12"/>
  <c r="B77" i="12"/>
  <c r="A78" i="12"/>
  <c r="B78" i="12"/>
  <c r="A79" i="12"/>
  <c r="B79" i="12"/>
  <c r="A80" i="12"/>
  <c r="B80" i="12"/>
  <c r="A81" i="12"/>
  <c r="B81" i="12"/>
  <c r="A82" i="12"/>
  <c r="B82" i="12"/>
  <c r="A83" i="12"/>
  <c r="B83" i="12"/>
  <c r="A84" i="12"/>
  <c r="B84" i="12"/>
  <c r="A85" i="12"/>
  <c r="B85" i="12"/>
  <c r="A86" i="12"/>
  <c r="B86" i="12"/>
  <c r="A87" i="12"/>
  <c r="B87" i="12"/>
  <c r="A88" i="12"/>
  <c r="B88" i="12"/>
  <c r="A89" i="12"/>
  <c r="B89" i="12"/>
  <c r="A90" i="12"/>
  <c r="B90" i="12"/>
  <c r="A91" i="12"/>
  <c r="B91" i="12"/>
  <c r="A92" i="12"/>
  <c r="B92" i="12"/>
  <c r="A93" i="12"/>
  <c r="B93" i="12"/>
  <c r="A94" i="12"/>
  <c r="B94" i="12"/>
  <c r="A95" i="12"/>
  <c r="B95" i="12"/>
  <c r="A96" i="12"/>
  <c r="B96" i="12"/>
  <c r="A97" i="12"/>
  <c r="B97" i="12"/>
  <c r="A98" i="12"/>
  <c r="B98" i="12"/>
  <c r="A99" i="12"/>
  <c r="B99" i="12"/>
  <c r="A100" i="12"/>
  <c r="B100" i="12"/>
  <c r="A101" i="12"/>
  <c r="B101" i="12"/>
  <c r="A102" i="12"/>
  <c r="B102" i="12"/>
  <c r="A103" i="12"/>
  <c r="B103" i="12"/>
  <c r="A104" i="12"/>
  <c r="B104" i="12"/>
  <c r="A105" i="12"/>
  <c r="B105" i="12"/>
  <c r="A106" i="12"/>
  <c r="B106" i="12"/>
  <c r="A107" i="12"/>
  <c r="B107" i="12"/>
  <c r="A108" i="12"/>
  <c r="B108" i="12"/>
  <c r="A109" i="12"/>
  <c r="B109" i="12"/>
  <c r="A110" i="12"/>
  <c r="B110" i="12"/>
  <c r="A111" i="12"/>
  <c r="B111" i="12"/>
  <c r="A112" i="12"/>
  <c r="B112" i="12"/>
  <c r="A113" i="12"/>
  <c r="B113" i="12"/>
  <c r="A114" i="12"/>
  <c r="B114" i="12"/>
  <c r="A115" i="12"/>
  <c r="B115" i="12"/>
  <c r="A116" i="12"/>
  <c r="B116" i="12"/>
  <c r="A117" i="12"/>
  <c r="B117" i="12"/>
  <c r="A118" i="12"/>
  <c r="B118" i="12"/>
  <c r="A119" i="12"/>
  <c r="B119" i="12"/>
  <c r="A120" i="12"/>
  <c r="B120" i="12"/>
  <c r="A121" i="12"/>
  <c r="B121" i="12"/>
  <c r="A122" i="12"/>
  <c r="B122" i="12"/>
  <c r="A123" i="12"/>
  <c r="B123" i="12"/>
  <c r="A124" i="12"/>
  <c r="B124" i="12"/>
  <c r="A125" i="12"/>
  <c r="B125" i="12"/>
  <c r="A126" i="12"/>
  <c r="B126" i="12"/>
  <c r="A127" i="12"/>
  <c r="B127" i="12"/>
  <c r="A128" i="12"/>
  <c r="B128" i="12"/>
  <c r="A129" i="12"/>
  <c r="B129" i="12"/>
  <c r="A130" i="12"/>
  <c r="B130" i="12"/>
  <c r="A131" i="12"/>
  <c r="B131" i="12"/>
  <c r="A132" i="12"/>
  <c r="B132" i="12"/>
  <c r="A133" i="12"/>
  <c r="B133" i="12"/>
  <c r="A134" i="12"/>
  <c r="B134" i="12"/>
  <c r="A135" i="12"/>
  <c r="B135" i="12"/>
  <c r="A136" i="12"/>
  <c r="B136" i="12"/>
  <c r="A137" i="12"/>
  <c r="B137" i="12"/>
  <c r="A138" i="12"/>
  <c r="B138" i="12"/>
  <c r="A139" i="12"/>
  <c r="B139" i="12"/>
  <c r="A140" i="12"/>
  <c r="B140" i="12"/>
  <c r="A141" i="12"/>
  <c r="B141" i="12"/>
  <c r="A142" i="12"/>
  <c r="B142" i="12"/>
  <c r="A143" i="12"/>
  <c r="B143" i="12"/>
  <c r="A144" i="12"/>
  <c r="B144" i="12"/>
  <c r="A145" i="12"/>
  <c r="B145" i="12"/>
  <c r="A146" i="12"/>
  <c r="B146" i="12"/>
  <c r="A147" i="12"/>
  <c r="B147" i="12"/>
  <c r="A148" i="12"/>
  <c r="B148" i="12"/>
  <c r="A149" i="12"/>
  <c r="B149" i="12"/>
  <c r="A150" i="12"/>
  <c r="B150" i="12"/>
  <c r="A151" i="12"/>
  <c r="B151" i="12"/>
  <c r="A152" i="12"/>
  <c r="B152" i="12"/>
  <c r="A153" i="12"/>
  <c r="B153" i="12"/>
  <c r="A154" i="12"/>
  <c r="B154" i="12"/>
  <c r="A155" i="12"/>
  <c r="B155" i="12"/>
  <c r="A156" i="12"/>
  <c r="B156" i="12"/>
  <c r="A157" i="12"/>
  <c r="B157" i="12"/>
  <c r="A158" i="12"/>
  <c r="B158" i="12"/>
  <c r="A159" i="12"/>
  <c r="B159" i="12"/>
  <c r="A160" i="12"/>
  <c r="B160" i="12"/>
  <c r="A161" i="12"/>
  <c r="B161" i="12"/>
  <c r="A162" i="12"/>
  <c r="B162" i="12"/>
  <c r="A163" i="12"/>
  <c r="B163" i="12"/>
  <c r="A164" i="12"/>
  <c r="B164" i="12"/>
  <c r="A165" i="12"/>
  <c r="B165" i="12"/>
  <c r="A166" i="12"/>
  <c r="B166" i="12"/>
  <c r="A167" i="12"/>
  <c r="B167" i="12"/>
  <c r="A168" i="12"/>
  <c r="B168" i="12"/>
  <c r="A169" i="12"/>
  <c r="B169" i="12"/>
  <c r="A170" i="12"/>
  <c r="B170" i="12"/>
  <c r="A171" i="12"/>
  <c r="B171" i="12"/>
  <c r="A172" i="12"/>
  <c r="B172" i="12"/>
  <c r="A173" i="12"/>
  <c r="B173" i="12"/>
  <c r="A174" i="12"/>
  <c r="B174" i="12"/>
  <c r="A175" i="12"/>
  <c r="B175" i="12"/>
  <c r="A176" i="12"/>
  <c r="B176" i="12"/>
  <c r="A177" i="12"/>
  <c r="B177" i="12"/>
  <c r="A178" i="12"/>
  <c r="B178" i="12"/>
  <c r="A179" i="12"/>
  <c r="B179" i="12"/>
  <c r="A180" i="12"/>
  <c r="B180" i="12"/>
  <c r="A181" i="12"/>
  <c r="B181" i="12"/>
  <c r="A182" i="12"/>
  <c r="B182" i="12"/>
  <c r="A183" i="12"/>
  <c r="B183" i="12"/>
  <c r="A184" i="12"/>
  <c r="B184" i="12"/>
  <c r="A185" i="12"/>
  <c r="B185" i="12"/>
  <c r="A186" i="12"/>
  <c r="B186" i="12"/>
  <c r="A187" i="12"/>
  <c r="B187" i="12"/>
  <c r="A188" i="12"/>
  <c r="B188" i="12"/>
  <c r="A189" i="12"/>
  <c r="B189" i="12"/>
  <c r="A190" i="12"/>
  <c r="B190" i="12"/>
  <c r="A191" i="12"/>
  <c r="B191" i="12"/>
  <c r="A192" i="12"/>
  <c r="B192" i="12"/>
  <c r="A193" i="12"/>
  <c r="B193" i="12"/>
  <c r="A194" i="12"/>
  <c r="B194" i="12"/>
  <c r="A195" i="12"/>
  <c r="B195" i="12"/>
  <c r="A196" i="12"/>
  <c r="B196" i="12"/>
  <c r="A197" i="12"/>
  <c r="B197" i="12"/>
  <c r="A198" i="12"/>
  <c r="B198" i="12"/>
  <c r="A199" i="12"/>
  <c r="B199" i="12"/>
  <c r="A200" i="12"/>
  <c r="B200" i="12"/>
  <c r="A201" i="12"/>
  <c r="B201" i="12"/>
  <c r="A202" i="12"/>
  <c r="B202" i="12"/>
  <c r="A203" i="12"/>
  <c r="B203" i="12"/>
  <c r="A204" i="12"/>
  <c r="B204" i="12"/>
  <c r="A205" i="12"/>
  <c r="B205" i="12"/>
  <c r="A206" i="12"/>
  <c r="B206" i="12"/>
  <c r="A207" i="12"/>
  <c r="B207" i="12"/>
  <c r="A208" i="12"/>
  <c r="B208" i="12"/>
  <c r="A209" i="12"/>
  <c r="B209" i="12"/>
  <c r="A210" i="12"/>
  <c r="B210" i="12"/>
  <c r="A211" i="12"/>
  <c r="B211" i="12"/>
  <c r="A212" i="12"/>
  <c r="B212" i="12"/>
  <c r="A213" i="12"/>
  <c r="B213" i="12"/>
  <c r="A214" i="12"/>
  <c r="B214" i="12"/>
  <c r="A215" i="12"/>
  <c r="B215" i="12"/>
  <c r="A216" i="12"/>
  <c r="B216" i="12"/>
  <c r="A217" i="12"/>
  <c r="B217" i="12"/>
  <c r="A218" i="12"/>
  <c r="B218" i="12"/>
  <c r="A219" i="12"/>
  <c r="B219" i="12"/>
  <c r="A220" i="12"/>
  <c r="B220" i="12"/>
  <c r="A221" i="12"/>
  <c r="B221" i="12"/>
  <c r="A222" i="12"/>
  <c r="B222" i="12"/>
  <c r="A223" i="12"/>
  <c r="B223" i="12"/>
  <c r="A224" i="12"/>
  <c r="B224" i="12"/>
  <c r="A225" i="12"/>
  <c r="B225" i="12"/>
  <c r="A226" i="12"/>
  <c r="B226" i="12"/>
  <c r="A227" i="12"/>
  <c r="B227" i="12"/>
  <c r="A228" i="12"/>
  <c r="B228" i="12"/>
  <c r="A229" i="12"/>
  <c r="B229" i="12"/>
  <c r="A230" i="12"/>
  <c r="B230" i="12"/>
  <c r="A231" i="12"/>
  <c r="B231" i="12"/>
  <c r="A232" i="12"/>
  <c r="B232" i="12"/>
  <c r="A233" i="12"/>
  <c r="B233" i="12"/>
  <c r="A234" i="12"/>
  <c r="B234" i="12"/>
  <c r="A235" i="12"/>
  <c r="B235" i="12"/>
  <c r="A236" i="12"/>
  <c r="B236" i="12"/>
  <c r="A237" i="12"/>
  <c r="B237" i="12"/>
  <c r="A238" i="12"/>
  <c r="B238" i="12"/>
  <c r="A239" i="12"/>
  <c r="B239" i="12"/>
  <c r="A240" i="12"/>
  <c r="B240" i="12"/>
  <c r="A241" i="12"/>
  <c r="B241" i="12"/>
  <c r="A242" i="12"/>
  <c r="B242" i="12"/>
  <c r="A243" i="12"/>
  <c r="B243" i="12"/>
  <c r="A244" i="12"/>
  <c r="B244" i="12"/>
  <c r="A245" i="12"/>
  <c r="B245" i="12"/>
  <c r="A246" i="12"/>
  <c r="B246" i="12"/>
  <c r="A247" i="12"/>
  <c r="B247" i="12"/>
  <c r="A248" i="12"/>
  <c r="B248" i="12"/>
  <c r="A249" i="12"/>
  <c r="B249" i="12"/>
  <c r="A250" i="12"/>
  <c r="B250" i="12"/>
  <c r="A251" i="12"/>
  <c r="B251" i="12"/>
  <c r="A252" i="12"/>
  <c r="B252" i="12"/>
  <c r="A253" i="12"/>
  <c r="B253" i="12"/>
  <c r="A254" i="12"/>
  <c r="B254" i="12"/>
  <c r="A255" i="12"/>
  <c r="B255" i="12"/>
  <c r="A256" i="12"/>
  <c r="B256" i="12"/>
  <c r="A257" i="12"/>
  <c r="B257" i="12"/>
  <c r="A258" i="12"/>
  <c r="B258" i="12"/>
  <c r="A259" i="12"/>
  <c r="B259" i="12"/>
  <c r="A260" i="12"/>
  <c r="B260" i="12"/>
  <c r="A261" i="12"/>
  <c r="B261" i="12"/>
  <c r="A262" i="12"/>
  <c r="B262" i="12"/>
  <c r="A263" i="12"/>
  <c r="B263" i="12"/>
  <c r="A264" i="12"/>
  <c r="B264" i="12"/>
  <c r="A265" i="12"/>
  <c r="B265" i="12"/>
  <c r="A266" i="12"/>
  <c r="B266" i="12"/>
  <c r="A267" i="12"/>
  <c r="B267" i="12"/>
  <c r="A268" i="12"/>
  <c r="B268" i="12"/>
  <c r="A269" i="12"/>
  <c r="B269" i="12"/>
  <c r="A270" i="12"/>
  <c r="B270" i="12"/>
  <c r="A271" i="12"/>
  <c r="B271" i="12"/>
  <c r="A272" i="12"/>
  <c r="B272" i="12"/>
  <c r="A273" i="12"/>
  <c r="B273" i="12"/>
  <c r="A274" i="12"/>
  <c r="B274" i="12"/>
  <c r="A275" i="12"/>
  <c r="B275" i="12"/>
  <c r="A276" i="12"/>
  <c r="B276" i="12"/>
  <c r="A277" i="12"/>
  <c r="B277" i="12"/>
  <c r="A278" i="12"/>
  <c r="B278" i="12"/>
  <c r="A279" i="12"/>
  <c r="B279" i="12"/>
  <c r="A280" i="12"/>
  <c r="B280" i="12"/>
  <c r="A281" i="12"/>
  <c r="B281" i="12"/>
  <c r="A282" i="12"/>
  <c r="B282" i="12"/>
  <c r="A283" i="12"/>
  <c r="B283" i="12"/>
  <c r="A284" i="12"/>
  <c r="B284" i="12"/>
  <c r="A285" i="12"/>
  <c r="B285" i="12"/>
  <c r="A286" i="12"/>
  <c r="B286" i="12"/>
  <c r="A287" i="12"/>
  <c r="B287" i="12"/>
  <c r="A288" i="12"/>
  <c r="B288" i="12"/>
  <c r="A289" i="12"/>
  <c r="B289" i="12"/>
  <c r="A290" i="12"/>
  <c r="B290" i="12"/>
  <c r="A291" i="12"/>
  <c r="B291" i="12"/>
  <c r="A292" i="12"/>
  <c r="B292" i="12"/>
  <c r="A293" i="12"/>
  <c r="B293" i="12"/>
  <c r="A294" i="12"/>
  <c r="B294" i="12"/>
  <c r="A295" i="12"/>
  <c r="B295" i="12"/>
  <c r="A296" i="12"/>
  <c r="B296" i="12"/>
  <c r="A297" i="12"/>
  <c r="B297" i="12"/>
  <c r="A298" i="12"/>
  <c r="B298" i="12"/>
  <c r="A299" i="12"/>
  <c r="B299" i="12"/>
  <c r="A300" i="12"/>
  <c r="B300" i="12"/>
  <c r="A301" i="12"/>
  <c r="B301" i="12"/>
  <c r="A302" i="12"/>
  <c r="B302" i="12"/>
  <c r="A303" i="12"/>
  <c r="B303" i="12"/>
  <c r="A304" i="12"/>
  <c r="B304" i="12"/>
  <c r="A305" i="12"/>
  <c r="B305" i="12"/>
  <c r="A7" i="37"/>
  <c r="B7" i="37"/>
  <c r="C7" i="37"/>
  <c r="F7" i="37"/>
  <c r="A8" i="37"/>
  <c r="B8" i="37"/>
  <c r="C8" i="37"/>
  <c r="F8" i="37"/>
  <c r="A9" i="37"/>
  <c r="B9" i="37"/>
  <c r="C9" i="37"/>
  <c r="F9" i="37"/>
  <c r="A10" i="37"/>
  <c r="B10" i="37"/>
  <c r="C10" i="37"/>
  <c r="F10" i="37"/>
  <c r="A11" i="37"/>
  <c r="B11" i="37"/>
  <c r="C11" i="37"/>
  <c r="F11" i="37"/>
  <c r="A12" i="37"/>
  <c r="B12" i="37"/>
  <c r="C12" i="37"/>
  <c r="F12" i="37"/>
  <c r="A13" i="37"/>
  <c r="B13" i="37"/>
  <c r="C13" i="37"/>
  <c r="F13" i="37"/>
  <c r="A14" i="37"/>
  <c r="B14" i="37"/>
  <c r="C14" i="37"/>
  <c r="F14" i="37"/>
  <c r="A15" i="37"/>
  <c r="B15" i="37"/>
  <c r="C15" i="37"/>
  <c r="F15" i="37"/>
  <c r="A16" i="37"/>
  <c r="B16" i="37"/>
  <c r="C16" i="37"/>
  <c r="F16" i="37"/>
  <c r="A17" i="37"/>
  <c r="B17" i="37"/>
  <c r="C17" i="37"/>
  <c r="F17" i="37"/>
  <c r="A18" i="37"/>
  <c r="B18" i="37"/>
  <c r="C18" i="37"/>
  <c r="F18" i="37"/>
  <c r="A19" i="37"/>
  <c r="B19" i="37"/>
  <c r="C19" i="37"/>
  <c r="F19" i="37"/>
  <c r="A20" i="37"/>
  <c r="B20" i="37"/>
  <c r="C20" i="37"/>
  <c r="F20" i="37"/>
  <c r="A21" i="37"/>
  <c r="B21" i="37"/>
  <c r="C21" i="37"/>
  <c r="F21" i="37"/>
  <c r="A22" i="37"/>
  <c r="B22" i="37"/>
  <c r="C22" i="37"/>
  <c r="F22" i="37"/>
  <c r="A23" i="37"/>
  <c r="B23" i="37"/>
  <c r="C23" i="37"/>
  <c r="F23" i="37"/>
  <c r="A24" i="37"/>
  <c r="B24" i="37"/>
  <c r="C24" i="37"/>
  <c r="F24" i="37"/>
  <c r="A25" i="37"/>
  <c r="B25" i="37"/>
  <c r="C25" i="37"/>
  <c r="F25" i="37"/>
  <c r="A26" i="37"/>
  <c r="B26" i="37"/>
  <c r="C26" i="37"/>
  <c r="F26" i="37"/>
  <c r="A27" i="37"/>
  <c r="B27" i="37"/>
  <c r="C27" i="37"/>
  <c r="F27" i="37"/>
  <c r="A28" i="37"/>
  <c r="B28" i="37"/>
  <c r="C28" i="37"/>
  <c r="F28" i="37"/>
  <c r="A29" i="37"/>
  <c r="B29" i="37"/>
  <c r="C29" i="37"/>
  <c r="F29" i="37"/>
  <c r="A30" i="37"/>
  <c r="B30" i="37"/>
  <c r="C30" i="37"/>
  <c r="F30" i="37"/>
  <c r="A31" i="37"/>
  <c r="B31" i="37"/>
  <c r="C31" i="37"/>
  <c r="F31" i="37"/>
  <c r="A32" i="37"/>
  <c r="B32" i="37"/>
  <c r="C32" i="37"/>
  <c r="F32" i="37"/>
  <c r="A33" i="37"/>
  <c r="B33" i="37"/>
  <c r="C33" i="37"/>
  <c r="F33" i="37"/>
  <c r="A34" i="37"/>
  <c r="B34" i="37"/>
  <c r="C34" i="37"/>
  <c r="F34" i="37"/>
  <c r="A35" i="37"/>
  <c r="B35" i="37"/>
  <c r="C35" i="37"/>
  <c r="F35" i="37"/>
  <c r="A36" i="37"/>
  <c r="B36" i="37"/>
  <c r="C36" i="37"/>
  <c r="F36" i="37"/>
  <c r="A37" i="37"/>
  <c r="B37" i="37"/>
  <c r="C37" i="37"/>
  <c r="F37" i="37"/>
  <c r="A38" i="37"/>
  <c r="B38" i="37"/>
  <c r="C38" i="37"/>
  <c r="F38" i="37"/>
  <c r="A39" i="37"/>
  <c r="B39" i="37"/>
  <c r="C39" i="37"/>
  <c r="F39" i="37"/>
  <c r="A40" i="37"/>
  <c r="B40" i="37"/>
  <c r="C40" i="37"/>
  <c r="F40" i="37"/>
  <c r="A41" i="37"/>
  <c r="B41" i="37"/>
  <c r="C41" i="37"/>
  <c r="F41" i="37"/>
  <c r="A42" i="37"/>
  <c r="B42" i="37"/>
  <c r="C42" i="37"/>
  <c r="F42" i="37"/>
  <c r="A43" i="37"/>
  <c r="B43" i="37"/>
  <c r="C43" i="37"/>
  <c r="F43" i="37"/>
  <c r="A44" i="37"/>
  <c r="B44" i="37"/>
  <c r="C44" i="37"/>
  <c r="F44" i="37"/>
  <c r="A45" i="37"/>
  <c r="B45" i="37"/>
  <c r="C45" i="37"/>
  <c r="F45" i="37"/>
  <c r="A46" i="37"/>
  <c r="B46" i="37"/>
  <c r="C46" i="37"/>
  <c r="F46" i="37"/>
  <c r="A47" i="37"/>
  <c r="B47" i="37"/>
  <c r="C47" i="37"/>
  <c r="F47" i="37"/>
  <c r="A48" i="37"/>
  <c r="B48" i="37"/>
  <c r="C48" i="37"/>
  <c r="F48" i="37"/>
  <c r="A49" i="37"/>
  <c r="B49" i="37"/>
  <c r="C49" i="37"/>
  <c r="F49" i="37"/>
  <c r="A50" i="37"/>
  <c r="B50" i="37"/>
  <c r="C50" i="37"/>
  <c r="F50" i="37"/>
  <c r="A51" i="37"/>
  <c r="B51" i="37"/>
  <c r="C51" i="37"/>
  <c r="F51" i="37"/>
  <c r="A52" i="37"/>
  <c r="B52" i="37"/>
  <c r="C52" i="37"/>
  <c r="F52" i="37"/>
  <c r="A53" i="37"/>
  <c r="B53" i="37"/>
  <c r="C53" i="37"/>
  <c r="F53" i="37"/>
  <c r="A54" i="37"/>
  <c r="B54" i="37"/>
  <c r="C54" i="37"/>
  <c r="F54" i="37"/>
  <c r="A55" i="37"/>
  <c r="B55" i="37"/>
  <c r="C55" i="37"/>
  <c r="F55" i="37"/>
  <c r="A56" i="37"/>
  <c r="B56" i="37"/>
  <c r="C56" i="37"/>
  <c r="F56" i="37"/>
  <c r="A57" i="37"/>
  <c r="B57" i="37"/>
  <c r="C57" i="37"/>
  <c r="F57" i="37"/>
  <c r="A58" i="37"/>
  <c r="B58" i="37"/>
  <c r="C58" i="37"/>
  <c r="F58" i="37"/>
  <c r="A59" i="37"/>
  <c r="B59" i="37"/>
  <c r="C59" i="37"/>
  <c r="F59" i="37"/>
  <c r="A60" i="37"/>
  <c r="B60" i="37"/>
  <c r="C60" i="37"/>
  <c r="F60" i="37"/>
  <c r="A61" i="37"/>
  <c r="B61" i="37"/>
  <c r="C61" i="37"/>
  <c r="F61" i="37"/>
  <c r="A62" i="37"/>
  <c r="B62" i="37"/>
  <c r="C62" i="37"/>
  <c r="F62" i="37"/>
  <c r="A63" i="37"/>
  <c r="B63" i="37"/>
  <c r="C63" i="37"/>
  <c r="F63" i="37"/>
  <c r="A64" i="37"/>
  <c r="B64" i="37"/>
  <c r="C64" i="37"/>
  <c r="F64" i="37"/>
  <c r="A65" i="37"/>
  <c r="B65" i="37"/>
  <c r="C65" i="37"/>
  <c r="F65" i="37"/>
  <c r="A66" i="37"/>
  <c r="B66" i="37"/>
  <c r="C66" i="37"/>
  <c r="F66" i="37"/>
  <c r="A67" i="37"/>
  <c r="B67" i="37"/>
  <c r="C67" i="37"/>
  <c r="F67" i="37"/>
  <c r="A68" i="37"/>
  <c r="B68" i="37"/>
  <c r="C68" i="37"/>
  <c r="F68" i="37"/>
  <c r="A69" i="37"/>
  <c r="B69" i="37"/>
  <c r="C69" i="37"/>
  <c r="F69" i="37"/>
  <c r="A70" i="37"/>
  <c r="B70" i="37"/>
  <c r="C70" i="37"/>
  <c r="F70" i="37"/>
  <c r="A71" i="37"/>
  <c r="B71" i="37"/>
  <c r="C71" i="37"/>
  <c r="F71" i="37"/>
  <c r="A72" i="37"/>
  <c r="B72" i="37"/>
  <c r="C72" i="37"/>
  <c r="F72" i="37"/>
  <c r="A73" i="37"/>
  <c r="B73" i="37"/>
  <c r="C73" i="37"/>
  <c r="F73" i="37"/>
  <c r="A74" i="37"/>
  <c r="B74" i="37"/>
  <c r="C74" i="37"/>
  <c r="F74" i="37"/>
  <c r="A75" i="37"/>
  <c r="B75" i="37"/>
  <c r="C75" i="37"/>
  <c r="F75" i="37"/>
  <c r="A76" i="37"/>
  <c r="B76" i="37"/>
  <c r="C76" i="37"/>
  <c r="F76" i="37"/>
  <c r="A77" i="37"/>
  <c r="B77" i="37"/>
  <c r="C77" i="37"/>
  <c r="F77" i="37"/>
  <c r="A78" i="37"/>
  <c r="B78" i="37"/>
  <c r="C78" i="37"/>
  <c r="F78" i="37"/>
  <c r="A79" i="37"/>
  <c r="B79" i="37"/>
  <c r="C79" i="37"/>
  <c r="F79" i="37"/>
  <c r="A80" i="37"/>
  <c r="B80" i="37"/>
  <c r="C80" i="37"/>
  <c r="F80" i="37"/>
  <c r="A81" i="37"/>
  <c r="B81" i="37"/>
  <c r="C81" i="37"/>
  <c r="F81" i="37"/>
  <c r="A82" i="37"/>
  <c r="B82" i="37"/>
  <c r="C82" i="37"/>
  <c r="F82" i="37"/>
  <c r="A83" i="37"/>
  <c r="B83" i="37"/>
  <c r="C83" i="37"/>
  <c r="F83" i="37"/>
  <c r="A84" i="37"/>
  <c r="B84" i="37"/>
  <c r="C84" i="37"/>
  <c r="F84" i="37"/>
  <c r="A85" i="37"/>
  <c r="B85" i="37"/>
  <c r="C85" i="37"/>
  <c r="F85" i="37"/>
  <c r="A86" i="37"/>
  <c r="B86" i="37"/>
  <c r="C86" i="37"/>
  <c r="F86" i="37"/>
  <c r="A87" i="37"/>
  <c r="B87" i="37"/>
  <c r="C87" i="37"/>
  <c r="F87" i="37"/>
  <c r="A88" i="37"/>
  <c r="B88" i="37"/>
  <c r="C88" i="37"/>
  <c r="F88" i="37"/>
  <c r="A89" i="37"/>
  <c r="B89" i="37"/>
  <c r="C89" i="37"/>
  <c r="F89" i="37"/>
  <c r="A90" i="37"/>
  <c r="B90" i="37"/>
  <c r="C90" i="37"/>
  <c r="F90" i="37"/>
  <c r="A91" i="37"/>
  <c r="B91" i="37"/>
  <c r="C91" i="37"/>
  <c r="F91" i="37"/>
  <c r="A92" i="37"/>
  <c r="B92" i="37"/>
  <c r="C92" i="37"/>
  <c r="F92" i="37"/>
  <c r="A93" i="37"/>
  <c r="B93" i="37"/>
  <c r="C93" i="37"/>
  <c r="F93" i="37"/>
  <c r="A94" i="37"/>
  <c r="B94" i="37"/>
  <c r="C94" i="37"/>
  <c r="F94" i="37"/>
  <c r="A95" i="37"/>
  <c r="B95" i="37"/>
  <c r="C95" i="37"/>
  <c r="F95" i="37"/>
  <c r="A96" i="37"/>
  <c r="B96" i="37"/>
  <c r="C96" i="37"/>
  <c r="F96" i="37"/>
  <c r="A97" i="37"/>
  <c r="B97" i="37"/>
  <c r="C97" i="37"/>
  <c r="F97" i="37"/>
  <c r="A98" i="37"/>
  <c r="B98" i="37"/>
  <c r="C98" i="37"/>
  <c r="F98" i="37"/>
  <c r="A99" i="37"/>
  <c r="B99" i="37"/>
  <c r="C99" i="37"/>
  <c r="F99" i="37"/>
  <c r="A100" i="37"/>
  <c r="B100" i="37"/>
  <c r="C100" i="37"/>
  <c r="F100" i="37"/>
  <c r="A101" i="37"/>
  <c r="B101" i="37"/>
  <c r="C101" i="37"/>
  <c r="F101" i="37"/>
  <c r="A102" i="37"/>
  <c r="B102" i="37"/>
  <c r="C102" i="37"/>
  <c r="F102" i="37"/>
  <c r="A103" i="37"/>
  <c r="B103" i="37"/>
  <c r="C103" i="37"/>
  <c r="F103" i="37"/>
  <c r="A104" i="37"/>
  <c r="B104" i="37"/>
  <c r="C104" i="37"/>
  <c r="F104" i="37"/>
  <c r="A105" i="37"/>
  <c r="B105" i="37"/>
  <c r="C105" i="37"/>
  <c r="F105" i="37"/>
  <c r="A106" i="37"/>
  <c r="B106" i="37"/>
  <c r="C106" i="37"/>
  <c r="F106" i="37"/>
  <c r="A107" i="37"/>
  <c r="B107" i="37"/>
  <c r="C107" i="37"/>
  <c r="F107" i="37"/>
  <c r="A108" i="37"/>
  <c r="B108" i="37"/>
  <c r="C108" i="37"/>
  <c r="F108" i="37"/>
  <c r="A109" i="37"/>
  <c r="B109" i="37"/>
  <c r="C109" i="37"/>
  <c r="F109" i="37"/>
  <c r="A110" i="37"/>
  <c r="B110" i="37"/>
  <c r="C110" i="37"/>
  <c r="F110" i="37"/>
  <c r="A111" i="37"/>
  <c r="B111" i="37"/>
  <c r="C111" i="37"/>
  <c r="F111" i="37"/>
  <c r="A112" i="37"/>
  <c r="B112" i="37"/>
  <c r="C112" i="37"/>
  <c r="F112" i="37"/>
  <c r="A113" i="37"/>
  <c r="B113" i="37"/>
  <c r="C113" i="37"/>
  <c r="F113" i="37"/>
  <c r="A114" i="37"/>
  <c r="B114" i="37"/>
  <c r="C114" i="37"/>
  <c r="F114" i="37"/>
  <c r="A115" i="37"/>
  <c r="B115" i="37"/>
  <c r="C115" i="37"/>
  <c r="F115" i="37"/>
  <c r="A116" i="37"/>
  <c r="B116" i="37"/>
  <c r="C116" i="37"/>
  <c r="F116" i="37"/>
  <c r="A117" i="37"/>
  <c r="B117" i="37"/>
  <c r="C117" i="37"/>
  <c r="F117" i="37"/>
  <c r="A118" i="37"/>
  <c r="B118" i="37"/>
  <c r="C118" i="37"/>
  <c r="F118" i="37"/>
  <c r="A119" i="37"/>
  <c r="B119" i="37"/>
  <c r="C119" i="37"/>
  <c r="F119" i="37"/>
  <c r="A120" i="37"/>
  <c r="B120" i="37"/>
  <c r="C120" i="37"/>
  <c r="F120" i="37"/>
  <c r="A121" i="37"/>
  <c r="B121" i="37"/>
  <c r="C121" i="37"/>
  <c r="F121" i="37"/>
  <c r="A122" i="37"/>
  <c r="B122" i="37"/>
  <c r="C122" i="37"/>
  <c r="F122" i="37"/>
  <c r="A123" i="37"/>
  <c r="B123" i="37"/>
  <c r="C123" i="37"/>
  <c r="F123" i="37"/>
  <c r="A124" i="37"/>
  <c r="B124" i="37"/>
  <c r="C124" i="37"/>
  <c r="F124" i="37"/>
  <c r="A125" i="37"/>
  <c r="B125" i="37"/>
  <c r="C125" i="37"/>
  <c r="F125" i="37"/>
  <c r="A126" i="37"/>
  <c r="B126" i="37"/>
  <c r="C126" i="37"/>
  <c r="F126" i="37"/>
  <c r="A127" i="37"/>
  <c r="B127" i="37"/>
  <c r="C127" i="37"/>
  <c r="F127" i="37"/>
  <c r="A128" i="37"/>
  <c r="B128" i="37"/>
  <c r="C128" i="37"/>
  <c r="F128" i="37"/>
  <c r="A129" i="37"/>
  <c r="B129" i="37"/>
  <c r="C129" i="37"/>
  <c r="F129" i="37"/>
  <c r="A130" i="37"/>
  <c r="B130" i="37"/>
  <c r="C130" i="37"/>
  <c r="F130" i="37"/>
  <c r="A131" i="37"/>
  <c r="B131" i="37"/>
  <c r="C131" i="37"/>
  <c r="F131" i="37"/>
  <c r="A132" i="37"/>
  <c r="B132" i="37"/>
  <c r="C132" i="37"/>
  <c r="F132" i="37"/>
  <c r="A133" i="37"/>
  <c r="B133" i="37"/>
  <c r="C133" i="37"/>
  <c r="F133" i="37"/>
  <c r="A134" i="37"/>
  <c r="B134" i="37"/>
  <c r="C134" i="37"/>
  <c r="F134" i="37"/>
  <c r="A135" i="37"/>
  <c r="B135" i="37"/>
  <c r="C135" i="37"/>
  <c r="F135" i="37"/>
  <c r="A136" i="37"/>
  <c r="B136" i="37"/>
  <c r="C136" i="37"/>
  <c r="F136" i="37"/>
  <c r="A137" i="37"/>
  <c r="B137" i="37"/>
  <c r="C137" i="37"/>
  <c r="F137" i="37"/>
  <c r="A138" i="37"/>
  <c r="B138" i="37"/>
  <c r="C138" i="37"/>
  <c r="F138" i="37"/>
  <c r="A139" i="37"/>
  <c r="B139" i="37"/>
  <c r="C139" i="37"/>
  <c r="F139" i="37"/>
  <c r="A140" i="37"/>
  <c r="B140" i="37"/>
  <c r="C140" i="37"/>
  <c r="F140" i="37"/>
  <c r="A141" i="37"/>
  <c r="B141" i="37"/>
  <c r="C141" i="37"/>
  <c r="F141" i="37"/>
  <c r="A142" i="37"/>
  <c r="B142" i="37"/>
  <c r="C142" i="37"/>
  <c r="F142" i="37"/>
  <c r="A143" i="37"/>
  <c r="B143" i="37"/>
  <c r="C143" i="37"/>
  <c r="F143" i="37"/>
  <c r="A144" i="37"/>
  <c r="B144" i="37"/>
  <c r="C144" i="37"/>
  <c r="F144" i="37"/>
  <c r="A145" i="37"/>
  <c r="B145" i="37"/>
  <c r="C145" i="37"/>
  <c r="F145" i="37"/>
  <c r="A146" i="37"/>
  <c r="B146" i="37"/>
  <c r="C146" i="37"/>
  <c r="F146" i="37"/>
  <c r="A147" i="37"/>
  <c r="B147" i="37"/>
  <c r="C147" i="37"/>
  <c r="F147" i="37"/>
  <c r="A148" i="37"/>
  <c r="B148" i="37"/>
  <c r="C148" i="37"/>
  <c r="F148" i="37"/>
  <c r="A149" i="37"/>
  <c r="B149" i="37"/>
  <c r="C149" i="37"/>
  <c r="F149" i="37"/>
  <c r="A150" i="37"/>
  <c r="B150" i="37"/>
  <c r="C150" i="37"/>
  <c r="F150" i="37"/>
  <c r="A151" i="37"/>
  <c r="B151" i="37"/>
  <c r="C151" i="37"/>
  <c r="F151" i="37"/>
  <c r="A152" i="37"/>
  <c r="B152" i="37"/>
  <c r="C152" i="37"/>
  <c r="F152" i="37"/>
  <c r="A153" i="37"/>
  <c r="B153" i="37"/>
  <c r="C153" i="37"/>
  <c r="F153" i="37"/>
  <c r="A154" i="37"/>
  <c r="B154" i="37"/>
  <c r="C154" i="37"/>
  <c r="F154" i="37"/>
  <c r="A155" i="37"/>
  <c r="B155" i="37"/>
  <c r="C155" i="37"/>
  <c r="F155" i="37"/>
  <c r="A156" i="37"/>
  <c r="B156" i="37"/>
  <c r="C156" i="37"/>
  <c r="F156" i="37"/>
  <c r="A157" i="37"/>
  <c r="B157" i="37"/>
  <c r="C157" i="37"/>
  <c r="F157" i="37"/>
  <c r="A158" i="37"/>
  <c r="B158" i="37"/>
  <c r="C158" i="37"/>
  <c r="F158" i="37"/>
  <c r="A159" i="37"/>
  <c r="B159" i="37"/>
  <c r="C159" i="37"/>
  <c r="F159" i="37"/>
  <c r="A160" i="37"/>
  <c r="B160" i="37"/>
  <c r="C160" i="37"/>
  <c r="F160" i="37"/>
  <c r="A161" i="37"/>
  <c r="B161" i="37"/>
  <c r="C161" i="37"/>
  <c r="F161" i="37"/>
  <c r="A162" i="37"/>
  <c r="B162" i="37"/>
  <c r="C162" i="37"/>
  <c r="F162" i="37"/>
  <c r="A163" i="37"/>
  <c r="B163" i="37"/>
  <c r="C163" i="37"/>
  <c r="F163" i="37"/>
  <c r="A164" i="37"/>
  <c r="B164" i="37"/>
  <c r="C164" i="37"/>
  <c r="F164" i="37"/>
  <c r="A165" i="37"/>
  <c r="B165" i="37"/>
  <c r="C165" i="37"/>
  <c r="F165" i="37"/>
  <c r="A166" i="37"/>
  <c r="B166" i="37"/>
  <c r="C166" i="37"/>
  <c r="F166" i="37"/>
  <c r="A167" i="37"/>
  <c r="B167" i="37"/>
  <c r="C167" i="37"/>
  <c r="F167" i="37"/>
  <c r="A168" i="37"/>
  <c r="B168" i="37"/>
  <c r="C168" i="37"/>
  <c r="F168" i="37"/>
  <c r="A169" i="37"/>
  <c r="B169" i="37"/>
  <c r="C169" i="37"/>
  <c r="F169" i="37"/>
  <c r="A170" i="37"/>
  <c r="B170" i="37"/>
  <c r="C170" i="37"/>
  <c r="F170" i="37"/>
  <c r="A171" i="37"/>
  <c r="B171" i="37"/>
  <c r="C171" i="37"/>
  <c r="F171" i="37"/>
  <c r="A172" i="37"/>
  <c r="B172" i="37"/>
  <c r="C172" i="37"/>
  <c r="F172" i="37"/>
  <c r="A173" i="37"/>
  <c r="B173" i="37"/>
  <c r="C173" i="37"/>
  <c r="F173" i="37"/>
  <c r="A174" i="37"/>
  <c r="B174" i="37"/>
  <c r="C174" i="37"/>
  <c r="F174" i="37"/>
  <c r="A175" i="37"/>
  <c r="B175" i="37"/>
  <c r="C175" i="37"/>
  <c r="F175" i="37"/>
  <c r="A176" i="37"/>
  <c r="B176" i="37"/>
  <c r="C176" i="37"/>
  <c r="F176" i="37"/>
  <c r="A177" i="37"/>
  <c r="B177" i="37"/>
  <c r="C177" i="37"/>
  <c r="F177" i="37"/>
  <c r="A178" i="37"/>
  <c r="B178" i="37"/>
  <c r="C178" i="37"/>
  <c r="F178" i="37"/>
  <c r="A179" i="37"/>
  <c r="B179" i="37"/>
  <c r="C179" i="37"/>
  <c r="F179" i="37"/>
  <c r="A180" i="37"/>
  <c r="B180" i="37"/>
  <c r="C180" i="37"/>
  <c r="F180" i="37"/>
  <c r="A181" i="37"/>
  <c r="B181" i="37"/>
  <c r="C181" i="37"/>
  <c r="F181" i="37"/>
  <c r="A182" i="37"/>
  <c r="B182" i="37"/>
  <c r="C182" i="37"/>
  <c r="F182" i="37"/>
  <c r="A183" i="37"/>
  <c r="B183" i="37"/>
  <c r="C183" i="37"/>
  <c r="F183" i="37"/>
  <c r="A184" i="37"/>
  <c r="B184" i="37"/>
  <c r="C184" i="37"/>
  <c r="F184" i="37"/>
  <c r="A185" i="37"/>
  <c r="B185" i="37"/>
  <c r="C185" i="37"/>
  <c r="F185" i="37"/>
  <c r="A186" i="37"/>
  <c r="B186" i="37"/>
  <c r="C186" i="37"/>
  <c r="F186" i="37"/>
  <c r="A187" i="37"/>
  <c r="B187" i="37"/>
  <c r="C187" i="37"/>
  <c r="F187" i="37"/>
  <c r="A188" i="37"/>
  <c r="B188" i="37"/>
  <c r="C188" i="37"/>
  <c r="F188" i="37"/>
  <c r="A189" i="37"/>
  <c r="B189" i="37"/>
  <c r="C189" i="37"/>
  <c r="F189" i="37"/>
  <c r="A190" i="37"/>
  <c r="B190" i="37"/>
  <c r="C190" i="37"/>
  <c r="F190" i="37"/>
  <c r="A191" i="37"/>
  <c r="B191" i="37"/>
  <c r="C191" i="37"/>
  <c r="F191" i="37"/>
  <c r="A192" i="37"/>
  <c r="B192" i="37"/>
  <c r="C192" i="37"/>
  <c r="F192" i="37"/>
  <c r="A193" i="37"/>
  <c r="B193" i="37"/>
  <c r="C193" i="37"/>
  <c r="F193" i="37"/>
  <c r="A194" i="37"/>
  <c r="B194" i="37"/>
  <c r="C194" i="37"/>
  <c r="F194" i="37"/>
  <c r="A195" i="37"/>
  <c r="B195" i="37"/>
  <c r="C195" i="37"/>
  <c r="F195" i="37"/>
  <c r="A196" i="37"/>
  <c r="B196" i="37"/>
  <c r="C196" i="37"/>
  <c r="F196" i="37"/>
  <c r="A197" i="37"/>
  <c r="B197" i="37"/>
  <c r="C197" i="37"/>
  <c r="F197" i="37"/>
  <c r="A198" i="37"/>
  <c r="B198" i="37"/>
  <c r="C198" i="37"/>
  <c r="F198" i="37"/>
  <c r="A199" i="37"/>
  <c r="B199" i="37"/>
  <c r="C199" i="37"/>
  <c r="F199" i="37"/>
  <c r="A200" i="37"/>
  <c r="B200" i="37"/>
  <c r="C200" i="37"/>
  <c r="F200" i="37"/>
  <c r="A201" i="37"/>
  <c r="B201" i="37"/>
  <c r="C201" i="37"/>
  <c r="F201" i="37"/>
  <c r="A202" i="37"/>
  <c r="B202" i="37"/>
  <c r="C202" i="37"/>
  <c r="F202" i="37"/>
  <c r="A203" i="37"/>
  <c r="B203" i="37"/>
  <c r="C203" i="37"/>
  <c r="F203" i="37"/>
  <c r="A204" i="37"/>
  <c r="B204" i="37"/>
  <c r="C204" i="37"/>
  <c r="F204" i="37"/>
  <c r="A205" i="37"/>
  <c r="B205" i="37"/>
  <c r="C205" i="37"/>
  <c r="F205" i="37"/>
  <c r="A206" i="37"/>
  <c r="B206" i="37"/>
  <c r="C206" i="37"/>
  <c r="F206" i="37"/>
  <c r="A207" i="37"/>
  <c r="B207" i="37"/>
  <c r="C207" i="37"/>
  <c r="F207" i="37"/>
  <c r="A208" i="37"/>
  <c r="B208" i="37"/>
  <c r="C208" i="37"/>
  <c r="F208" i="37"/>
  <c r="A209" i="37"/>
  <c r="B209" i="37"/>
  <c r="C209" i="37"/>
  <c r="F209" i="37"/>
  <c r="A210" i="37"/>
  <c r="B210" i="37"/>
  <c r="C210" i="37"/>
  <c r="F210" i="37"/>
  <c r="A211" i="37"/>
  <c r="B211" i="37"/>
  <c r="C211" i="37"/>
  <c r="F211" i="37"/>
  <c r="A212" i="37"/>
  <c r="B212" i="37"/>
  <c r="C212" i="37"/>
  <c r="F212" i="37"/>
  <c r="A213" i="37"/>
  <c r="B213" i="37"/>
  <c r="C213" i="37"/>
  <c r="F213" i="37"/>
  <c r="A214" i="37"/>
  <c r="B214" i="37"/>
  <c r="C214" i="37"/>
  <c r="F214" i="37"/>
  <c r="A215" i="37"/>
  <c r="B215" i="37"/>
  <c r="C215" i="37"/>
  <c r="F215" i="37"/>
  <c r="A216" i="37"/>
  <c r="B216" i="37"/>
  <c r="C216" i="37"/>
  <c r="F216" i="37"/>
  <c r="A217" i="37"/>
  <c r="B217" i="37"/>
  <c r="C217" i="37"/>
  <c r="F217" i="37"/>
  <c r="A218" i="37"/>
  <c r="B218" i="37"/>
  <c r="C218" i="37"/>
  <c r="F218" i="37"/>
  <c r="A219" i="37"/>
  <c r="B219" i="37"/>
  <c r="C219" i="37"/>
  <c r="F219" i="37"/>
  <c r="A220" i="37"/>
  <c r="B220" i="37"/>
  <c r="C220" i="37"/>
  <c r="F220" i="37"/>
  <c r="A221" i="37"/>
  <c r="B221" i="37"/>
  <c r="C221" i="37"/>
  <c r="F221" i="37"/>
  <c r="A222" i="37"/>
  <c r="B222" i="37"/>
  <c r="C222" i="37"/>
  <c r="F222" i="37"/>
  <c r="A223" i="37"/>
  <c r="B223" i="37"/>
  <c r="C223" i="37"/>
  <c r="F223" i="37"/>
  <c r="A224" i="37"/>
  <c r="B224" i="37"/>
  <c r="C224" i="37"/>
  <c r="F224" i="37"/>
  <c r="A225" i="37"/>
  <c r="B225" i="37"/>
  <c r="C225" i="37"/>
  <c r="F225" i="37"/>
  <c r="A226" i="37"/>
  <c r="B226" i="37"/>
  <c r="C226" i="37"/>
  <c r="F226" i="37"/>
  <c r="A227" i="37"/>
  <c r="B227" i="37"/>
  <c r="C227" i="37"/>
  <c r="F227" i="37"/>
  <c r="A228" i="37"/>
  <c r="B228" i="37"/>
  <c r="C228" i="37"/>
  <c r="F228" i="37"/>
  <c r="A229" i="37"/>
  <c r="B229" i="37"/>
  <c r="C229" i="37"/>
  <c r="F229" i="37"/>
  <c r="A230" i="37"/>
  <c r="B230" i="37"/>
  <c r="C230" i="37"/>
  <c r="F230" i="37"/>
  <c r="A231" i="37"/>
  <c r="B231" i="37"/>
  <c r="C231" i="37"/>
  <c r="F231" i="37"/>
  <c r="A232" i="37"/>
  <c r="B232" i="37"/>
  <c r="C232" i="37"/>
  <c r="F232" i="37"/>
  <c r="A233" i="37"/>
  <c r="B233" i="37"/>
  <c r="C233" i="37"/>
  <c r="F233" i="37"/>
  <c r="A234" i="37"/>
  <c r="B234" i="37"/>
  <c r="C234" i="37"/>
  <c r="F234" i="37"/>
  <c r="A235" i="37"/>
  <c r="B235" i="37"/>
  <c r="C235" i="37"/>
  <c r="F235" i="37"/>
  <c r="A236" i="37"/>
  <c r="B236" i="37"/>
  <c r="C236" i="37"/>
  <c r="F236" i="37"/>
  <c r="A237" i="37"/>
  <c r="B237" i="37"/>
  <c r="C237" i="37"/>
  <c r="F237" i="37"/>
  <c r="A238" i="37"/>
  <c r="B238" i="37"/>
  <c r="C238" i="37"/>
  <c r="F238" i="37"/>
  <c r="A239" i="37"/>
  <c r="B239" i="37"/>
  <c r="C239" i="37"/>
  <c r="F239" i="37"/>
  <c r="A240" i="37"/>
  <c r="B240" i="37"/>
  <c r="C240" i="37"/>
  <c r="F240" i="37"/>
  <c r="A241" i="37"/>
  <c r="B241" i="37"/>
  <c r="C241" i="37"/>
  <c r="F241" i="37"/>
  <c r="A242" i="37"/>
  <c r="B242" i="37"/>
  <c r="C242" i="37"/>
  <c r="F242" i="37"/>
  <c r="A243" i="37"/>
  <c r="B243" i="37"/>
  <c r="C243" i="37"/>
  <c r="F243" i="37"/>
  <c r="A244" i="37"/>
  <c r="B244" i="37"/>
  <c r="C244" i="37"/>
  <c r="F244" i="37"/>
  <c r="A245" i="37"/>
  <c r="B245" i="37"/>
  <c r="C245" i="37"/>
  <c r="F245" i="37"/>
  <c r="A246" i="37"/>
  <c r="B246" i="37"/>
  <c r="C246" i="37"/>
  <c r="F246" i="37"/>
  <c r="A247" i="37"/>
  <c r="B247" i="37"/>
  <c r="C247" i="37"/>
  <c r="F247" i="37"/>
  <c r="A248" i="37"/>
  <c r="B248" i="37"/>
  <c r="C248" i="37"/>
  <c r="F248" i="37"/>
  <c r="A249" i="37"/>
  <c r="B249" i="37"/>
  <c r="C249" i="37"/>
  <c r="F249" i="37"/>
  <c r="A250" i="37"/>
  <c r="B250" i="37"/>
  <c r="C250" i="37"/>
  <c r="F250" i="37"/>
  <c r="A251" i="37"/>
  <c r="B251" i="37"/>
  <c r="C251" i="37"/>
  <c r="F251" i="37"/>
  <c r="A252" i="37"/>
  <c r="B252" i="37"/>
  <c r="C252" i="37"/>
  <c r="F252" i="37"/>
  <c r="A253" i="37"/>
  <c r="B253" i="37"/>
  <c r="C253" i="37"/>
  <c r="F253" i="37"/>
  <c r="A254" i="37"/>
  <c r="B254" i="37"/>
  <c r="C254" i="37"/>
  <c r="F254" i="37"/>
  <c r="A255" i="37"/>
  <c r="B255" i="37"/>
  <c r="C255" i="37"/>
  <c r="F255" i="37"/>
  <c r="A256" i="37"/>
  <c r="B256" i="37"/>
  <c r="C256" i="37"/>
  <c r="F256" i="37"/>
  <c r="A257" i="37"/>
  <c r="B257" i="37"/>
  <c r="C257" i="37"/>
  <c r="F257" i="37"/>
  <c r="A258" i="37"/>
  <c r="B258" i="37"/>
  <c r="C258" i="37"/>
  <c r="F258" i="37"/>
  <c r="A259" i="37"/>
  <c r="B259" i="37"/>
  <c r="C259" i="37"/>
  <c r="F259" i="37"/>
  <c r="A260" i="37"/>
  <c r="B260" i="37"/>
  <c r="C260" i="37"/>
  <c r="F260" i="37"/>
  <c r="A261" i="37"/>
  <c r="B261" i="37"/>
  <c r="C261" i="37"/>
  <c r="F261" i="37"/>
  <c r="A262" i="37"/>
  <c r="B262" i="37"/>
  <c r="C262" i="37"/>
  <c r="F262" i="37"/>
  <c r="A263" i="37"/>
  <c r="B263" i="37"/>
  <c r="C263" i="37"/>
  <c r="F263" i="37"/>
  <c r="A264" i="37"/>
  <c r="B264" i="37"/>
  <c r="C264" i="37"/>
  <c r="F264" i="37"/>
  <c r="A265" i="37"/>
  <c r="B265" i="37"/>
  <c r="C265" i="37"/>
  <c r="F265" i="37"/>
  <c r="A266" i="37"/>
  <c r="B266" i="37"/>
  <c r="C266" i="37"/>
  <c r="F266" i="37"/>
  <c r="A267" i="37"/>
  <c r="B267" i="37"/>
  <c r="C267" i="37"/>
  <c r="F267" i="37"/>
  <c r="A268" i="37"/>
  <c r="B268" i="37"/>
  <c r="C268" i="37"/>
  <c r="F268" i="37"/>
  <c r="A269" i="37"/>
  <c r="B269" i="37"/>
  <c r="C269" i="37"/>
  <c r="F269" i="37"/>
  <c r="A270" i="37"/>
  <c r="B270" i="37"/>
  <c r="C270" i="37"/>
  <c r="F270" i="37"/>
  <c r="A271" i="37"/>
  <c r="B271" i="37"/>
  <c r="C271" i="37"/>
  <c r="F271" i="37"/>
  <c r="A272" i="37"/>
  <c r="B272" i="37"/>
  <c r="C272" i="37"/>
  <c r="F272" i="37"/>
  <c r="A273" i="37"/>
  <c r="B273" i="37"/>
  <c r="C273" i="37"/>
  <c r="F273" i="37"/>
  <c r="A274" i="37"/>
  <c r="B274" i="37"/>
  <c r="C274" i="37"/>
  <c r="F274" i="37"/>
  <c r="A275" i="37"/>
  <c r="B275" i="37"/>
  <c r="C275" i="37"/>
  <c r="F275" i="37"/>
  <c r="A276" i="37"/>
  <c r="B276" i="37"/>
  <c r="C276" i="37"/>
  <c r="F276" i="37"/>
  <c r="A277" i="37"/>
  <c r="B277" i="37"/>
  <c r="C277" i="37"/>
  <c r="F277" i="37"/>
  <c r="A278" i="37"/>
  <c r="B278" i="37"/>
  <c r="C278" i="37"/>
  <c r="F278" i="37"/>
  <c r="A279" i="37"/>
  <c r="B279" i="37"/>
  <c r="C279" i="37"/>
  <c r="F279" i="37"/>
  <c r="A280" i="37"/>
  <c r="B280" i="37"/>
  <c r="C280" i="37"/>
  <c r="F280" i="37"/>
  <c r="A281" i="37"/>
  <c r="B281" i="37"/>
  <c r="C281" i="37"/>
  <c r="F281" i="37"/>
  <c r="A282" i="37"/>
  <c r="B282" i="37"/>
  <c r="C282" i="37"/>
  <c r="F282" i="37"/>
  <c r="A283" i="37"/>
  <c r="B283" i="37"/>
  <c r="C283" i="37"/>
  <c r="F283" i="37"/>
  <c r="A284" i="37"/>
  <c r="B284" i="37"/>
  <c r="C284" i="37"/>
  <c r="F284" i="37"/>
  <c r="A285" i="37"/>
  <c r="B285" i="37"/>
  <c r="C285" i="37"/>
  <c r="F285" i="37"/>
  <c r="A286" i="37"/>
  <c r="B286" i="37"/>
  <c r="C286" i="37"/>
  <c r="F286" i="37"/>
  <c r="A287" i="37"/>
  <c r="B287" i="37"/>
  <c r="C287" i="37"/>
  <c r="F287" i="37"/>
  <c r="A288" i="37"/>
  <c r="B288" i="37"/>
  <c r="C288" i="37"/>
  <c r="F288" i="37"/>
  <c r="A289" i="37"/>
  <c r="B289" i="37"/>
  <c r="C289" i="37"/>
  <c r="F289" i="37"/>
  <c r="A290" i="37"/>
  <c r="B290" i="37"/>
  <c r="C290" i="37"/>
  <c r="F290" i="37"/>
  <c r="A291" i="37"/>
  <c r="B291" i="37"/>
  <c r="C291" i="37"/>
  <c r="F291" i="37"/>
  <c r="A292" i="37"/>
  <c r="B292" i="37"/>
  <c r="C292" i="37"/>
  <c r="F292" i="37"/>
  <c r="A293" i="37"/>
  <c r="B293" i="37"/>
  <c r="C293" i="37"/>
  <c r="F293" i="37"/>
  <c r="A294" i="37"/>
  <c r="B294" i="37"/>
  <c r="C294" i="37"/>
  <c r="F294" i="37"/>
  <c r="A295" i="37"/>
  <c r="B295" i="37"/>
  <c r="C295" i="37"/>
  <c r="F295" i="37"/>
  <c r="A296" i="37"/>
  <c r="B296" i="37"/>
  <c r="C296" i="37"/>
  <c r="F296" i="37"/>
  <c r="A297" i="37"/>
  <c r="B297" i="37"/>
  <c r="C297" i="37"/>
  <c r="F297" i="37"/>
  <c r="A298" i="37"/>
  <c r="B298" i="37"/>
  <c r="C298" i="37"/>
  <c r="F298" i="37"/>
  <c r="A299" i="37"/>
  <c r="B299" i="37"/>
  <c r="C299" i="37"/>
  <c r="F299" i="37"/>
  <c r="A300" i="37"/>
  <c r="B300" i="37"/>
  <c r="C300" i="37"/>
  <c r="F300" i="37"/>
  <c r="A301" i="37"/>
  <c r="B301" i="37"/>
  <c r="C301" i="37"/>
  <c r="F301" i="37"/>
  <c r="A302" i="37"/>
  <c r="B302" i="37"/>
  <c r="C302" i="37"/>
  <c r="F302" i="37"/>
  <c r="A303" i="37"/>
  <c r="B303" i="37"/>
  <c r="C303" i="37"/>
  <c r="F303" i="37"/>
  <c r="A304" i="37"/>
  <c r="B304" i="37"/>
  <c r="C304" i="37"/>
  <c r="F304" i="37"/>
  <c r="A305" i="37"/>
  <c r="B305" i="37"/>
  <c r="C305" i="37"/>
  <c r="F305" i="37"/>
  <c r="A10" i="36"/>
  <c r="B10" i="36"/>
  <c r="C10" i="36"/>
  <c r="A11" i="36"/>
  <c r="B11" i="36"/>
  <c r="C11" i="36"/>
  <c r="A12" i="36"/>
  <c r="B12" i="36"/>
  <c r="C12" i="36"/>
  <c r="A13" i="36"/>
  <c r="B13" i="36"/>
  <c r="C13" i="36"/>
  <c r="A14" i="36"/>
  <c r="B14" i="36"/>
  <c r="C14" i="36"/>
  <c r="A15" i="36"/>
  <c r="B15" i="36"/>
  <c r="C15" i="36"/>
  <c r="A16" i="36"/>
  <c r="B16" i="36"/>
  <c r="C16" i="36"/>
  <c r="A17" i="36"/>
  <c r="B17" i="36"/>
  <c r="C17" i="36"/>
  <c r="A18" i="36"/>
  <c r="B18" i="36"/>
  <c r="C18" i="36"/>
  <c r="A19" i="36"/>
  <c r="B19" i="36"/>
  <c r="C19" i="36"/>
  <c r="A20" i="36"/>
  <c r="B20" i="36"/>
  <c r="C20" i="36"/>
  <c r="A21" i="36"/>
  <c r="B21" i="36"/>
  <c r="C21" i="36"/>
  <c r="A22" i="36"/>
  <c r="B22" i="36"/>
  <c r="C22" i="36"/>
  <c r="A23" i="36"/>
  <c r="B23" i="36"/>
  <c r="C23" i="36"/>
  <c r="A24" i="36"/>
  <c r="B24" i="36"/>
  <c r="C24" i="36"/>
  <c r="A25" i="36"/>
  <c r="B25" i="36"/>
  <c r="C25" i="36"/>
  <c r="A26" i="36"/>
  <c r="B26" i="36"/>
  <c r="C26" i="36"/>
  <c r="A27" i="36"/>
  <c r="B27" i="36"/>
  <c r="C27" i="36"/>
  <c r="A28" i="36"/>
  <c r="B28" i="36"/>
  <c r="C28" i="36"/>
  <c r="A29" i="36"/>
  <c r="B29" i="36"/>
  <c r="C29" i="36"/>
  <c r="A30" i="36"/>
  <c r="B30" i="36"/>
  <c r="C30" i="36"/>
  <c r="A31" i="36"/>
  <c r="B31" i="36"/>
  <c r="C31" i="36"/>
  <c r="A32" i="36"/>
  <c r="B32" i="36"/>
  <c r="C32" i="36"/>
  <c r="A33" i="36"/>
  <c r="B33" i="36"/>
  <c r="C33" i="36"/>
  <c r="A34" i="36"/>
  <c r="B34" i="36"/>
  <c r="C34" i="36"/>
  <c r="A35" i="36"/>
  <c r="B35" i="36"/>
  <c r="C35" i="36"/>
  <c r="A36" i="36"/>
  <c r="B36" i="36"/>
  <c r="C36" i="36"/>
  <c r="A37" i="36"/>
  <c r="B37" i="36"/>
  <c r="C37" i="36"/>
  <c r="A38" i="36"/>
  <c r="B38" i="36"/>
  <c r="C38" i="36"/>
  <c r="A39" i="36"/>
  <c r="B39" i="36"/>
  <c r="C39" i="36"/>
  <c r="A40" i="36"/>
  <c r="B40" i="36"/>
  <c r="C40" i="36"/>
  <c r="A41" i="36"/>
  <c r="B41" i="36"/>
  <c r="C41" i="36"/>
  <c r="A42" i="36"/>
  <c r="B42" i="36"/>
  <c r="C42" i="36"/>
  <c r="A43" i="36"/>
  <c r="B43" i="36"/>
  <c r="C43" i="36"/>
  <c r="A44" i="36"/>
  <c r="B44" i="36"/>
  <c r="C44" i="36"/>
  <c r="A45" i="36"/>
  <c r="B45" i="36"/>
  <c r="C45" i="36"/>
  <c r="A46" i="36"/>
  <c r="B46" i="36"/>
  <c r="C46" i="36"/>
  <c r="A47" i="36"/>
  <c r="B47" i="36"/>
  <c r="C47" i="36"/>
  <c r="A48" i="36"/>
  <c r="B48" i="36"/>
  <c r="C48" i="36"/>
  <c r="A49" i="36"/>
  <c r="B49" i="36"/>
  <c r="C49" i="36"/>
  <c r="A50" i="36"/>
  <c r="B50" i="36"/>
  <c r="C50" i="36"/>
  <c r="A51" i="36"/>
  <c r="B51" i="36"/>
  <c r="C51" i="36"/>
  <c r="A52" i="36"/>
  <c r="B52" i="36"/>
  <c r="C52" i="36"/>
  <c r="A53" i="36"/>
  <c r="B53" i="36"/>
  <c r="C53" i="36"/>
  <c r="A54" i="36"/>
  <c r="B54" i="36"/>
  <c r="C54" i="36"/>
  <c r="A55" i="36"/>
  <c r="B55" i="36"/>
  <c r="C55" i="36"/>
  <c r="A56" i="36"/>
  <c r="B56" i="36"/>
  <c r="C56" i="36"/>
  <c r="A57" i="36"/>
  <c r="B57" i="36"/>
  <c r="C57" i="36"/>
  <c r="A58" i="36"/>
  <c r="B58" i="36"/>
  <c r="C58" i="36"/>
  <c r="A59" i="36"/>
  <c r="B59" i="36"/>
  <c r="C59" i="36"/>
  <c r="A60" i="36"/>
  <c r="B60" i="36"/>
  <c r="C60" i="36"/>
  <c r="A61" i="36"/>
  <c r="B61" i="36"/>
  <c r="C61" i="36"/>
  <c r="A62" i="36"/>
  <c r="B62" i="36"/>
  <c r="C62" i="36"/>
  <c r="A63" i="36"/>
  <c r="B63" i="36"/>
  <c r="C63" i="36"/>
  <c r="A64" i="36"/>
  <c r="B64" i="36"/>
  <c r="C64" i="36"/>
  <c r="A65" i="36"/>
  <c r="B65" i="36"/>
  <c r="C65" i="36"/>
  <c r="A66" i="36"/>
  <c r="B66" i="36"/>
  <c r="C66" i="36"/>
  <c r="A67" i="36"/>
  <c r="B67" i="36"/>
  <c r="C67" i="36"/>
  <c r="A68" i="36"/>
  <c r="B68" i="36"/>
  <c r="C68" i="36"/>
  <c r="A69" i="36"/>
  <c r="B69" i="36"/>
  <c r="C69" i="36"/>
  <c r="A70" i="36"/>
  <c r="B70" i="36"/>
  <c r="C70" i="36"/>
  <c r="A71" i="36"/>
  <c r="B71" i="36"/>
  <c r="C71" i="36"/>
  <c r="A72" i="36"/>
  <c r="B72" i="36"/>
  <c r="C72" i="36"/>
  <c r="A73" i="36"/>
  <c r="B73" i="36"/>
  <c r="C73" i="36"/>
  <c r="A74" i="36"/>
  <c r="B74" i="36"/>
  <c r="C74" i="36"/>
  <c r="A75" i="36"/>
  <c r="B75" i="36"/>
  <c r="C75" i="36"/>
  <c r="A76" i="36"/>
  <c r="B76" i="36"/>
  <c r="C76" i="36"/>
  <c r="A77" i="36"/>
  <c r="B77" i="36"/>
  <c r="C77" i="36"/>
  <c r="A78" i="36"/>
  <c r="B78" i="36"/>
  <c r="C78" i="36"/>
  <c r="A79" i="36"/>
  <c r="B79" i="36"/>
  <c r="C79" i="36"/>
  <c r="A80" i="36"/>
  <c r="B80" i="36"/>
  <c r="C80" i="36"/>
  <c r="A81" i="36"/>
  <c r="B81" i="36"/>
  <c r="C81" i="36"/>
  <c r="A82" i="36"/>
  <c r="B82" i="36"/>
  <c r="C82" i="36"/>
  <c r="A83" i="36"/>
  <c r="B83" i="36"/>
  <c r="C83" i="36"/>
  <c r="A84" i="36"/>
  <c r="B84" i="36"/>
  <c r="C84" i="36"/>
  <c r="A85" i="36"/>
  <c r="B85" i="36"/>
  <c r="C85" i="36"/>
  <c r="A86" i="36"/>
  <c r="B86" i="36"/>
  <c r="C86" i="36"/>
  <c r="A87" i="36"/>
  <c r="B87" i="36"/>
  <c r="C87" i="36"/>
  <c r="A88" i="36"/>
  <c r="B88" i="36"/>
  <c r="C88" i="36"/>
  <c r="A89" i="36"/>
  <c r="B89" i="36"/>
  <c r="C89" i="36"/>
  <c r="A90" i="36"/>
  <c r="B90" i="36"/>
  <c r="C90" i="36"/>
  <c r="A91" i="36"/>
  <c r="B91" i="36"/>
  <c r="C91" i="36"/>
  <c r="A92" i="36"/>
  <c r="B92" i="36"/>
  <c r="C92" i="36"/>
  <c r="A93" i="36"/>
  <c r="B93" i="36"/>
  <c r="C93" i="36"/>
  <c r="A94" i="36"/>
  <c r="B94" i="36"/>
  <c r="C94" i="36"/>
  <c r="A95" i="36"/>
  <c r="B95" i="36"/>
  <c r="C95" i="36"/>
  <c r="A96" i="36"/>
  <c r="B96" i="36"/>
  <c r="C96" i="36"/>
  <c r="A97" i="36"/>
  <c r="B97" i="36"/>
  <c r="C97" i="36"/>
  <c r="A98" i="36"/>
  <c r="B98" i="36"/>
  <c r="C98" i="36"/>
  <c r="A99" i="36"/>
  <c r="B99" i="36"/>
  <c r="C99" i="36"/>
  <c r="A100" i="36"/>
  <c r="B100" i="36"/>
  <c r="C100" i="36"/>
  <c r="A101" i="36"/>
  <c r="B101" i="36"/>
  <c r="C101" i="36"/>
  <c r="A102" i="36"/>
  <c r="B102" i="36"/>
  <c r="C102" i="36"/>
  <c r="A103" i="36"/>
  <c r="B103" i="36"/>
  <c r="C103" i="36"/>
  <c r="A104" i="36"/>
  <c r="B104" i="36"/>
  <c r="C10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A124" i="36"/>
  <c r="B124" i="36"/>
  <c r="C124" i="36"/>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A139" i="36"/>
  <c r="B139" i="36"/>
  <c r="C139" i="36"/>
  <c r="A140" i="36"/>
  <c r="B140" i="36"/>
  <c r="C140" i="36"/>
  <c r="A141" i="36"/>
  <c r="B141" i="36"/>
  <c r="C141" i="36"/>
  <c r="A142" i="36"/>
  <c r="B142" i="36"/>
  <c r="C142" i="36"/>
  <c r="A143" i="36"/>
  <c r="B143" i="36"/>
  <c r="C143" i="36"/>
  <c r="A144" i="36"/>
  <c r="B144" i="36"/>
  <c r="C144" i="36"/>
  <c r="A145" i="36"/>
  <c r="B145" i="36"/>
  <c r="C145" i="36"/>
  <c r="A146" i="36"/>
  <c r="B146" i="36"/>
  <c r="C146" i="36"/>
  <c r="A147" i="36"/>
  <c r="B147" i="36"/>
  <c r="C147" i="36"/>
  <c r="A148" i="36"/>
  <c r="B148" i="36"/>
  <c r="C148" i="36"/>
  <c r="A149" i="36"/>
  <c r="B149" i="36"/>
  <c r="C149" i="36"/>
  <c r="A150" i="36"/>
  <c r="B150" i="36"/>
  <c r="C150" i="36"/>
  <c r="A151" i="36"/>
  <c r="B151" i="36"/>
  <c r="C151" i="36"/>
  <c r="A152" i="36"/>
  <c r="B152" i="36"/>
  <c r="C152" i="36"/>
  <c r="A153" i="36"/>
  <c r="B153" i="36"/>
  <c r="C153" i="36"/>
  <c r="A154" i="36"/>
  <c r="B154" i="36"/>
  <c r="C154" i="36"/>
  <c r="A155" i="36"/>
  <c r="B155" i="36"/>
  <c r="C155" i="36"/>
  <c r="A156" i="36"/>
  <c r="B156" i="36"/>
  <c r="C156" i="36"/>
  <c r="A157" i="36"/>
  <c r="B157" i="36"/>
  <c r="C157" i="36"/>
  <c r="A158" i="36"/>
  <c r="B158" i="36"/>
  <c r="C158" i="36"/>
  <c r="A159" i="36"/>
  <c r="B159" i="36"/>
  <c r="C159" i="36"/>
  <c r="A160" i="36"/>
  <c r="B160" i="36"/>
  <c r="C160" i="36"/>
  <c r="A161" i="36"/>
  <c r="B161" i="36"/>
  <c r="C161" i="36"/>
  <c r="A162" i="36"/>
  <c r="B162" i="36"/>
  <c r="C162" i="36"/>
  <c r="A163" i="36"/>
  <c r="B163" i="36"/>
  <c r="C163" i="36"/>
  <c r="A164" i="36"/>
  <c r="B164" i="36"/>
  <c r="C164" i="36"/>
  <c r="A165" i="36"/>
  <c r="B165" i="36"/>
  <c r="C165" i="36"/>
  <c r="A166" i="36"/>
  <c r="B166" i="36"/>
  <c r="C166" i="36"/>
  <c r="A167" i="36"/>
  <c r="B167" i="36"/>
  <c r="C167" i="36"/>
  <c r="A168" i="36"/>
  <c r="B168" i="36"/>
  <c r="C168" i="36"/>
  <c r="A169" i="36"/>
  <c r="B169" i="36"/>
  <c r="C169" i="36"/>
  <c r="A170" i="36"/>
  <c r="B170" i="36"/>
  <c r="C170" i="36"/>
  <c r="A171" i="36"/>
  <c r="B171" i="36"/>
  <c r="C171" i="36"/>
  <c r="A172" i="36"/>
  <c r="B172" i="36"/>
  <c r="C172" i="36"/>
  <c r="A173" i="36"/>
  <c r="B173" i="36"/>
  <c r="C173" i="36"/>
  <c r="A174" i="36"/>
  <c r="B174" i="36"/>
  <c r="C174" i="36"/>
  <c r="A175" i="36"/>
  <c r="B175" i="36"/>
  <c r="C175" i="36"/>
  <c r="A176" i="36"/>
  <c r="B176" i="36"/>
  <c r="C176" i="36"/>
  <c r="A177" i="36"/>
  <c r="B177" i="36"/>
  <c r="C177" i="36"/>
  <c r="A178" i="36"/>
  <c r="B178" i="36"/>
  <c r="C178" i="36"/>
  <c r="A179" i="36"/>
  <c r="B179" i="36"/>
  <c r="C179" i="36"/>
  <c r="A180" i="36"/>
  <c r="B180" i="36"/>
  <c r="C180" i="36"/>
  <c r="A181" i="36"/>
  <c r="B181" i="36"/>
  <c r="C181" i="36"/>
  <c r="A182" i="36"/>
  <c r="B182" i="36"/>
  <c r="C182" i="36"/>
  <c r="A183" i="36"/>
  <c r="B183" i="36"/>
  <c r="C183" i="36"/>
  <c r="A184" i="36"/>
  <c r="B184" i="36"/>
  <c r="C184" i="36"/>
  <c r="A185" i="36"/>
  <c r="B185" i="36"/>
  <c r="C185" i="36"/>
  <c r="A186" i="36"/>
  <c r="B186" i="36"/>
  <c r="C186" i="36"/>
  <c r="A187" i="36"/>
  <c r="B187" i="36"/>
  <c r="C187" i="36"/>
  <c r="A188" i="36"/>
  <c r="B188" i="36"/>
  <c r="C188" i="36"/>
  <c r="A189" i="36"/>
  <c r="B189" i="36"/>
  <c r="C189" i="36"/>
  <c r="A190" i="36"/>
  <c r="B190" i="36"/>
  <c r="C190" i="36"/>
  <c r="A191" i="36"/>
  <c r="B191" i="36"/>
  <c r="C191" i="36"/>
  <c r="A192" i="36"/>
  <c r="B192" i="36"/>
  <c r="C192" i="36"/>
  <c r="A193" i="36"/>
  <c r="B193" i="36"/>
  <c r="C193" i="36"/>
  <c r="A194" i="36"/>
  <c r="B194" i="36"/>
  <c r="C194" i="36"/>
  <c r="A195" i="36"/>
  <c r="B195" i="36"/>
  <c r="C195" i="36"/>
  <c r="A196" i="36"/>
  <c r="B196" i="36"/>
  <c r="C196" i="36"/>
  <c r="A197" i="36"/>
  <c r="B197" i="36"/>
  <c r="C197" i="36"/>
  <c r="A198" i="36"/>
  <c r="B198" i="36"/>
  <c r="C198" i="36"/>
  <c r="A199" i="36"/>
  <c r="B199" i="36"/>
  <c r="C199" i="36"/>
  <c r="A200" i="36"/>
  <c r="B200" i="36"/>
  <c r="C200" i="36"/>
  <c r="A201" i="36"/>
  <c r="B201" i="36"/>
  <c r="C201" i="36"/>
  <c r="A202" i="36"/>
  <c r="B202" i="36"/>
  <c r="C202" i="36"/>
  <c r="A203" i="36"/>
  <c r="B203" i="36"/>
  <c r="C203" i="36"/>
  <c r="A204" i="36"/>
  <c r="B204" i="36"/>
  <c r="C204" i="36"/>
  <c r="A205" i="36"/>
  <c r="B205" i="36"/>
  <c r="C205" i="36"/>
  <c r="A206" i="36"/>
  <c r="B206" i="36"/>
  <c r="C206" i="36"/>
  <c r="A207" i="36"/>
  <c r="B207" i="36"/>
  <c r="C207" i="36"/>
  <c r="A208" i="36"/>
  <c r="B208" i="36"/>
  <c r="C208" i="36"/>
  <c r="A209" i="36"/>
  <c r="B209" i="36"/>
  <c r="C209" i="36"/>
  <c r="A210" i="36"/>
  <c r="B210" i="36"/>
  <c r="C210" i="36"/>
  <c r="A211" i="36"/>
  <c r="B211" i="36"/>
  <c r="C211" i="36"/>
  <c r="A212" i="36"/>
  <c r="B212" i="36"/>
  <c r="C212" i="36"/>
  <c r="A213" i="36"/>
  <c r="B213" i="36"/>
  <c r="C213" i="36"/>
  <c r="A214" i="36"/>
  <c r="B214" i="36"/>
  <c r="C214" i="36"/>
  <c r="A215" i="36"/>
  <c r="B215" i="36"/>
  <c r="C215" i="36"/>
  <c r="A216" i="36"/>
  <c r="B216" i="36"/>
  <c r="C216" i="36"/>
  <c r="A217" i="36"/>
  <c r="B217" i="36"/>
  <c r="C217" i="36"/>
  <c r="A218" i="36"/>
  <c r="B218" i="36"/>
  <c r="C218" i="36"/>
  <c r="A219" i="36"/>
  <c r="B219" i="36"/>
  <c r="C219" i="36"/>
  <c r="A220" i="36"/>
  <c r="B220" i="36"/>
  <c r="C220" i="36"/>
  <c r="A221" i="36"/>
  <c r="B221" i="36"/>
  <c r="C221" i="36"/>
  <c r="A222" i="36"/>
  <c r="B222" i="36"/>
  <c r="C222" i="36"/>
  <c r="A223" i="36"/>
  <c r="B223" i="36"/>
  <c r="C223" i="36"/>
  <c r="A224" i="36"/>
  <c r="B224" i="36"/>
  <c r="C224" i="36"/>
  <c r="A225" i="36"/>
  <c r="B225" i="36"/>
  <c r="C225" i="36"/>
  <c r="A226" i="36"/>
  <c r="B226" i="36"/>
  <c r="C226" i="36"/>
  <c r="A227" i="36"/>
  <c r="B227" i="36"/>
  <c r="C227" i="36"/>
  <c r="A228" i="36"/>
  <c r="B228" i="36"/>
  <c r="C228" i="36"/>
  <c r="A229" i="36"/>
  <c r="B229" i="36"/>
  <c r="C229" i="36"/>
  <c r="A230" i="36"/>
  <c r="B230" i="36"/>
  <c r="C230" i="36"/>
  <c r="A231" i="36"/>
  <c r="B231" i="36"/>
  <c r="C231" i="36"/>
  <c r="A232" i="36"/>
  <c r="B232" i="36"/>
  <c r="C232" i="36"/>
  <c r="A233" i="36"/>
  <c r="B233" i="36"/>
  <c r="C233" i="36"/>
  <c r="A234" i="36"/>
  <c r="B234" i="36"/>
  <c r="C234" i="36"/>
  <c r="A235" i="36"/>
  <c r="B235" i="36"/>
  <c r="C235" i="36"/>
  <c r="A236" i="36"/>
  <c r="B236" i="36"/>
  <c r="C236" i="36"/>
  <c r="A237" i="36"/>
  <c r="B237" i="36"/>
  <c r="C237" i="36"/>
  <c r="A238" i="36"/>
  <c r="B238" i="36"/>
  <c r="C238" i="36"/>
  <c r="A239" i="36"/>
  <c r="B239" i="36"/>
  <c r="C239" i="36"/>
  <c r="A240" i="36"/>
  <c r="B240" i="36"/>
  <c r="C240" i="36"/>
  <c r="A241" i="36"/>
  <c r="B241" i="36"/>
  <c r="C241" i="36"/>
  <c r="A242" i="36"/>
  <c r="B242" i="36"/>
  <c r="C242" i="36"/>
  <c r="A243" i="36"/>
  <c r="B243" i="36"/>
  <c r="C243" i="36"/>
  <c r="A244" i="36"/>
  <c r="B244" i="36"/>
  <c r="C244" i="36"/>
  <c r="A245" i="36"/>
  <c r="B245" i="36"/>
  <c r="C245" i="36"/>
  <c r="A246" i="36"/>
  <c r="B246" i="36"/>
  <c r="C246" i="36"/>
  <c r="A247" i="36"/>
  <c r="B247" i="36"/>
  <c r="C247" i="36"/>
  <c r="A248" i="36"/>
  <c r="B248" i="36"/>
  <c r="C248" i="36"/>
  <c r="A249" i="36"/>
  <c r="B249" i="36"/>
  <c r="C249" i="36"/>
  <c r="A250" i="36"/>
  <c r="B250" i="36"/>
  <c r="C250" i="36"/>
  <c r="A251" i="36"/>
  <c r="B251" i="36"/>
  <c r="C251" i="36"/>
  <c r="A252" i="36"/>
  <c r="B252" i="36"/>
  <c r="C252" i="36"/>
  <c r="A253" i="36"/>
  <c r="B253" i="36"/>
  <c r="C253" i="36"/>
  <c r="A254" i="36"/>
  <c r="B254" i="36"/>
  <c r="C254" i="36"/>
  <c r="A255" i="36"/>
  <c r="B255" i="36"/>
  <c r="C255" i="36"/>
  <c r="A256" i="36"/>
  <c r="B256" i="36"/>
  <c r="C256" i="36"/>
  <c r="A257" i="36"/>
  <c r="B257" i="36"/>
  <c r="C257" i="36"/>
  <c r="A258" i="36"/>
  <c r="B258" i="36"/>
  <c r="C258" i="36"/>
  <c r="A259" i="36"/>
  <c r="B259" i="36"/>
  <c r="C259" i="36"/>
  <c r="A260" i="36"/>
  <c r="B260" i="36"/>
  <c r="C260" i="36"/>
  <c r="A261" i="36"/>
  <c r="B261" i="36"/>
  <c r="C261" i="36"/>
  <c r="A262" i="36"/>
  <c r="B262" i="36"/>
  <c r="C262" i="36"/>
  <c r="A263" i="36"/>
  <c r="B263" i="36"/>
  <c r="C263" i="36"/>
  <c r="A264" i="36"/>
  <c r="B264" i="36"/>
  <c r="C264" i="36"/>
  <c r="A265" i="36"/>
  <c r="B265" i="36"/>
  <c r="C265" i="36"/>
  <c r="A266" i="36"/>
  <c r="B266" i="36"/>
  <c r="C266" i="36"/>
  <c r="A267" i="36"/>
  <c r="B267" i="36"/>
  <c r="C267" i="36"/>
  <c r="A268" i="36"/>
  <c r="B268" i="36"/>
  <c r="C268" i="36"/>
  <c r="A269" i="36"/>
  <c r="B269" i="36"/>
  <c r="C269" i="36"/>
  <c r="A270" i="36"/>
  <c r="B270" i="36"/>
  <c r="C270" i="36"/>
  <c r="A271" i="36"/>
  <c r="B271" i="36"/>
  <c r="C271" i="36"/>
  <c r="A272" i="36"/>
  <c r="B272" i="36"/>
  <c r="C272" i="36"/>
  <c r="A273" i="36"/>
  <c r="B273" i="36"/>
  <c r="C273" i="36"/>
  <c r="A274" i="36"/>
  <c r="B274" i="36"/>
  <c r="C274" i="36"/>
  <c r="A275" i="36"/>
  <c r="B275" i="36"/>
  <c r="C275" i="36"/>
  <c r="A276" i="36"/>
  <c r="B276" i="36"/>
  <c r="C276" i="36"/>
  <c r="A277" i="36"/>
  <c r="B277" i="36"/>
  <c r="C277" i="36"/>
  <c r="A278" i="36"/>
  <c r="B278" i="36"/>
  <c r="C278" i="36"/>
  <c r="A279" i="36"/>
  <c r="B279" i="36"/>
  <c r="C279" i="36"/>
  <c r="A280" i="36"/>
  <c r="B280" i="36"/>
  <c r="C280" i="36"/>
  <c r="A281" i="36"/>
  <c r="B281" i="36"/>
  <c r="C281" i="36"/>
  <c r="A282" i="36"/>
  <c r="B282" i="36"/>
  <c r="C282" i="36"/>
  <c r="A283" i="36"/>
  <c r="B283" i="36"/>
  <c r="C283" i="36"/>
  <c r="A284" i="36"/>
  <c r="B284" i="36"/>
  <c r="C284" i="36"/>
  <c r="A285" i="36"/>
  <c r="B285" i="36"/>
  <c r="C285" i="36"/>
  <c r="A286" i="36"/>
  <c r="B286" i="36"/>
  <c r="C286" i="36"/>
  <c r="A287" i="36"/>
  <c r="B287" i="36"/>
  <c r="C287" i="36"/>
  <c r="A288" i="36"/>
  <c r="B288" i="36"/>
  <c r="C288" i="36"/>
  <c r="A289" i="36"/>
  <c r="B289" i="36"/>
  <c r="C289" i="36"/>
  <c r="A290" i="36"/>
  <c r="B290" i="36"/>
  <c r="C290" i="36"/>
  <c r="A291" i="36"/>
  <c r="B291" i="36"/>
  <c r="C291" i="36"/>
  <c r="A292" i="36"/>
  <c r="B292" i="36"/>
  <c r="C292" i="36"/>
  <c r="A293" i="36"/>
  <c r="B293" i="36"/>
  <c r="C293" i="36"/>
  <c r="A294" i="36"/>
  <c r="B294" i="36"/>
  <c r="C294" i="36"/>
  <c r="A295" i="36"/>
  <c r="B295" i="36"/>
  <c r="C295" i="36"/>
  <c r="A296" i="36"/>
  <c r="B296" i="36"/>
  <c r="C296" i="36"/>
  <c r="A297" i="36"/>
  <c r="B297" i="36"/>
  <c r="C297" i="36"/>
  <c r="A298" i="36"/>
  <c r="B298" i="36"/>
  <c r="C298" i="36"/>
  <c r="A299" i="36"/>
  <c r="B299" i="36"/>
  <c r="C299" i="36"/>
  <c r="A300" i="36"/>
  <c r="B300" i="36"/>
  <c r="C300" i="36"/>
  <c r="A301" i="36"/>
  <c r="B301" i="36"/>
  <c r="C301" i="36"/>
  <c r="A302" i="36"/>
  <c r="B302" i="36"/>
  <c r="C302" i="36"/>
  <c r="A303" i="36"/>
  <c r="B303" i="36"/>
  <c r="C303" i="36"/>
  <c r="A304" i="36"/>
  <c r="B304" i="36"/>
  <c r="C304" i="36"/>
  <c r="A305" i="36"/>
  <c r="B305" i="36"/>
  <c r="C305" i="36"/>
  <c r="A306" i="36"/>
  <c r="B306" i="36"/>
  <c r="C306" i="36"/>
  <c r="A307" i="36"/>
  <c r="B307" i="36"/>
  <c r="C307" i="36"/>
  <c r="A308" i="36"/>
  <c r="B308" i="36"/>
  <c r="C308" i="36"/>
  <c r="A13" i="34"/>
  <c r="B13" i="34"/>
  <c r="D13" i="34"/>
  <c r="A14" i="34"/>
  <c r="B14" i="34"/>
  <c r="D14" i="34"/>
  <c r="A15" i="34"/>
  <c r="B15" i="34"/>
  <c r="D15" i="34"/>
  <c r="A16" i="34"/>
  <c r="B16" i="34"/>
  <c r="D16" i="34"/>
  <c r="A17" i="34"/>
  <c r="B17" i="34"/>
  <c r="D17" i="34"/>
  <c r="A18" i="34"/>
  <c r="B18" i="34"/>
  <c r="D18" i="34"/>
  <c r="A19" i="34"/>
  <c r="B19" i="34"/>
  <c r="D19" i="34"/>
  <c r="A20" i="34"/>
  <c r="B20" i="34"/>
  <c r="D20" i="34"/>
  <c r="A21" i="34"/>
  <c r="B21" i="34"/>
  <c r="D21" i="34"/>
  <c r="A22" i="34"/>
  <c r="B22" i="34"/>
  <c r="D22" i="34"/>
  <c r="A23" i="34"/>
  <c r="B23" i="34"/>
  <c r="D23" i="34"/>
  <c r="A24" i="34"/>
  <c r="B24" i="34"/>
  <c r="D24" i="34"/>
  <c r="A25" i="34"/>
  <c r="B25" i="34"/>
  <c r="D25" i="34"/>
  <c r="A26" i="34"/>
  <c r="B26" i="34"/>
  <c r="D26" i="34"/>
  <c r="A27" i="34"/>
  <c r="B27" i="34"/>
  <c r="D27" i="34"/>
  <c r="A28" i="34"/>
  <c r="B28" i="34"/>
  <c r="D28" i="34"/>
  <c r="A29" i="34"/>
  <c r="B29" i="34"/>
  <c r="D29" i="34"/>
  <c r="A30" i="34"/>
  <c r="B30" i="34"/>
  <c r="D30" i="34"/>
  <c r="A31" i="34"/>
  <c r="B31" i="34"/>
  <c r="D31" i="34"/>
  <c r="A32" i="34"/>
  <c r="B32" i="34"/>
  <c r="D32" i="34"/>
  <c r="A33" i="34"/>
  <c r="B33" i="34"/>
  <c r="D33" i="34"/>
  <c r="A34" i="34"/>
  <c r="B34" i="34"/>
  <c r="D34" i="34"/>
  <c r="A35" i="34"/>
  <c r="B35" i="34"/>
  <c r="D35" i="34"/>
  <c r="A36" i="34"/>
  <c r="B36" i="34"/>
  <c r="D36" i="34"/>
  <c r="A37" i="34"/>
  <c r="B37" i="34"/>
  <c r="D37" i="34"/>
  <c r="A38" i="34"/>
  <c r="B38" i="34"/>
  <c r="D38" i="34"/>
  <c r="A39" i="34"/>
  <c r="B39" i="34"/>
  <c r="D39" i="34"/>
  <c r="A40" i="34"/>
  <c r="B40" i="34"/>
  <c r="D40" i="34"/>
  <c r="A41" i="34"/>
  <c r="B41" i="34"/>
  <c r="D41" i="34"/>
  <c r="A42" i="34"/>
  <c r="B42" i="34"/>
  <c r="D42" i="34"/>
  <c r="A43" i="34"/>
  <c r="B43" i="34"/>
  <c r="D43" i="34"/>
  <c r="A44" i="34"/>
  <c r="B44" i="34"/>
  <c r="D44" i="34"/>
  <c r="A45" i="34"/>
  <c r="B45" i="34"/>
  <c r="D45" i="34"/>
  <c r="A46" i="34"/>
  <c r="B46" i="34"/>
  <c r="D46" i="34"/>
  <c r="A47" i="34"/>
  <c r="B47" i="34"/>
  <c r="D47" i="34"/>
  <c r="A48" i="34"/>
  <c r="B48" i="34"/>
  <c r="D48" i="34"/>
  <c r="A49" i="34"/>
  <c r="B49" i="34"/>
  <c r="D49" i="34"/>
  <c r="A50" i="34"/>
  <c r="B50" i="34"/>
  <c r="D50" i="34"/>
  <c r="A51" i="34"/>
  <c r="B51" i="34"/>
  <c r="D51" i="34"/>
  <c r="A52" i="34"/>
  <c r="B52" i="34"/>
  <c r="D52" i="34"/>
  <c r="A53" i="34"/>
  <c r="B53" i="34"/>
  <c r="D53" i="34"/>
  <c r="A54" i="34"/>
  <c r="B54" i="34"/>
  <c r="D54" i="34"/>
  <c r="A55" i="34"/>
  <c r="B55" i="34"/>
  <c r="D55" i="34"/>
  <c r="A56" i="34"/>
  <c r="B56" i="34"/>
  <c r="D56" i="34"/>
  <c r="A57" i="34"/>
  <c r="B57" i="34"/>
  <c r="D57" i="34"/>
  <c r="A58" i="34"/>
  <c r="B58" i="34"/>
  <c r="D58" i="34"/>
  <c r="A59" i="34"/>
  <c r="B59" i="34"/>
  <c r="D59" i="34"/>
  <c r="A60" i="34"/>
  <c r="B60" i="34"/>
  <c r="D60" i="34"/>
  <c r="A61" i="34"/>
  <c r="B61" i="34"/>
  <c r="D61" i="34"/>
  <c r="A62" i="34"/>
  <c r="B62" i="34"/>
  <c r="D62" i="34"/>
  <c r="A63" i="34"/>
  <c r="B63" i="34"/>
  <c r="D63" i="34"/>
  <c r="A64" i="34"/>
  <c r="B64" i="34"/>
  <c r="D64" i="34"/>
  <c r="A65" i="34"/>
  <c r="B65" i="34"/>
  <c r="D65" i="34"/>
  <c r="A66" i="34"/>
  <c r="B66" i="34"/>
  <c r="D66" i="34"/>
  <c r="A67" i="34"/>
  <c r="B67" i="34"/>
  <c r="D67" i="34"/>
  <c r="A68" i="34"/>
  <c r="B68" i="34"/>
  <c r="D68" i="34"/>
  <c r="A69" i="34"/>
  <c r="B69" i="34"/>
  <c r="D69" i="34"/>
  <c r="A70" i="34"/>
  <c r="B70" i="34"/>
  <c r="D70" i="34"/>
  <c r="A71" i="34"/>
  <c r="B71" i="34"/>
  <c r="D71" i="34"/>
  <c r="A72" i="34"/>
  <c r="B72" i="34"/>
  <c r="D72" i="34"/>
  <c r="A73" i="34"/>
  <c r="B73" i="34"/>
  <c r="D73" i="34"/>
  <c r="A74" i="34"/>
  <c r="B74" i="34"/>
  <c r="D74" i="34"/>
  <c r="A75" i="34"/>
  <c r="B75" i="34"/>
  <c r="D75" i="34"/>
  <c r="A76" i="34"/>
  <c r="B76" i="34"/>
  <c r="D76" i="34"/>
  <c r="A77" i="34"/>
  <c r="B77" i="34"/>
  <c r="D77" i="34"/>
  <c r="A78" i="34"/>
  <c r="B78" i="34"/>
  <c r="D78" i="34"/>
  <c r="A79" i="34"/>
  <c r="B79" i="34"/>
  <c r="D79" i="34"/>
  <c r="A80" i="34"/>
  <c r="B80" i="34"/>
  <c r="D80" i="34"/>
  <c r="A81" i="34"/>
  <c r="B81" i="34"/>
  <c r="D81" i="34"/>
  <c r="A82" i="34"/>
  <c r="B82" i="34"/>
  <c r="D82" i="34"/>
  <c r="A83" i="34"/>
  <c r="B83" i="34"/>
  <c r="D83" i="34"/>
  <c r="A84" i="34"/>
  <c r="B84" i="34"/>
  <c r="D84" i="34"/>
  <c r="A85" i="34"/>
  <c r="B85" i="34"/>
  <c r="D85" i="34"/>
  <c r="A86" i="34"/>
  <c r="B86" i="34"/>
  <c r="D86" i="34"/>
  <c r="A87" i="34"/>
  <c r="B87" i="34"/>
  <c r="D87" i="34"/>
  <c r="A88" i="34"/>
  <c r="B88" i="34"/>
  <c r="D88" i="34"/>
  <c r="A89" i="34"/>
  <c r="B89" i="34"/>
  <c r="D89" i="34"/>
  <c r="A90" i="34"/>
  <c r="B90" i="34"/>
  <c r="D90" i="34"/>
  <c r="A91" i="34"/>
  <c r="B91" i="34"/>
  <c r="D91" i="34"/>
  <c r="A92" i="34"/>
  <c r="B92" i="34"/>
  <c r="D92" i="34"/>
  <c r="A93" i="34"/>
  <c r="B93" i="34"/>
  <c r="D93" i="34"/>
  <c r="A94" i="34"/>
  <c r="B94" i="34"/>
  <c r="D94" i="34"/>
  <c r="A95" i="34"/>
  <c r="B95" i="34"/>
  <c r="D95" i="34"/>
  <c r="A96" i="34"/>
  <c r="B96" i="34"/>
  <c r="D96" i="34"/>
  <c r="A97" i="34"/>
  <c r="B97" i="34"/>
  <c r="D97" i="34"/>
  <c r="A98" i="34"/>
  <c r="B98" i="34"/>
  <c r="D98" i="34"/>
  <c r="A99" i="34"/>
  <c r="B99" i="34"/>
  <c r="D99" i="34"/>
  <c r="A100" i="34"/>
  <c r="B100" i="34"/>
  <c r="D100" i="34"/>
  <c r="A101" i="34"/>
  <c r="B101" i="34"/>
  <c r="D101" i="34"/>
  <c r="A102" i="34"/>
  <c r="B102" i="34"/>
  <c r="D102" i="34"/>
  <c r="A103" i="34"/>
  <c r="B103" i="34"/>
  <c r="D103" i="34"/>
  <c r="A104" i="34"/>
  <c r="B104" i="34"/>
  <c r="D104" i="34"/>
  <c r="A105" i="34"/>
  <c r="B105" i="34"/>
  <c r="D105" i="34"/>
  <c r="A106" i="34"/>
  <c r="B106" i="34"/>
  <c r="D106" i="34"/>
  <c r="A107" i="34"/>
  <c r="B107" i="34"/>
  <c r="D107" i="34"/>
  <c r="A108" i="34"/>
  <c r="B108" i="34"/>
  <c r="D108" i="34"/>
  <c r="A109" i="34"/>
  <c r="B109" i="34"/>
  <c r="D109" i="34"/>
  <c r="A110" i="34"/>
  <c r="B110" i="34"/>
  <c r="D110" i="34"/>
  <c r="A111" i="34"/>
  <c r="B111" i="34"/>
  <c r="D111" i="34"/>
  <c r="A112" i="34"/>
  <c r="B112" i="34"/>
  <c r="D112" i="34"/>
  <c r="A113" i="34"/>
  <c r="B113" i="34"/>
  <c r="D113" i="34"/>
  <c r="A114" i="34"/>
  <c r="B114" i="34"/>
  <c r="D114" i="34"/>
  <c r="A115" i="34"/>
  <c r="B115" i="34"/>
  <c r="D115" i="34"/>
  <c r="A116" i="34"/>
  <c r="B116" i="34"/>
  <c r="D116" i="34"/>
  <c r="A117" i="34"/>
  <c r="B117" i="34"/>
  <c r="D117" i="34"/>
  <c r="A118" i="34"/>
  <c r="B118" i="34"/>
  <c r="D118" i="34"/>
  <c r="A119" i="34"/>
  <c r="B119" i="34"/>
  <c r="D119" i="34"/>
  <c r="A120" i="34"/>
  <c r="B120" i="34"/>
  <c r="D120" i="34"/>
  <c r="A121" i="34"/>
  <c r="B121" i="34"/>
  <c r="D121" i="34"/>
  <c r="A122" i="34"/>
  <c r="B122" i="34"/>
  <c r="D122" i="34"/>
  <c r="A123" i="34"/>
  <c r="B123" i="34"/>
  <c r="D123" i="34"/>
  <c r="A124" i="34"/>
  <c r="B124" i="34"/>
  <c r="D124" i="34"/>
  <c r="A125" i="34"/>
  <c r="B125" i="34"/>
  <c r="D125" i="34"/>
  <c r="A126" i="34"/>
  <c r="B126" i="34"/>
  <c r="D126" i="34"/>
  <c r="A127" i="34"/>
  <c r="B127" i="34"/>
  <c r="D127" i="34"/>
  <c r="A128" i="34"/>
  <c r="B128" i="34"/>
  <c r="D128" i="34"/>
  <c r="A129" i="34"/>
  <c r="B129" i="34"/>
  <c r="D129" i="34"/>
  <c r="A130" i="34"/>
  <c r="B130" i="34"/>
  <c r="D130" i="34"/>
  <c r="A131" i="34"/>
  <c r="B131" i="34"/>
  <c r="D131" i="34"/>
  <c r="A132" i="34"/>
  <c r="B132" i="34"/>
  <c r="D132" i="34"/>
  <c r="A133" i="34"/>
  <c r="B133" i="34"/>
  <c r="D133" i="34"/>
  <c r="A134" i="34"/>
  <c r="B134" i="34"/>
  <c r="D134" i="34"/>
  <c r="A135" i="34"/>
  <c r="B135" i="34"/>
  <c r="D135" i="34"/>
  <c r="A136" i="34"/>
  <c r="B136" i="34"/>
  <c r="D136" i="34"/>
  <c r="A137" i="34"/>
  <c r="B137" i="34"/>
  <c r="D137" i="34"/>
  <c r="A138" i="34"/>
  <c r="B138" i="34"/>
  <c r="D138" i="34"/>
  <c r="A139" i="34"/>
  <c r="B139" i="34"/>
  <c r="D139" i="34"/>
  <c r="A140" i="34"/>
  <c r="B140" i="34"/>
  <c r="D140" i="34"/>
  <c r="A141" i="34"/>
  <c r="B141" i="34"/>
  <c r="D141" i="34"/>
  <c r="A142" i="34"/>
  <c r="B142" i="34"/>
  <c r="D142" i="34"/>
  <c r="A143" i="34"/>
  <c r="B143" i="34"/>
  <c r="D143" i="34"/>
  <c r="A144" i="34"/>
  <c r="B144" i="34"/>
  <c r="D144" i="34"/>
  <c r="A145" i="34"/>
  <c r="B145" i="34"/>
  <c r="D145" i="34"/>
  <c r="A146" i="34"/>
  <c r="B146" i="34"/>
  <c r="D146" i="34"/>
  <c r="A147" i="34"/>
  <c r="B147" i="34"/>
  <c r="D147" i="34"/>
  <c r="A148" i="34"/>
  <c r="B148" i="34"/>
  <c r="D148" i="34"/>
  <c r="A149" i="34"/>
  <c r="B149" i="34"/>
  <c r="D149" i="34"/>
  <c r="A150" i="34"/>
  <c r="B150" i="34"/>
  <c r="D150" i="34"/>
  <c r="A151" i="34"/>
  <c r="B151" i="34"/>
  <c r="D151" i="34"/>
  <c r="A152" i="34"/>
  <c r="B152" i="34"/>
  <c r="D152" i="34"/>
  <c r="A153" i="34"/>
  <c r="B153" i="34"/>
  <c r="D153" i="34"/>
  <c r="A154" i="34"/>
  <c r="B154" i="34"/>
  <c r="D154" i="34"/>
  <c r="A155" i="34"/>
  <c r="B155" i="34"/>
  <c r="D155" i="34"/>
  <c r="A156" i="34"/>
  <c r="B156" i="34"/>
  <c r="D156" i="34"/>
  <c r="A157" i="34"/>
  <c r="B157" i="34"/>
  <c r="D157" i="34"/>
  <c r="A158" i="34"/>
  <c r="B158" i="34"/>
  <c r="D158" i="34"/>
  <c r="A159" i="34"/>
  <c r="B159" i="34"/>
  <c r="D159" i="34"/>
  <c r="A160" i="34"/>
  <c r="B160" i="34"/>
  <c r="D160" i="34"/>
  <c r="A161" i="34"/>
  <c r="B161" i="34"/>
  <c r="D161" i="34"/>
  <c r="A162" i="34"/>
  <c r="B162" i="34"/>
  <c r="D162" i="34"/>
  <c r="A163" i="34"/>
  <c r="B163" i="34"/>
  <c r="D163" i="34"/>
  <c r="A164" i="34"/>
  <c r="B164" i="34"/>
  <c r="D164" i="34"/>
  <c r="A165" i="34"/>
  <c r="B165" i="34"/>
  <c r="D165" i="34"/>
  <c r="A166" i="34"/>
  <c r="B166" i="34"/>
  <c r="D166" i="34"/>
  <c r="A167" i="34"/>
  <c r="B167" i="34"/>
  <c r="D167" i="34"/>
  <c r="A168" i="34"/>
  <c r="B168" i="34"/>
  <c r="D168" i="34"/>
  <c r="A169" i="34"/>
  <c r="B169" i="34"/>
  <c r="D169" i="34"/>
  <c r="A170" i="34"/>
  <c r="B170" i="34"/>
  <c r="D170" i="34"/>
  <c r="A171" i="34"/>
  <c r="B171" i="34"/>
  <c r="D171" i="34"/>
  <c r="A172" i="34"/>
  <c r="B172" i="34"/>
  <c r="D172" i="34"/>
  <c r="A173" i="34"/>
  <c r="B173" i="34"/>
  <c r="D173" i="34"/>
  <c r="A174" i="34"/>
  <c r="B174" i="34"/>
  <c r="D174" i="34"/>
  <c r="A175" i="34"/>
  <c r="B175" i="34"/>
  <c r="D175" i="34"/>
  <c r="A176" i="34"/>
  <c r="B176" i="34"/>
  <c r="D176" i="34"/>
  <c r="A177" i="34"/>
  <c r="B177" i="34"/>
  <c r="D177" i="34"/>
  <c r="A178" i="34"/>
  <c r="B178" i="34"/>
  <c r="D178" i="34"/>
  <c r="A179" i="34"/>
  <c r="B179" i="34"/>
  <c r="D179" i="34"/>
  <c r="A180" i="34"/>
  <c r="B180" i="34"/>
  <c r="D180" i="34"/>
  <c r="A181" i="34"/>
  <c r="B181" i="34"/>
  <c r="D181" i="34"/>
  <c r="A182" i="34"/>
  <c r="B182" i="34"/>
  <c r="D182" i="34"/>
  <c r="A183" i="34"/>
  <c r="B183" i="34"/>
  <c r="D183" i="34"/>
  <c r="A184" i="34"/>
  <c r="B184" i="34"/>
  <c r="D184" i="34"/>
  <c r="A185" i="34"/>
  <c r="B185" i="34"/>
  <c r="D185" i="34"/>
  <c r="A186" i="34"/>
  <c r="B186" i="34"/>
  <c r="D186" i="34"/>
  <c r="A187" i="34"/>
  <c r="B187" i="34"/>
  <c r="D187" i="34"/>
  <c r="A188" i="34"/>
  <c r="B188" i="34"/>
  <c r="D188" i="34"/>
  <c r="A189" i="34"/>
  <c r="B189" i="34"/>
  <c r="D189" i="34"/>
  <c r="A190" i="34"/>
  <c r="B190" i="34"/>
  <c r="D190" i="34"/>
  <c r="A191" i="34"/>
  <c r="B191" i="34"/>
  <c r="D191" i="34"/>
  <c r="A192" i="34"/>
  <c r="B192" i="34"/>
  <c r="D192" i="34"/>
  <c r="A193" i="34"/>
  <c r="B193" i="34"/>
  <c r="D193" i="34"/>
  <c r="A194" i="34"/>
  <c r="B194" i="34"/>
  <c r="D194" i="34"/>
  <c r="A195" i="34"/>
  <c r="B195" i="34"/>
  <c r="D195" i="34"/>
  <c r="A196" i="34"/>
  <c r="B196" i="34"/>
  <c r="D196" i="34"/>
  <c r="A197" i="34"/>
  <c r="B197" i="34"/>
  <c r="D197" i="34"/>
  <c r="A198" i="34"/>
  <c r="B198" i="34"/>
  <c r="D198" i="34"/>
  <c r="A199" i="34"/>
  <c r="B199" i="34"/>
  <c r="D199" i="34"/>
  <c r="A200" i="34"/>
  <c r="B200" i="34"/>
  <c r="D200" i="34"/>
  <c r="A201" i="34"/>
  <c r="B201" i="34"/>
  <c r="D201" i="34"/>
  <c r="A202" i="34"/>
  <c r="B202" i="34"/>
  <c r="D202" i="34"/>
  <c r="A203" i="34"/>
  <c r="B203" i="34"/>
  <c r="D203" i="34"/>
  <c r="A204" i="34"/>
  <c r="B204" i="34"/>
  <c r="D204" i="34"/>
  <c r="A205" i="34"/>
  <c r="B205" i="34"/>
  <c r="D205" i="34"/>
  <c r="A206" i="34"/>
  <c r="B206" i="34"/>
  <c r="D206" i="34"/>
  <c r="A207" i="34"/>
  <c r="B207" i="34"/>
  <c r="D207" i="34"/>
  <c r="A208" i="34"/>
  <c r="B208" i="34"/>
  <c r="D208" i="34"/>
  <c r="A209" i="34"/>
  <c r="B209" i="34"/>
  <c r="D209" i="34"/>
  <c r="A210" i="34"/>
  <c r="B210" i="34"/>
  <c r="D210" i="34"/>
  <c r="A211" i="34"/>
  <c r="B211" i="34"/>
  <c r="D211" i="34"/>
  <c r="A212" i="34"/>
  <c r="B212" i="34"/>
  <c r="D212" i="34"/>
  <c r="A213" i="34"/>
  <c r="B213" i="34"/>
  <c r="D213" i="34"/>
  <c r="A214" i="34"/>
  <c r="B214" i="34"/>
  <c r="D214" i="34"/>
  <c r="A215" i="34"/>
  <c r="B215" i="34"/>
  <c r="D215" i="34"/>
  <c r="A216" i="34"/>
  <c r="B216" i="34"/>
  <c r="D216" i="34"/>
  <c r="A217" i="34"/>
  <c r="B217" i="34"/>
  <c r="D217" i="34"/>
  <c r="A218" i="34"/>
  <c r="B218" i="34"/>
  <c r="D218" i="34"/>
  <c r="A219" i="34"/>
  <c r="B219" i="34"/>
  <c r="D219" i="34"/>
  <c r="A220" i="34"/>
  <c r="B220" i="34"/>
  <c r="D220" i="34"/>
  <c r="A221" i="34"/>
  <c r="B221" i="34"/>
  <c r="D221" i="34"/>
  <c r="A222" i="34"/>
  <c r="B222" i="34"/>
  <c r="D222" i="34"/>
  <c r="A223" i="34"/>
  <c r="B223" i="34"/>
  <c r="D223" i="34"/>
  <c r="A224" i="34"/>
  <c r="B224" i="34"/>
  <c r="D224" i="34"/>
  <c r="A225" i="34"/>
  <c r="B225" i="34"/>
  <c r="D225" i="34"/>
  <c r="A226" i="34"/>
  <c r="B226" i="34"/>
  <c r="D226" i="34"/>
  <c r="A227" i="34"/>
  <c r="B227" i="34"/>
  <c r="D227" i="34"/>
  <c r="A228" i="34"/>
  <c r="B228" i="34"/>
  <c r="D228" i="34"/>
  <c r="A229" i="34"/>
  <c r="B229" i="34"/>
  <c r="D229" i="34"/>
  <c r="A230" i="34"/>
  <c r="B230" i="34"/>
  <c r="D230" i="34"/>
  <c r="A231" i="34"/>
  <c r="B231" i="34"/>
  <c r="D231" i="34"/>
  <c r="A232" i="34"/>
  <c r="B232" i="34"/>
  <c r="D232" i="34"/>
  <c r="A233" i="34"/>
  <c r="B233" i="34"/>
  <c r="D233" i="34"/>
  <c r="A234" i="34"/>
  <c r="B234" i="34"/>
  <c r="D234" i="34"/>
  <c r="A235" i="34"/>
  <c r="B235" i="34"/>
  <c r="D235" i="34"/>
  <c r="A236" i="34"/>
  <c r="B236" i="34"/>
  <c r="D236" i="34"/>
  <c r="A237" i="34"/>
  <c r="B237" i="34"/>
  <c r="D237" i="34"/>
  <c r="A238" i="34"/>
  <c r="B238" i="34"/>
  <c r="D238" i="34"/>
  <c r="A239" i="34"/>
  <c r="B239" i="34"/>
  <c r="D239" i="34"/>
  <c r="A240" i="34"/>
  <c r="B240" i="34"/>
  <c r="D240" i="34"/>
  <c r="A241" i="34"/>
  <c r="B241" i="34"/>
  <c r="D241" i="34"/>
  <c r="A242" i="34"/>
  <c r="B242" i="34"/>
  <c r="D242" i="34"/>
  <c r="A243" i="34"/>
  <c r="B243" i="34"/>
  <c r="D243" i="34"/>
  <c r="A244" i="34"/>
  <c r="B244" i="34"/>
  <c r="D244" i="34"/>
  <c r="A245" i="34"/>
  <c r="B245" i="34"/>
  <c r="D245" i="34"/>
  <c r="A246" i="34"/>
  <c r="B246" i="34"/>
  <c r="D246" i="34"/>
  <c r="A247" i="34"/>
  <c r="B247" i="34"/>
  <c r="D247" i="34"/>
  <c r="A248" i="34"/>
  <c r="B248" i="34"/>
  <c r="D248" i="34"/>
  <c r="A249" i="34"/>
  <c r="B249" i="34"/>
  <c r="D249" i="34"/>
  <c r="A250" i="34"/>
  <c r="B250" i="34"/>
  <c r="D250" i="34"/>
  <c r="A251" i="34"/>
  <c r="B251" i="34"/>
  <c r="D251" i="34"/>
  <c r="A252" i="34"/>
  <c r="B252" i="34"/>
  <c r="D252" i="34"/>
  <c r="A253" i="34"/>
  <c r="B253" i="34"/>
  <c r="D253" i="34"/>
  <c r="A254" i="34"/>
  <c r="B254" i="34"/>
  <c r="D254" i="34"/>
  <c r="A255" i="34"/>
  <c r="B255" i="34"/>
  <c r="D255" i="34"/>
  <c r="A256" i="34"/>
  <c r="B256" i="34"/>
  <c r="D256" i="34"/>
  <c r="A257" i="34"/>
  <c r="B257" i="34"/>
  <c r="D257" i="34"/>
  <c r="A258" i="34"/>
  <c r="B258" i="34"/>
  <c r="D258" i="34"/>
  <c r="A259" i="34"/>
  <c r="B259" i="34"/>
  <c r="D259" i="34"/>
  <c r="A260" i="34"/>
  <c r="B260" i="34"/>
  <c r="D260" i="34"/>
  <c r="A261" i="34"/>
  <c r="B261" i="34"/>
  <c r="D261" i="34"/>
  <c r="A262" i="34"/>
  <c r="B262" i="34"/>
  <c r="D262" i="34"/>
  <c r="A263" i="34"/>
  <c r="B263" i="34"/>
  <c r="D263" i="34"/>
  <c r="A264" i="34"/>
  <c r="B264" i="34"/>
  <c r="D264" i="34"/>
  <c r="A265" i="34"/>
  <c r="B265" i="34"/>
  <c r="D265" i="34"/>
  <c r="A266" i="34"/>
  <c r="B266" i="34"/>
  <c r="D266" i="34"/>
  <c r="A267" i="34"/>
  <c r="B267" i="34"/>
  <c r="D267" i="34"/>
  <c r="A268" i="34"/>
  <c r="B268" i="34"/>
  <c r="D268" i="34"/>
  <c r="A269" i="34"/>
  <c r="B269" i="34"/>
  <c r="D269" i="34"/>
  <c r="A270" i="34"/>
  <c r="B270" i="34"/>
  <c r="D270" i="34"/>
  <c r="A271" i="34"/>
  <c r="B271" i="34"/>
  <c r="D271" i="34"/>
  <c r="A272" i="34"/>
  <c r="B272" i="34"/>
  <c r="D272" i="34"/>
  <c r="A273" i="34"/>
  <c r="B273" i="34"/>
  <c r="D273" i="34"/>
  <c r="A274" i="34"/>
  <c r="B274" i="34"/>
  <c r="D274" i="34"/>
  <c r="A275" i="34"/>
  <c r="B275" i="34"/>
  <c r="D275" i="34"/>
  <c r="A276" i="34"/>
  <c r="B276" i="34"/>
  <c r="D276" i="34"/>
  <c r="A277" i="34"/>
  <c r="B277" i="34"/>
  <c r="D277" i="34"/>
  <c r="A278" i="34"/>
  <c r="B278" i="34"/>
  <c r="D278" i="34"/>
  <c r="A279" i="34"/>
  <c r="B279" i="34"/>
  <c r="D279" i="34"/>
  <c r="A280" i="34"/>
  <c r="B280" i="34"/>
  <c r="D280" i="34"/>
  <c r="A281" i="34"/>
  <c r="B281" i="34"/>
  <c r="D281" i="34"/>
  <c r="A282" i="34"/>
  <c r="B282" i="34"/>
  <c r="D282" i="34"/>
  <c r="A283" i="34"/>
  <c r="B283" i="34"/>
  <c r="D283" i="34"/>
  <c r="A284" i="34"/>
  <c r="B284" i="34"/>
  <c r="D284" i="34"/>
  <c r="A285" i="34"/>
  <c r="B285" i="34"/>
  <c r="D285" i="34"/>
  <c r="A286" i="34"/>
  <c r="B286" i="34"/>
  <c r="D286" i="34"/>
  <c r="A287" i="34"/>
  <c r="B287" i="34"/>
  <c r="D287" i="34"/>
  <c r="A288" i="34"/>
  <c r="B288" i="34"/>
  <c r="D288" i="34"/>
  <c r="A289" i="34"/>
  <c r="B289" i="34"/>
  <c r="D289" i="34"/>
  <c r="A290" i="34"/>
  <c r="B290" i="34"/>
  <c r="D290" i="34"/>
  <c r="A291" i="34"/>
  <c r="B291" i="34"/>
  <c r="D291" i="34"/>
  <c r="A292" i="34"/>
  <c r="B292" i="34"/>
  <c r="D292" i="34"/>
  <c r="A293" i="34"/>
  <c r="B293" i="34"/>
  <c r="D293" i="34"/>
  <c r="A294" i="34"/>
  <c r="B294" i="34"/>
  <c r="D294" i="34"/>
  <c r="A295" i="34"/>
  <c r="B295" i="34"/>
  <c r="D295" i="34"/>
  <c r="A296" i="34"/>
  <c r="B296" i="34"/>
  <c r="D296" i="34"/>
  <c r="A297" i="34"/>
  <c r="B297" i="34"/>
  <c r="D297" i="34"/>
  <c r="A298" i="34"/>
  <c r="B298" i="34"/>
  <c r="D298" i="34"/>
  <c r="A299" i="34"/>
  <c r="B299" i="34"/>
  <c r="D299" i="34"/>
  <c r="A300" i="34"/>
  <c r="B300" i="34"/>
  <c r="D300" i="34"/>
  <c r="A301" i="34"/>
  <c r="B301" i="34"/>
  <c r="D301" i="34"/>
  <c r="A302" i="34"/>
  <c r="B302" i="34"/>
  <c r="D302" i="34"/>
  <c r="A303" i="34"/>
  <c r="B303" i="34"/>
  <c r="D303" i="34"/>
  <c r="A304" i="34"/>
  <c r="B304" i="34"/>
  <c r="D304" i="34"/>
  <c r="A305" i="34"/>
  <c r="B305" i="34"/>
  <c r="D305" i="34"/>
  <c r="A306" i="34"/>
  <c r="B306" i="34"/>
  <c r="D306" i="34"/>
  <c r="A307" i="34"/>
  <c r="B307" i="34"/>
  <c r="D307" i="34"/>
  <c r="A308" i="34"/>
  <c r="B308" i="34"/>
  <c r="D308" i="34"/>
  <c r="A309" i="34"/>
  <c r="B309" i="34"/>
  <c r="D309" i="34"/>
  <c r="A310" i="34"/>
  <c r="B310" i="34"/>
  <c r="D310" i="34"/>
  <c r="A311" i="34"/>
  <c r="B311" i="34"/>
  <c r="D311" i="34"/>
  <c r="A7" i="33"/>
  <c r="B7" i="33"/>
  <c r="D7" i="33"/>
  <c r="A8" i="33"/>
  <c r="B8" i="33"/>
  <c r="D8" i="33"/>
  <c r="A9" i="33"/>
  <c r="B9" i="33"/>
  <c r="D9" i="33"/>
  <c r="A10" i="33"/>
  <c r="B10" i="33"/>
  <c r="D10" i="33"/>
  <c r="A11" i="33"/>
  <c r="B11" i="33"/>
  <c r="D11" i="33"/>
  <c r="A12" i="33"/>
  <c r="B12" i="33"/>
  <c r="D12" i="33"/>
  <c r="A13" i="33"/>
  <c r="B13" i="33"/>
  <c r="D13" i="33"/>
  <c r="A14" i="33"/>
  <c r="B14" i="33"/>
  <c r="D14" i="33"/>
  <c r="A15" i="33"/>
  <c r="B15" i="33"/>
  <c r="D15" i="33"/>
  <c r="A16" i="33"/>
  <c r="B16" i="33"/>
  <c r="D16" i="33"/>
  <c r="A17" i="33"/>
  <c r="B17" i="33"/>
  <c r="D17" i="33"/>
  <c r="A18" i="33"/>
  <c r="B18" i="33"/>
  <c r="D18" i="33"/>
  <c r="A19" i="33"/>
  <c r="B19" i="33"/>
  <c r="D19" i="33"/>
  <c r="A20" i="33"/>
  <c r="B20" i="33"/>
  <c r="D20" i="33"/>
  <c r="A21" i="33"/>
  <c r="B21" i="33"/>
  <c r="D21" i="33"/>
  <c r="A22" i="33"/>
  <c r="B22" i="33"/>
  <c r="D22" i="33"/>
  <c r="A23" i="33"/>
  <c r="B23" i="33"/>
  <c r="D23" i="33"/>
  <c r="A24" i="33"/>
  <c r="B24" i="33"/>
  <c r="D24" i="33"/>
  <c r="A25" i="33"/>
  <c r="B25" i="33"/>
  <c r="D25" i="33"/>
  <c r="A26" i="33"/>
  <c r="B26" i="33"/>
  <c r="D26" i="33"/>
  <c r="A27" i="33"/>
  <c r="B27" i="33"/>
  <c r="D27" i="33"/>
  <c r="A28" i="33"/>
  <c r="B28" i="33"/>
  <c r="D28" i="33"/>
  <c r="A29" i="33"/>
  <c r="B29" i="33"/>
  <c r="D29" i="33"/>
  <c r="A30" i="33"/>
  <c r="B30" i="33"/>
  <c r="D30" i="33"/>
  <c r="A31" i="33"/>
  <c r="B31" i="33"/>
  <c r="D31" i="33"/>
  <c r="A32" i="33"/>
  <c r="B32" i="33"/>
  <c r="D32" i="33"/>
  <c r="A33" i="33"/>
  <c r="B33" i="33"/>
  <c r="D33" i="33"/>
  <c r="A34" i="33"/>
  <c r="B34" i="33"/>
  <c r="D34" i="33"/>
  <c r="A35" i="33"/>
  <c r="B35" i="33"/>
  <c r="D35" i="33"/>
  <c r="A36" i="33"/>
  <c r="B36" i="33"/>
  <c r="D36" i="33"/>
  <c r="A37" i="33"/>
  <c r="B37" i="33"/>
  <c r="D37" i="33"/>
  <c r="A38" i="33"/>
  <c r="B38" i="33"/>
  <c r="D38" i="33"/>
  <c r="A39" i="33"/>
  <c r="B39" i="33"/>
  <c r="D39" i="33"/>
  <c r="A40" i="33"/>
  <c r="B40" i="33"/>
  <c r="D40" i="33"/>
  <c r="A41" i="33"/>
  <c r="B41" i="33"/>
  <c r="D41" i="33"/>
  <c r="A42" i="33"/>
  <c r="B42" i="33"/>
  <c r="D42" i="33"/>
  <c r="A43" i="33"/>
  <c r="B43" i="33"/>
  <c r="D43" i="33"/>
  <c r="A44" i="33"/>
  <c r="B44" i="33"/>
  <c r="D44" i="33"/>
  <c r="A45" i="33"/>
  <c r="B45" i="33"/>
  <c r="D45" i="33"/>
  <c r="A46" i="33"/>
  <c r="B46" i="33"/>
  <c r="D46" i="33"/>
  <c r="A47" i="33"/>
  <c r="B47" i="33"/>
  <c r="D47" i="33"/>
  <c r="A48" i="33"/>
  <c r="B48" i="33"/>
  <c r="D48" i="33"/>
  <c r="A49" i="33"/>
  <c r="B49" i="33"/>
  <c r="D49" i="33"/>
  <c r="A50" i="33"/>
  <c r="B50" i="33"/>
  <c r="D50" i="33"/>
  <c r="A51" i="33"/>
  <c r="B51" i="33"/>
  <c r="D51" i="33"/>
  <c r="A52" i="33"/>
  <c r="B52" i="33"/>
  <c r="D52" i="33"/>
  <c r="A53" i="33"/>
  <c r="B53" i="33"/>
  <c r="D53" i="33"/>
  <c r="A54" i="33"/>
  <c r="B54" i="33"/>
  <c r="D54" i="33"/>
  <c r="A55" i="33"/>
  <c r="B55" i="33"/>
  <c r="D55" i="33"/>
  <c r="A56" i="33"/>
  <c r="B56" i="33"/>
  <c r="D56" i="33"/>
  <c r="A57" i="33"/>
  <c r="B57" i="33"/>
  <c r="D57" i="33"/>
  <c r="A58" i="33"/>
  <c r="B58" i="33"/>
  <c r="D58" i="33"/>
  <c r="A59" i="33"/>
  <c r="B59" i="33"/>
  <c r="D59" i="33"/>
  <c r="A60" i="33"/>
  <c r="B60" i="33"/>
  <c r="D60" i="33"/>
  <c r="A61" i="33"/>
  <c r="B61" i="33"/>
  <c r="D61" i="33"/>
  <c r="A62" i="33"/>
  <c r="B62" i="33"/>
  <c r="D62" i="33"/>
  <c r="A63" i="33"/>
  <c r="B63" i="33"/>
  <c r="D63" i="33"/>
  <c r="A64" i="33"/>
  <c r="B64" i="33"/>
  <c r="D64" i="33"/>
  <c r="A65" i="33"/>
  <c r="B65" i="33"/>
  <c r="D65" i="33"/>
  <c r="A66" i="33"/>
  <c r="B66" i="33"/>
  <c r="D66" i="33"/>
  <c r="A67" i="33"/>
  <c r="B67" i="33"/>
  <c r="D67" i="33"/>
  <c r="A68" i="33"/>
  <c r="B68" i="33"/>
  <c r="D68" i="33"/>
  <c r="A69" i="33"/>
  <c r="B69" i="33"/>
  <c r="D69" i="33"/>
  <c r="A70" i="33"/>
  <c r="B70" i="33"/>
  <c r="D70" i="33"/>
  <c r="A71" i="33"/>
  <c r="B71" i="33"/>
  <c r="D71" i="33"/>
  <c r="A72" i="33"/>
  <c r="B72" i="33"/>
  <c r="D72" i="33"/>
  <c r="A73" i="33"/>
  <c r="B73" i="33"/>
  <c r="D73" i="33"/>
  <c r="A74" i="33"/>
  <c r="B74" i="33"/>
  <c r="D74" i="33"/>
  <c r="A75" i="33"/>
  <c r="B75" i="33"/>
  <c r="D75" i="33"/>
  <c r="A76" i="33"/>
  <c r="B76" i="33"/>
  <c r="D76" i="33"/>
  <c r="A77" i="33"/>
  <c r="B77" i="33"/>
  <c r="D77" i="33"/>
  <c r="A78" i="33"/>
  <c r="B78" i="33"/>
  <c r="D78" i="33"/>
  <c r="A79" i="33"/>
  <c r="B79" i="33"/>
  <c r="D79" i="33"/>
  <c r="A80" i="33"/>
  <c r="B80" i="33"/>
  <c r="D80" i="33"/>
  <c r="A81" i="33"/>
  <c r="B81" i="33"/>
  <c r="D81" i="33"/>
  <c r="A82" i="33"/>
  <c r="B82" i="33"/>
  <c r="D82" i="33"/>
  <c r="A83" i="33"/>
  <c r="B83" i="33"/>
  <c r="D83" i="33"/>
  <c r="A84" i="33"/>
  <c r="B84" i="33"/>
  <c r="D84" i="33"/>
  <c r="A85" i="33"/>
  <c r="B85" i="33"/>
  <c r="D85" i="33"/>
  <c r="A86" i="33"/>
  <c r="B86" i="33"/>
  <c r="D86" i="33"/>
  <c r="A87" i="33"/>
  <c r="B87" i="33"/>
  <c r="D87" i="33"/>
  <c r="A88" i="33"/>
  <c r="B88" i="33"/>
  <c r="D88" i="33"/>
  <c r="A89" i="33"/>
  <c r="B89" i="33"/>
  <c r="D89" i="33"/>
  <c r="A90" i="33"/>
  <c r="B90" i="33"/>
  <c r="D90" i="33"/>
  <c r="A91" i="33"/>
  <c r="B91" i="33"/>
  <c r="D91" i="33"/>
  <c r="A92" i="33"/>
  <c r="B92" i="33"/>
  <c r="D92" i="33"/>
  <c r="A93" i="33"/>
  <c r="B93" i="33"/>
  <c r="D93" i="33"/>
  <c r="A94" i="33"/>
  <c r="B94" i="33"/>
  <c r="D94" i="33"/>
  <c r="A95" i="33"/>
  <c r="B95" i="33"/>
  <c r="D95" i="33"/>
  <c r="A96" i="33"/>
  <c r="B96" i="33"/>
  <c r="D96" i="33"/>
  <c r="A97" i="33"/>
  <c r="B97" i="33"/>
  <c r="D97" i="33"/>
  <c r="A98" i="33"/>
  <c r="B98" i="33"/>
  <c r="D98" i="33"/>
  <c r="A99" i="33"/>
  <c r="B99" i="33"/>
  <c r="D99" i="33"/>
  <c r="A100" i="33"/>
  <c r="B100" i="33"/>
  <c r="D100" i="33"/>
  <c r="A101" i="33"/>
  <c r="B101" i="33"/>
  <c r="D101" i="33"/>
  <c r="A102" i="33"/>
  <c r="B102" i="33"/>
  <c r="D102" i="33"/>
  <c r="A103" i="33"/>
  <c r="B103" i="33"/>
  <c r="D103" i="33"/>
  <c r="A104" i="33"/>
  <c r="B104" i="33"/>
  <c r="D104" i="33"/>
  <c r="A105" i="33"/>
  <c r="B105" i="33"/>
  <c r="D105" i="33"/>
  <c r="A106" i="33"/>
  <c r="B106" i="33"/>
  <c r="D106" i="33"/>
  <c r="A107" i="33"/>
  <c r="B107" i="33"/>
  <c r="D107" i="33"/>
  <c r="A108" i="33"/>
  <c r="B108" i="33"/>
  <c r="D108" i="33"/>
  <c r="A109" i="33"/>
  <c r="B109" i="33"/>
  <c r="D109" i="33"/>
  <c r="A110" i="33"/>
  <c r="B110" i="33"/>
  <c r="D110" i="33"/>
  <c r="A111" i="33"/>
  <c r="B111" i="33"/>
  <c r="D111" i="33"/>
  <c r="A112" i="33"/>
  <c r="B112" i="33"/>
  <c r="D112" i="33"/>
  <c r="A113" i="33"/>
  <c r="B113" i="33"/>
  <c r="D113" i="33"/>
  <c r="A114" i="33"/>
  <c r="B114" i="33"/>
  <c r="D114" i="33"/>
  <c r="A115" i="33"/>
  <c r="B115" i="33"/>
  <c r="D115" i="33"/>
  <c r="A116" i="33"/>
  <c r="B116" i="33"/>
  <c r="D116" i="33"/>
  <c r="A117" i="33"/>
  <c r="B117" i="33"/>
  <c r="D117" i="33"/>
  <c r="A118" i="33"/>
  <c r="B118" i="33"/>
  <c r="D118" i="33"/>
  <c r="A119" i="33"/>
  <c r="B119" i="33"/>
  <c r="D119" i="33"/>
  <c r="A120" i="33"/>
  <c r="B120" i="33"/>
  <c r="D120" i="33"/>
  <c r="A121" i="33"/>
  <c r="B121" i="33"/>
  <c r="D121" i="33"/>
  <c r="A122" i="33"/>
  <c r="B122" i="33"/>
  <c r="D122" i="33"/>
  <c r="A123" i="33"/>
  <c r="B123" i="33"/>
  <c r="D123" i="33"/>
  <c r="A124" i="33"/>
  <c r="B124" i="33"/>
  <c r="D124" i="33"/>
  <c r="A125" i="33"/>
  <c r="B125" i="33"/>
  <c r="D125" i="33"/>
  <c r="A126" i="33"/>
  <c r="B126" i="33"/>
  <c r="D126" i="33"/>
  <c r="A127" i="33"/>
  <c r="B127" i="33"/>
  <c r="D127" i="33"/>
  <c r="A128" i="33"/>
  <c r="B128" i="33"/>
  <c r="D128" i="33"/>
  <c r="A129" i="33"/>
  <c r="B129" i="33"/>
  <c r="D129" i="33"/>
  <c r="A130" i="33"/>
  <c r="B130" i="33"/>
  <c r="D130" i="33"/>
  <c r="A131" i="33"/>
  <c r="B131" i="33"/>
  <c r="D131" i="33"/>
  <c r="A132" i="33"/>
  <c r="B132" i="33"/>
  <c r="D132" i="33"/>
  <c r="A133" i="33"/>
  <c r="B133" i="33"/>
  <c r="D133" i="33"/>
  <c r="A134" i="33"/>
  <c r="B134" i="33"/>
  <c r="D134" i="33"/>
  <c r="A135" i="33"/>
  <c r="B135" i="33"/>
  <c r="D135" i="33"/>
  <c r="A136" i="33"/>
  <c r="B136" i="33"/>
  <c r="D136" i="33"/>
  <c r="A137" i="33"/>
  <c r="B137" i="33"/>
  <c r="D137" i="33"/>
  <c r="A138" i="33"/>
  <c r="B138" i="33"/>
  <c r="D138" i="33"/>
  <c r="A139" i="33"/>
  <c r="B139" i="33"/>
  <c r="D139" i="33"/>
  <c r="A140" i="33"/>
  <c r="B140" i="33"/>
  <c r="D140" i="33"/>
  <c r="A141" i="33"/>
  <c r="B141" i="33"/>
  <c r="D141" i="33"/>
  <c r="A142" i="33"/>
  <c r="B142" i="33"/>
  <c r="D142" i="33"/>
  <c r="A143" i="33"/>
  <c r="B143" i="33"/>
  <c r="D143" i="33"/>
  <c r="A144" i="33"/>
  <c r="B144" i="33"/>
  <c r="D144" i="33"/>
  <c r="A145" i="33"/>
  <c r="B145" i="33"/>
  <c r="D145" i="33"/>
  <c r="A146" i="33"/>
  <c r="B146" i="33"/>
  <c r="D146" i="33"/>
  <c r="A147" i="33"/>
  <c r="B147" i="33"/>
  <c r="D147" i="33"/>
  <c r="A148" i="33"/>
  <c r="B148" i="33"/>
  <c r="D148" i="33"/>
  <c r="A149" i="33"/>
  <c r="B149" i="33"/>
  <c r="D149" i="33"/>
  <c r="A150" i="33"/>
  <c r="B150" i="33"/>
  <c r="D150" i="33"/>
  <c r="A151" i="33"/>
  <c r="B151" i="33"/>
  <c r="D151" i="33"/>
  <c r="A152" i="33"/>
  <c r="B152" i="33"/>
  <c r="D152" i="33"/>
  <c r="A153" i="33"/>
  <c r="B153" i="33"/>
  <c r="D153" i="33"/>
  <c r="A154" i="33"/>
  <c r="B154" i="33"/>
  <c r="D154" i="33"/>
  <c r="A155" i="33"/>
  <c r="B155" i="33"/>
  <c r="D155" i="33"/>
  <c r="A156" i="33"/>
  <c r="B156" i="33"/>
  <c r="D156" i="33"/>
  <c r="A157" i="33"/>
  <c r="B157" i="33"/>
  <c r="D157" i="33"/>
  <c r="A158" i="33"/>
  <c r="B158" i="33"/>
  <c r="D158" i="33"/>
  <c r="A159" i="33"/>
  <c r="B159" i="33"/>
  <c r="D159" i="33"/>
  <c r="A160" i="33"/>
  <c r="B160" i="33"/>
  <c r="D160" i="33"/>
  <c r="A161" i="33"/>
  <c r="B161" i="33"/>
  <c r="D161" i="33"/>
  <c r="A162" i="33"/>
  <c r="B162" i="33"/>
  <c r="D162" i="33"/>
  <c r="A163" i="33"/>
  <c r="B163" i="33"/>
  <c r="D163" i="33"/>
  <c r="A164" i="33"/>
  <c r="B164" i="33"/>
  <c r="D164" i="33"/>
  <c r="A165" i="33"/>
  <c r="B165" i="33"/>
  <c r="D165" i="33"/>
  <c r="A166" i="33"/>
  <c r="B166" i="33"/>
  <c r="D166" i="33"/>
  <c r="A167" i="33"/>
  <c r="B167" i="33"/>
  <c r="D167" i="33"/>
  <c r="A168" i="33"/>
  <c r="B168" i="33"/>
  <c r="D168" i="33"/>
  <c r="A169" i="33"/>
  <c r="B169" i="33"/>
  <c r="D169" i="33"/>
  <c r="A170" i="33"/>
  <c r="B170" i="33"/>
  <c r="D170" i="33"/>
  <c r="A171" i="33"/>
  <c r="B171" i="33"/>
  <c r="D171" i="33"/>
  <c r="A172" i="33"/>
  <c r="B172" i="33"/>
  <c r="D172" i="33"/>
  <c r="A173" i="33"/>
  <c r="B173" i="33"/>
  <c r="D173" i="33"/>
  <c r="A174" i="33"/>
  <c r="B174" i="33"/>
  <c r="D174" i="33"/>
  <c r="A175" i="33"/>
  <c r="B175" i="33"/>
  <c r="D175" i="33"/>
  <c r="A176" i="33"/>
  <c r="B176" i="33"/>
  <c r="D176" i="33"/>
  <c r="A177" i="33"/>
  <c r="B177" i="33"/>
  <c r="D177" i="33"/>
  <c r="A178" i="33"/>
  <c r="B178" i="33"/>
  <c r="D178" i="33"/>
  <c r="A179" i="33"/>
  <c r="B179" i="33"/>
  <c r="D179" i="33"/>
  <c r="A180" i="33"/>
  <c r="B180" i="33"/>
  <c r="D180" i="33"/>
  <c r="A181" i="33"/>
  <c r="B181" i="33"/>
  <c r="D181" i="33"/>
  <c r="A182" i="33"/>
  <c r="B182" i="33"/>
  <c r="D182" i="33"/>
  <c r="A183" i="33"/>
  <c r="B183" i="33"/>
  <c r="D183" i="33"/>
  <c r="A184" i="33"/>
  <c r="B184" i="33"/>
  <c r="D184" i="33"/>
  <c r="A185" i="33"/>
  <c r="B185" i="33"/>
  <c r="D185" i="33"/>
  <c r="A186" i="33"/>
  <c r="B186" i="33"/>
  <c r="D186" i="33"/>
  <c r="A187" i="33"/>
  <c r="B187" i="33"/>
  <c r="D187" i="33"/>
  <c r="A188" i="33"/>
  <c r="B188" i="33"/>
  <c r="D188" i="33"/>
  <c r="A189" i="33"/>
  <c r="B189" i="33"/>
  <c r="D189" i="33"/>
  <c r="A190" i="33"/>
  <c r="B190" i="33"/>
  <c r="D190" i="33"/>
  <c r="A191" i="33"/>
  <c r="B191" i="33"/>
  <c r="D191" i="33"/>
  <c r="A192" i="33"/>
  <c r="B192" i="33"/>
  <c r="D192" i="33"/>
  <c r="A193" i="33"/>
  <c r="B193" i="33"/>
  <c r="D193" i="33"/>
  <c r="A194" i="33"/>
  <c r="B194" i="33"/>
  <c r="D194" i="33"/>
  <c r="A195" i="33"/>
  <c r="B195" i="33"/>
  <c r="D195" i="33"/>
  <c r="A196" i="33"/>
  <c r="B196" i="33"/>
  <c r="D196" i="33"/>
  <c r="A197" i="33"/>
  <c r="B197" i="33"/>
  <c r="D197" i="33"/>
  <c r="A198" i="33"/>
  <c r="B198" i="33"/>
  <c r="D198" i="33"/>
  <c r="A199" i="33"/>
  <c r="B199" i="33"/>
  <c r="D199" i="33"/>
  <c r="A200" i="33"/>
  <c r="B200" i="33"/>
  <c r="D200" i="33"/>
  <c r="A201" i="33"/>
  <c r="B201" i="33"/>
  <c r="D201" i="33"/>
  <c r="A202" i="33"/>
  <c r="B202" i="33"/>
  <c r="D202" i="33"/>
  <c r="A203" i="33"/>
  <c r="B203" i="33"/>
  <c r="D203" i="33"/>
  <c r="A204" i="33"/>
  <c r="B204" i="33"/>
  <c r="D204" i="33"/>
  <c r="A205" i="33"/>
  <c r="B205" i="33"/>
  <c r="D205" i="33"/>
  <c r="A206" i="33"/>
  <c r="B206" i="33"/>
  <c r="D206" i="33"/>
  <c r="A207" i="33"/>
  <c r="B207" i="33"/>
  <c r="D207" i="33"/>
  <c r="A208" i="33"/>
  <c r="B208" i="33"/>
  <c r="D208" i="33"/>
  <c r="A209" i="33"/>
  <c r="B209" i="33"/>
  <c r="D209" i="33"/>
  <c r="A210" i="33"/>
  <c r="B210" i="33"/>
  <c r="D210" i="33"/>
  <c r="A211" i="33"/>
  <c r="B211" i="33"/>
  <c r="D211" i="33"/>
  <c r="A212" i="33"/>
  <c r="B212" i="33"/>
  <c r="D212" i="33"/>
  <c r="A213" i="33"/>
  <c r="B213" i="33"/>
  <c r="D213" i="33"/>
  <c r="A214" i="33"/>
  <c r="B214" i="33"/>
  <c r="D214" i="33"/>
  <c r="A215" i="33"/>
  <c r="B215" i="33"/>
  <c r="D215" i="33"/>
  <c r="A216" i="33"/>
  <c r="B216" i="33"/>
  <c r="D216" i="33"/>
  <c r="A217" i="33"/>
  <c r="B217" i="33"/>
  <c r="D217" i="33"/>
  <c r="A218" i="33"/>
  <c r="B218" i="33"/>
  <c r="D218" i="33"/>
  <c r="A219" i="33"/>
  <c r="B219" i="33"/>
  <c r="D219" i="33"/>
  <c r="A220" i="33"/>
  <c r="B220" i="33"/>
  <c r="D220" i="33"/>
  <c r="A221" i="33"/>
  <c r="B221" i="33"/>
  <c r="D221" i="33"/>
  <c r="A222" i="33"/>
  <c r="B222" i="33"/>
  <c r="D222" i="33"/>
  <c r="A223" i="33"/>
  <c r="B223" i="33"/>
  <c r="D223" i="33"/>
  <c r="A224" i="33"/>
  <c r="B224" i="33"/>
  <c r="D224" i="33"/>
  <c r="A225" i="33"/>
  <c r="B225" i="33"/>
  <c r="D225" i="33"/>
  <c r="A226" i="33"/>
  <c r="B226" i="33"/>
  <c r="D226" i="33"/>
  <c r="A227" i="33"/>
  <c r="B227" i="33"/>
  <c r="D227" i="33"/>
  <c r="A228" i="33"/>
  <c r="B228" i="33"/>
  <c r="D228" i="33"/>
  <c r="A229" i="33"/>
  <c r="B229" i="33"/>
  <c r="D229" i="33"/>
  <c r="A230" i="33"/>
  <c r="B230" i="33"/>
  <c r="D230" i="33"/>
  <c r="A231" i="33"/>
  <c r="B231" i="33"/>
  <c r="D231" i="33"/>
  <c r="A232" i="33"/>
  <c r="B232" i="33"/>
  <c r="D232" i="33"/>
  <c r="A233" i="33"/>
  <c r="B233" i="33"/>
  <c r="D233" i="33"/>
  <c r="A234" i="33"/>
  <c r="B234" i="33"/>
  <c r="D234" i="33"/>
  <c r="A235" i="33"/>
  <c r="B235" i="33"/>
  <c r="D235" i="33"/>
  <c r="A236" i="33"/>
  <c r="B236" i="33"/>
  <c r="D236" i="33"/>
  <c r="A237" i="33"/>
  <c r="B237" i="33"/>
  <c r="D237" i="33"/>
  <c r="A238" i="33"/>
  <c r="B238" i="33"/>
  <c r="D238" i="33"/>
  <c r="A239" i="33"/>
  <c r="B239" i="33"/>
  <c r="D239" i="33"/>
  <c r="A240" i="33"/>
  <c r="B240" i="33"/>
  <c r="D240" i="33"/>
  <c r="A241" i="33"/>
  <c r="B241" i="33"/>
  <c r="D241" i="33"/>
  <c r="A242" i="33"/>
  <c r="B242" i="33"/>
  <c r="D242" i="33"/>
  <c r="A243" i="33"/>
  <c r="B243" i="33"/>
  <c r="D243" i="33"/>
  <c r="A244" i="33"/>
  <c r="B244" i="33"/>
  <c r="D244" i="33"/>
  <c r="A245" i="33"/>
  <c r="B245" i="33"/>
  <c r="D245" i="33"/>
  <c r="A246" i="33"/>
  <c r="B246" i="33"/>
  <c r="D246" i="33"/>
  <c r="A247" i="33"/>
  <c r="B247" i="33"/>
  <c r="D247" i="33"/>
  <c r="A248" i="33"/>
  <c r="B248" i="33"/>
  <c r="D248" i="33"/>
  <c r="A249" i="33"/>
  <c r="B249" i="33"/>
  <c r="D249" i="33"/>
  <c r="A250" i="33"/>
  <c r="B250" i="33"/>
  <c r="D250" i="33"/>
  <c r="A251" i="33"/>
  <c r="B251" i="33"/>
  <c r="D251" i="33"/>
  <c r="A252" i="33"/>
  <c r="B252" i="33"/>
  <c r="D252" i="33"/>
  <c r="A253" i="33"/>
  <c r="B253" i="33"/>
  <c r="D253" i="33"/>
  <c r="A254" i="33"/>
  <c r="B254" i="33"/>
  <c r="D254" i="33"/>
  <c r="A255" i="33"/>
  <c r="B255" i="33"/>
  <c r="D255" i="33"/>
  <c r="A256" i="33"/>
  <c r="B256" i="33"/>
  <c r="D256" i="33"/>
  <c r="A257" i="33"/>
  <c r="B257" i="33"/>
  <c r="D257" i="33"/>
  <c r="A258" i="33"/>
  <c r="B258" i="33"/>
  <c r="D258" i="33"/>
  <c r="A259" i="33"/>
  <c r="B259" i="33"/>
  <c r="D259" i="33"/>
  <c r="A260" i="33"/>
  <c r="B260" i="33"/>
  <c r="D260" i="33"/>
  <c r="A261" i="33"/>
  <c r="B261" i="33"/>
  <c r="D261" i="33"/>
  <c r="A262" i="33"/>
  <c r="B262" i="33"/>
  <c r="D262" i="33"/>
  <c r="A263" i="33"/>
  <c r="B263" i="33"/>
  <c r="D263" i="33"/>
  <c r="A264" i="33"/>
  <c r="B264" i="33"/>
  <c r="D264" i="33"/>
  <c r="A265" i="33"/>
  <c r="B265" i="33"/>
  <c r="D265" i="33"/>
  <c r="A266" i="33"/>
  <c r="B266" i="33"/>
  <c r="D266" i="33"/>
  <c r="A267" i="33"/>
  <c r="B267" i="33"/>
  <c r="D267" i="33"/>
  <c r="A268" i="33"/>
  <c r="B268" i="33"/>
  <c r="D268" i="33"/>
  <c r="A269" i="33"/>
  <c r="B269" i="33"/>
  <c r="D269" i="33"/>
  <c r="A270" i="33"/>
  <c r="B270" i="33"/>
  <c r="D270" i="33"/>
  <c r="A271" i="33"/>
  <c r="B271" i="33"/>
  <c r="D271" i="33"/>
  <c r="A272" i="33"/>
  <c r="B272" i="33"/>
  <c r="D272" i="33"/>
  <c r="A273" i="33"/>
  <c r="B273" i="33"/>
  <c r="D273" i="33"/>
  <c r="A274" i="33"/>
  <c r="B274" i="33"/>
  <c r="D274" i="33"/>
  <c r="A275" i="33"/>
  <c r="B275" i="33"/>
  <c r="D275" i="33"/>
  <c r="A276" i="33"/>
  <c r="B276" i="33"/>
  <c r="D276" i="33"/>
  <c r="A277" i="33"/>
  <c r="B277" i="33"/>
  <c r="D277" i="33"/>
  <c r="A278" i="33"/>
  <c r="B278" i="33"/>
  <c r="D278" i="33"/>
  <c r="A279" i="33"/>
  <c r="B279" i="33"/>
  <c r="D279" i="33"/>
  <c r="A280" i="33"/>
  <c r="B280" i="33"/>
  <c r="D280" i="33"/>
  <c r="A281" i="33"/>
  <c r="B281" i="33"/>
  <c r="D281" i="33"/>
  <c r="A282" i="33"/>
  <c r="B282" i="33"/>
  <c r="D282" i="33"/>
  <c r="A283" i="33"/>
  <c r="B283" i="33"/>
  <c r="D283" i="33"/>
  <c r="A284" i="33"/>
  <c r="B284" i="33"/>
  <c r="D284" i="33"/>
  <c r="A285" i="33"/>
  <c r="B285" i="33"/>
  <c r="D285" i="33"/>
  <c r="A286" i="33"/>
  <c r="B286" i="33"/>
  <c r="D286" i="33"/>
  <c r="A287" i="33"/>
  <c r="B287" i="33"/>
  <c r="D287" i="33"/>
  <c r="A288" i="33"/>
  <c r="B288" i="33"/>
  <c r="D288" i="33"/>
  <c r="A289" i="33"/>
  <c r="B289" i="33"/>
  <c r="D289" i="33"/>
  <c r="A290" i="33"/>
  <c r="B290" i="33"/>
  <c r="D290" i="33"/>
  <c r="A291" i="33"/>
  <c r="B291" i="33"/>
  <c r="D291" i="33"/>
  <c r="A292" i="33"/>
  <c r="B292" i="33"/>
  <c r="D292" i="33"/>
  <c r="A293" i="33"/>
  <c r="B293" i="33"/>
  <c r="D293" i="33"/>
  <c r="A294" i="33"/>
  <c r="B294" i="33"/>
  <c r="D294" i="33"/>
  <c r="A295" i="33"/>
  <c r="B295" i="33"/>
  <c r="D295" i="33"/>
  <c r="A296" i="33"/>
  <c r="B296" i="33"/>
  <c r="D296" i="33"/>
  <c r="A297" i="33"/>
  <c r="B297" i="33"/>
  <c r="D297" i="33"/>
  <c r="A298" i="33"/>
  <c r="B298" i="33"/>
  <c r="D298" i="33"/>
  <c r="A299" i="33"/>
  <c r="B299" i="33"/>
  <c r="D299" i="33"/>
  <c r="A300" i="33"/>
  <c r="B300" i="33"/>
  <c r="D300" i="33"/>
  <c r="A301" i="33"/>
  <c r="B301" i="33"/>
  <c r="D301" i="33"/>
  <c r="A302" i="33"/>
  <c r="B302" i="33"/>
  <c r="D302" i="33"/>
  <c r="A303" i="33"/>
  <c r="B303" i="33"/>
  <c r="D303" i="33"/>
  <c r="A304" i="33"/>
  <c r="B304" i="33"/>
  <c r="D304" i="33"/>
  <c r="A305" i="33"/>
  <c r="B305" i="33"/>
  <c r="D305" i="33"/>
  <c r="A13" i="9"/>
  <c r="B13" i="9"/>
  <c r="D13" i="9"/>
  <c r="E13" i="9"/>
  <c r="A14" i="9"/>
  <c r="B14" i="9"/>
  <c r="D14" i="9"/>
  <c r="E14" i="9"/>
  <c r="A15" i="9"/>
  <c r="B15" i="9"/>
  <c r="D15" i="9"/>
  <c r="E15" i="9"/>
  <c r="A16" i="9"/>
  <c r="B16" i="9"/>
  <c r="D16" i="9"/>
  <c r="E16" i="9"/>
  <c r="A17" i="9"/>
  <c r="B17" i="9"/>
  <c r="D17" i="9"/>
  <c r="E17" i="9"/>
  <c r="A18" i="9"/>
  <c r="B18" i="9"/>
  <c r="D18" i="9"/>
  <c r="E18" i="9"/>
  <c r="A19" i="9"/>
  <c r="B19" i="9"/>
  <c r="D19" i="9"/>
  <c r="E19" i="9"/>
  <c r="A20" i="9"/>
  <c r="B20" i="9"/>
  <c r="D20" i="9"/>
  <c r="A21" i="9"/>
  <c r="B21" i="9"/>
  <c r="D21" i="9"/>
  <c r="E21" i="9"/>
  <c r="A22" i="9"/>
  <c r="B22" i="9"/>
  <c r="D22" i="9"/>
  <c r="E22" i="9"/>
  <c r="A23" i="9"/>
  <c r="B23" i="9"/>
  <c r="D23" i="9"/>
  <c r="E23" i="9"/>
  <c r="A24" i="9"/>
  <c r="B24" i="9"/>
  <c r="D24" i="9"/>
  <c r="E24" i="9"/>
  <c r="A25" i="9"/>
  <c r="B25" i="9"/>
  <c r="D25" i="9"/>
  <c r="E25" i="9"/>
  <c r="A26" i="9"/>
  <c r="B26" i="9"/>
  <c r="D26" i="9"/>
  <c r="E26" i="9"/>
  <c r="A27" i="9"/>
  <c r="B27" i="9"/>
  <c r="D27" i="9"/>
  <c r="E27" i="9"/>
  <c r="A28" i="9"/>
  <c r="B28" i="9"/>
  <c r="D28" i="9"/>
  <c r="E28" i="9"/>
  <c r="A29" i="9"/>
  <c r="B29" i="9"/>
  <c r="D29" i="9"/>
  <c r="E29" i="9"/>
  <c r="A30" i="9"/>
  <c r="B30" i="9"/>
  <c r="D30" i="9"/>
  <c r="E30" i="9"/>
  <c r="A31" i="9"/>
  <c r="B31" i="9"/>
  <c r="D31" i="9"/>
  <c r="A32" i="9"/>
  <c r="B32" i="9"/>
  <c r="D32" i="9"/>
  <c r="E32" i="9"/>
  <c r="A33" i="9"/>
  <c r="B33" i="9"/>
  <c r="D33" i="9"/>
  <c r="E33" i="9"/>
  <c r="A34" i="9"/>
  <c r="B34" i="9"/>
  <c r="D34" i="9"/>
  <c r="E34" i="9"/>
  <c r="A35" i="9"/>
  <c r="B35" i="9"/>
  <c r="D35" i="9"/>
  <c r="E35" i="9"/>
  <c r="A36" i="9"/>
  <c r="B36" i="9"/>
  <c r="D36" i="9"/>
  <c r="E36" i="9"/>
  <c r="A37" i="9"/>
  <c r="B37" i="9"/>
  <c r="D37" i="9"/>
  <c r="E37" i="9"/>
  <c r="A38" i="9"/>
  <c r="B38" i="9"/>
  <c r="D38" i="9"/>
  <c r="E38" i="9"/>
  <c r="A39" i="9"/>
  <c r="B39" i="9"/>
  <c r="D39" i="9"/>
  <c r="E39" i="9"/>
  <c r="A40" i="9"/>
  <c r="B40" i="9"/>
  <c r="D40" i="9"/>
  <c r="E40" i="9"/>
  <c r="A41" i="9"/>
  <c r="B41" i="9"/>
  <c r="D41" i="9"/>
  <c r="E41" i="9"/>
  <c r="A42" i="9"/>
  <c r="B42" i="9"/>
  <c r="D42" i="9"/>
  <c r="E42" i="9"/>
  <c r="A43" i="9"/>
  <c r="B43" i="9"/>
  <c r="D43" i="9"/>
  <c r="E43" i="9"/>
  <c r="A44" i="9"/>
  <c r="B44" i="9"/>
  <c r="D44" i="9"/>
  <c r="E44" i="9"/>
  <c r="A45" i="9"/>
  <c r="B45" i="9"/>
  <c r="D45" i="9"/>
  <c r="E45" i="9"/>
  <c r="A46" i="9"/>
  <c r="B46" i="9"/>
  <c r="D46" i="9"/>
  <c r="E46" i="9"/>
  <c r="A47" i="9"/>
  <c r="B47" i="9"/>
  <c r="D47" i="9"/>
  <c r="E47" i="9"/>
  <c r="A48" i="9"/>
  <c r="B48" i="9"/>
  <c r="D48" i="9"/>
  <c r="E48" i="9"/>
  <c r="A49" i="9"/>
  <c r="B49" i="9"/>
  <c r="D49" i="9"/>
  <c r="E49" i="9"/>
  <c r="A50" i="9"/>
  <c r="B50" i="9"/>
  <c r="D50" i="9"/>
  <c r="E50" i="9"/>
  <c r="A51" i="9"/>
  <c r="B51" i="9"/>
  <c r="D51" i="9"/>
  <c r="E51" i="9"/>
  <c r="A52" i="9"/>
  <c r="B52" i="9"/>
  <c r="D52" i="9"/>
  <c r="E52" i="9"/>
  <c r="A53" i="9"/>
  <c r="B53" i="9"/>
  <c r="D53" i="9"/>
  <c r="E53" i="9"/>
  <c r="A54" i="9"/>
  <c r="B54" i="9"/>
  <c r="D54" i="9"/>
  <c r="E54" i="9"/>
  <c r="A55" i="9"/>
  <c r="B55" i="9"/>
  <c r="D55" i="9"/>
  <c r="E55" i="9"/>
  <c r="A56" i="9"/>
  <c r="B56" i="9"/>
  <c r="D56" i="9"/>
  <c r="E56" i="9"/>
  <c r="A57" i="9"/>
  <c r="B57" i="9"/>
  <c r="D57" i="9"/>
  <c r="E57" i="9"/>
  <c r="A58" i="9"/>
  <c r="B58" i="9"/>
  <c r="D58" i="9"/>
  <c r="E58" i="9"/>
  <c r="A59" i="9"/>
  <c r="B59" i="9"/>
  <c r="D59" i="9"/>
  <c r="E59" i="9"/>
  <c r="A60" i="9"/>
  <c r="B60" i="9"/>
  <c r="D60" i="9"/>
  <c r="E60" i="9"/>
  <c r="A61" i="9"/>
  <c r="B61" i="9"/>
  <c r="D61" i="9"/>
  <c r="E61" i="9"/>
  <c r="A62" i="9"/>
  <c r="B62" i="9"/>
  <c r="D62" i="9"/>
  <c r="E62" i="9"/>
  <c r="A63" i="9"/>
  <c r="B63" i="9"/>
  <c r="D63" i="9"/>
  <c r="E63" i="9"/>
  <c r="A64" i="9"/>
  <c r="B64" i="9"/>
  <c r="D64" i="9"/>
  <c r="E64" i="9"/>
  <c r="A65" i="9"/>
  <c r="B65" i="9"/>
  <c r="D65" i="9"/>
  <c r="E65" i="9"/>
  <c r="A66" i="9"/>
  <c r="B66" i="9"/>
  <c r="D66" i="9"/>
  <c r="E66" i="9"/>
  <c r="A67" i="9"/>
  <c r="B67" i="9"/>
  <c r="D67" i="9"/>
  <c r="E67" i="9"/>
  <c r="A68" i="9"/>
  <c r="B68" i="9"/>
  <c r="D68" i="9"/>
  <c r="E68" i="9"/>
  <c r="A69" i="9"/>
  <c r="B69" i="9"/>
  <c r="D69" i="9"/>
  <c r="E69" i="9"/>
  <c r="A70" i="9"/>
  <c r="B70" i="9"/>
  <c r="D70" i="9"/>
  <c r="E70" i="9"/>
  <c r="A71" i="9"/>
  <c r="B71" i="9"/>
  <c r="D71" i="9"/>
  <c r="E71" i="9"/>
  <c r="A72" i="9"/>
  <c r="B72" i="9"/>
  <c r="D72" i="9"/>
  <c r="A73" i="9"/>
  <c r="B73" i="9"/>
  <c r="D73" i="9"/>
  <c r="E73" i="9"/>
  <c r="A74" i="9"/>
  <c r="B74" i="9"/>
  <c r="D74" i="9"/>
  <c r="E74" i="9"/>
  <c r="A75" i="9"/>
  <c r="B75" i="9"/>
  <c r="D75" i="9"/>
  <c r="E75" i="9"/>
  <c r="A76" i="9"/>
  <c r="B76" i="9"/>
  <c r="D76" i="9"/>
  <c r="E76" i="9"/>
  <c r="A77" i="9"/>
  <c r="B77" i="9"/>
  <c r="D77" i="9"/>
  <c r="E77" i="9"/>
  <c r="A78" i="9"/>
  <c r="B78" i="9"/>
  <c r="D78" i="9"/>
  <c r="E78" i="9"/>
  <c r="A79" i="9"/>
  <c r="B79" i="9"/>
  <c r="D79" i="9"/>
  <c r="E79" i="9"/>
  <c r="A80" i="9"/>
  <c r="B80" i="9"/>
  <c r="D80" i="9"/>
  <c r="E80" i="9"/>
  <c r="A81" i="9"/>
  <c r="B81" i="9"/>
  <c r="D81" i="9"/>
  <c r="E81" i="9"/>
  <c r="A82" i="9"/>
  <c r="B82" i="9"/>
  <c r="D82" i="9"/>
  <c r="E82" i="9"/>
  <c r="A83" i="9"/>
  <c r="B83" i="9"/>
  <c r="D83" i="9"/>
  <c r="E83" i="9"/>
  <c r="A84" i="9"/>
  <c r="B84" i="9"/>
  <c r="D84" i="9"/>
  <c r="E84" i="9"/>
  <c r="A85" i="9"/>
  <c r="B85" i="9"/>
  <c r="D85" i="9"/>
  <c r="E85" i="9"/>
  <c r="A86" i="9"/>
  <c r="B86" i="9"/>
  <c r="D86" i="9"/>
  <c r="E86" i="9"/>
  <c r="A87" i="9"/>
  <c r="B87" i="9"/>
  <c r="D87" i="9"/>
  <c r="E87" i="9"/>
  <c r="A88" i="9"/>
  <c r="B88" i="9"/>
  <c r="D88" i="9"/>
  <c r="E88" i="9"/>
  <c r="A89" i="9"/>
  <c r="B89" i="9"/>
  <c r="D89" i="9"/>
  <c r="E89" i="9"/>
  <c r="A90" i="9"/>
  <c r="B90" i="9"/>
  <c r="D90" i="9"/>
  <c r="E90" i="9"/>
  <c r="A91" i="9"/>
  <c r="B91" i="9"/>
  <c r="D91" i="9"/>
  <c r="E91" i="9"/>
  <c r="A92" i="9"/>
  <c r="B92" i="9"/>
  <c r="D92" i="9"/>
  <c r="E92" i="9"/>
  <c r="A93" i="9"/>
  <c r="B93" i="9"/>
  <c r="D93" i="9"/>
  <c r="E93" i="9"/>
  <c r="A94" i="9"/>
  <c r="B94" i="9"/>
  <c r="D94" i="9"/>
  <c r="E94" i="9"/>
  <c r="A95" i="9"/>
  <c r="B95" i="9"/>
  <c r="D95" i="9"/>
  <c r="E95" i="9"/>
  <c r="A96" i="9"/>
  <c r="B96" i="9"/>
  <c r="D96" i="9"/>
  <c r="E96" i="9"/>
  <c r="A97" i="9"/>
  <c r="B97" i="9"/>
  <c r="D97" i="9"/>
  <c r="E97" i="9"/>
  <c r="A98" i="9"/>
  <c r="B98" i="9"/>
  <c r="D98" i="9"/>
  <c r="E98" i="9"/>
  <c r="A99" i="9"/>
  <c r="B99" i="9"/>
  <c r="D99" i="9"/>
  <c r="E99" i="9"/>
  <c r="A100" i="9"/>
  <c r="B100" i="9"/>
  <c r="D100" i="9"/>
  <c r="E100" i="9"/>
  <c r="A101" i="9"/>
  <c r="B101" i="9"/>
  <c r="D101" i="9"/>
  <c r="E101" i="9"/>
  <c r="A102" i="9"/>
  <c r="B102" i="9"/>
  <c r="D102" i="9"/>
  <c r="E102" i="9"/>
  <c r="A103" i="9"/>
  <c r="B103" i="9"/>
  <c r="D103" i="9"/>
  <c r="E103" i="9"/>
  <c r="A104" i="9"/>
  <c r="B104" i="9"/>
  <c r="D104" i="9"/>
  <c r="E104" i="9"/>
  <c r="A105" i="9"/>
  <c r="B105" i="9"/>
  <c r="D105" i="9"/>
  <c r="E105" i="9"/>
  <c r="A106" i="9"/>
  <c r="B106" i="9"/>
  <c r="D106" i="9"/>
  <c r="E106" i="9"/>
  <c r="A107" i="9"/>
  <c r="B107" i="9"/>
  <c r="D107" i="9"/>
  <c r="E107" i="9"/>
  <c r="A108" i="9"/>
  <c r="B108" i="9"/>
  <c r="D108" i="9"/>
  <c r="E108" i="9"/>
  <c r="A109" i="9"/>
  <c r="B109" i="9"/>
  <c r="D109" i="9"/>
  <c r="E109" i="9"/>
  <c r="A110" i="9"/>
  <c r="B110" i="9"/>
  <c r="D110" i="9"/>
  <c r="E110" i="9"/>
  <c r="A111" i="9"/>
  <c r="B111" i="9"/>
  <c r="D111" i="9"/>
  <c r="E111" i="9"/>
  <c r="A112" i="9"/>
  <c r="B112" i="9"/>
  <c r="D112" i="9"/>
  <c r="E112" i="9"/>
  <c r="A113" i="9"/>
  <c r="B113" i="9"/>
  <c r="D113" i="9"/>
  <c r="E113" i="9"/>
  <c r="A114" i="9"/>
  <c r="B114" i="9"/>
  <c r="D114" i="9"/>
  <c r="E114" i="9"/>
  <c r="A115" i="9"/>
  <c r="B115" i="9"/>
  <c r="D115" i="9"/>
  <c r="E115" i="9"/>
  <c r="A116" i="9"/>
  <c r="B116" i="9"/>
  <c r="D116" i="9"/>
  <c r="E116" i="9"/>
  <c r="A117" i="9"/>
  <c r="B117" i="9"/>
  <c r="D117" i="9"/>
  <c r="A118" i="9"/>
  <c r="B118" i="9"/>
  <c r="D118" i="9"/>
  <c r="E118" i="9"/>
  <c r="A119" i="9"/>
  <c r="B119" i="9"/>
  <c r="D119" i="9"/>
  <c r="E119" i="9"/>
  <c r="A120" i="9"/>
  <c r="B120" i="9"/>
  <c r="D120" i="9"/>
  <c r="E120" i="9"/>
  <c r="A121" i="9"/>
  <c r="B121" i="9"/>
  <c r="D121" i="9"/>
  <c r="E121" i="9"/>
  <c r="A122" i="9"/>
  <c r="B122" i="9"/>
  <c r="D122" i="9"/>
  <c r="E122" i="9"/>
  <c r="A123" i="9"/>
  <c r="B123" i="9"/>
  <c r="D123" i="9"/>
  <c r="E123" i="9"/>
  <c r="A124" i="9"/>
  <c r="B124" i="9"/>
  <c r="D124" i="9"/>
  <c r="E124" i="9"/>
  <c r="A125" i="9"/>
  <c r="B125" i="9"/>
  <c r="D125" i="9"/>
  <c r="E125" i="9"/>
  <c r="A126" i="9"/>
  <c r="B126" i="9"/>
  <c r="D126" i="9"/>
  <c r="A127" i="9"/>
  <c r="B127" i="9"/>
  <c r="D127" i="9"/>
  <c r="E127" i="9"/>
  <c r="A128" i="9"/>
  <c r="B128" i="9"/>
  <c r="D128" i="9"/>
  <c r="E128" i="9"/>
  <c r="A129" i="9"/>
  <c r="B129" i="9"/>
  <c r="D129" i="9"/>
  <c r="A130" i="9"/>
  <c r="B130" i="9"/>
  <c r="D130" i="9"/>
  <c r="E130" i="9"/>
  <c r="A131" i="9"/>
  <c r="B131" i="9"/>
  <c r="D131" i="9"/>
  <c r="E131" i="9"/>
  <c r="A132" i="9"/>
  <c r="B132" i="9"/>
  <c r="D132" i="9"/>
  <c r="E132" i="9"/>
  <c r="A133" i="9"/>
  <c r="B133" i="9"/>
  <c r="D133" i="9"/>
  <c r="E133" i="9"/>
  <c r="A134" i="9"/>
  <c r="B134" i="9"/>
  <c r="D134" i="9"/>
  <c r="E134" i="9"/>
  <c r="A135" i="9"/>
  <c r="B135" i="9"/>
  <c r="D135" i="9"/>
  <c r="E135" i="9"/>
  <c r="A136" i="9"/>
  <c r="B136" i="9"/>
  <c r="D136" i="9"/>
  <c r="E136" i="9"/>
  <c r="A137" i="9"/>
  <c r="B137" i="9"/>
  <c r="D137" i="9"/>
  <c r="E137" i="9"/>
  <c r="A138" i="9"/>
  <c r="B138" i="9"/>
  <c r="D138" i="9"/>
  <c r="E138" i="9"/>
  <c r="A139" i="9"/>
  <c r="B139" i="9"/>
  <c r="D139" i="9"/>
  <c r="E139" i="9"/>
  <c r="A140" i="9"/>
  <c r="B140" i="9"/>
  <c r="D140" i="9"/>
  <c r="E140" i="9"/>
  <c r="A141" i="9"/>
  <c r="B141" i="9"/>
  <c r="D141" i="9"/>
  <c r="E141" i="9"/>
  <c r="A142" i="9"/>
  <c r="B142" i="9"/>
  <c r="D142" i="9"/>
  <c r="E142" i="9"/>
  <c r="A143" i="9"/>
  <c r="B143" i="9"/>
  <c r="D143" i="9"/>
  <c r="E143" i="9"/>
  <c r="A144" i="9"/>
  <c r="B144" i="9"/>
  <c r="D144" i="9"/>
  <c r="E144" i="9"/>
  <c r="A145" i="9"/>
  <c r="B145" i="9"/>
  <c r="D145" i="9"/>
  <c r="E145" i="9"/>
  <c r="A146" i="9"/>
  <c r="B146" i="9"/>
  <c r="D146" i="9"/>
  <c r="A147" i="9"/>
  <c r="B147" i="9"/>
  <c r="D147" i="9"/>
  <c r="E147" i="9"/>
  <c r="A148" i="9"/>
  <c r="B148" i="9"/>
  <c r="D148" i="9"/>
  <c r="E148" i="9"/>
  <c r="A149" i="9"/>
  <c r="B149" i="9"/>
  <c r="D149" i="9"/>
  <c r="E149" i="9"/>
  <c r="A150" i="9"/>
  <c r="B150" i="9"/>
  <c r="D150" i="9"/>
  <c r="E150" i="9"/>
  <c r="A151" i="9"/>
  <c r="B151" i="9"/>
  <c r="D151" i="9"/>
  <c r="E151" i="9"/>
  <c r="A152" i="9"/>
  <c r="B152" i="9"/>
  <c r="D152" i="9"/>
  <c r="E152" i="9"/>
  <c r="A153" i="9"/>
  <c r="B153" i="9"/>
  <c r="D153" i="9"/>
  <c r="E153" i="9"/>
  <c r="A154" i="9"/>
  <c r="B154" i="9"/>
  <c r="D154" i="9"/>
  <c r="E154" i="9"/>
  <c r="A155" i="9"/>
  <c r="B155" i="9"/>
  <c r="D155" i="9"/>
  <c r="E155" i="9"/>
  <c r="A156" i="9"/>
  <c r="B156" i="9"/>
  <c r="D156" i="9"/>
  <c r="E156" i="9"/>
  <c r="A157" i="9"/>
  <c r="B157" i="9"/>
  <c r="D157" i="9"/>
  <c r="E157" i="9"/>
  <c r="A158" i="9"/>
  <c r="B158" i="9"/>
  <c r="D158" i="9"/>
  <c r="E158" i="9"/>
  <c r="A159" i="9"/>
  <c r="B159" i="9"/>
  <c r="D159" i="9"/>
  <c r="E159" i="9"/>
  <c r="A160" i="9"/>
  <c r="B160" i="9"/>
  <c r="D160" i="9"/>
  <c r="E160" i="9"/>
  <c r="A161" i="9"/>
  <c r="B161" i="9"/>
  <c r="D161" i="9"/>
  <c r="E161" i="9"/>
  <c r="A162" i="9"/>
  <c r="B162" i="9"/>
  <c r="D162" i="9"/>
  <c r="E162" i="9"/>
  <c r="A163" i="9"/>
  <c r="B163" i="9"/>
  <c r="D163" i="9"/>
  <c r="E163" i="9"/>
  <c r="A164" i="9"/>
  <c r="B164" i="9"/>
  <c r="D164" i="9"/>
  <c r="E164" i="9"/>
  <c r="A165" i="9"/>
  <c r="B165" i="9"/>
  <c r="D165" i="9"/>
  <c r="E165" i="9"/>
  <c r="A166" i="9"/>
  <c r="B166" i="9"/>
  <c r="D166" i="9"/>
  <c r="E166" i="9"/>
  <c r="A167" i="9"/>
  <c r="B167" i="9"/>
  <c r="D167" i="9"/>
  <c r="E167" i="9"/>
  <c r="A168" i="9"/>
  <c r="B168" i="9"/>
  <c r="D168" i="9"/>
  <c r="E168" i="9"/>
  <c r="A169" i="9"/>
  <c r="B169" i="9"/>
  <c r="D169" i="9"/>
  <c r="E169" i="9"/>
  <c r="A170" i="9"/>
  <c r="B170" i="9"/>
  <c r="D170" i="9"/>
  <c r="E170" i="9"/>
  <c r="A171" i="9"/>
  <c r="B171" i="9"/>
  <c r="D171" i="9"/>
  <c r="E171" i="9"/>
  <c r="A172" i="9"/>
  <c r="B172" i="9"/>
  <c r="D172" i="9"/>
  <c r="E172" i="9"/>
  <c r="A173" i="9"/>
  <c r="B173" i="9"/>
  <c r="D173" i="9"/>
  <c r="E173" i="9"/>
  <c r="A174" i="9"/>
  <c r="B174" i="9"/>
  <c r="D174" i="9"/>
  <c r="E174" i="9"/>
  <c r="A175" i="9"/>
  <c r="B175" i="9"/>
  <c r="D175" i="9"/>
  <c r="E175" i="9"/>
  <c r="A176" i="9"/>
  <c r="B176" i="9"/>
  <c r="D176" i="9"/>
  <c r="E176" i="9"/>
  <c r="A177" i="9"/>
  <c r="B177" i="9"/>
  <c r="D177" i="9"/>
  <c r="E177" i="9"/>
  <c r="A178" i="9"/>
  <c r="B178" i="9"/>
  <c r="D178" i="9"/>
  <c r="E178" i="9"/>
  <c r="A179" i="9"/>
  <c r="B179" i="9"/>
  <c r="D179" i="9"/>
  <c r="E179" i="9"/>
  <c r="A180" i="9"/>
  <c r="B180" i="9"/>
  <c r="D180" i="9"/>
  <c r="E180" i="9"/>
  <c r="A181" i="9"/>
  <c r="B181" i="9"/>
  <c r="D181" i="9"/>
  <c r="E181" i="9"/>
  <c r="A182" i="9"/>
  <c r="B182" i="9"/>
  <c r="D182" i="9"/>
  <c r="E182" i="9"/>
  <c r="A183" i="9"/>
  <c r="B183" i="9"/>
  <c r="D183" i="9"/>
  <c r="E183" i="9"/>
  <c r="A184" i="9"/>
  <c r="B184" i="9"/>
  <c r="D184" i="9"/>
  <c r="E184" i="9"/>
  <c r="A185" i="9"/>
  <c r="B185" i="9"/>
  <c r="D185" i="9"/>
  <c r="E185" i="9"/>
  <c r="A186" i="9"/>
  <c r="B186" i="9"/>
  <c r="D186" i="9"/>
  <c r="E186" i="9"/>
  <c r="A187" i="9"/>
  <c r="B187" i="9"/>
  <c r="D187" i="9"/>
  <c r="E187" i="9"/>
  <c r="A188" i="9"/>
  <c r="B188" i="9"/>
  <c r="D188" i="9"/>
  <c r="E188" i="9"/>
  <c r="A189" i="9"/>
  <c r="B189" i="9"/>
  <c r="D189" i="9"/>
  <c r="E189" i="9"/>
  <c r="A190" i="9"/>
  <c r="B190" i="9"/>
  <c r="D190" i="9"/>
  <c r="E190" i="9"/>
  <c r="A191" i="9"/>
  <c r="B191" i="9"/>
  <c r="D191" i="9"/>
  <c r="E191" i="9"/>
  <c r="A192" i="9"/>
  <c r="B192" i="9"/>
  <c r="D192" i="9"/>
  <c r="E192" i="9"/>
  <c r="A193" i="9"/>
  <c r="B193" i="9"/>
  <c r="D193" i="9"/>
  <c r="E193" i="9"/>
  <c r="A194" i="9"/>
  <c r="B194" i="9"/>
  <c r="D194" i="9"/>
  <c r="E194" i="9"/>
  <c r="A195" i="9"/>
  <c r="B195" i="9"/>
  <c r="D195" i="9"/>
  <c r="E195" i="9"/>
  <c r="A196" i="9"/>
  <c r="B196" i="9"/>
  <c r="D196" i="9"/>
  <c r="E196" i="9"/>
  <c r="A197" i="9"/>
  <c r="B197" i="9"/>
  <c r="D197" i="9"/>
  <c r="E197" i="9"/>
  <c r="A198" i="9"/>
  <c r="B198" i="9"/>
  <c r="D198" i="9"/>
  <c r="E198" i="9"/>
  <c r="A199" i="9"/>
  <c r="B199" i="9"/>
  <c r="D199" i="9"/>
  <c r="E199" i="9"/>
  <c r="A200" i="9"/>
  <c r="B200" i="9"/>
  <c r="D200" i="9"/>
  <c r="E200" i="9"/>
  <c r="A201" i="9"/>
  <c r="B201" i="9"/>
  <c r="D201" i="9"/>
  <c r="E201" i="9"/>
  <c r="A202" i="9"/>
  <c r="B202" i="9"/>
  <c r="D202" i="9"/>
  <c r="E202" i="9"/>
  <c r="A203" i="9"/>
  <c r="B203" i="9"/>
  <c r="D203" i="9"/>
  <c r="E203" i="9"/>
  <c r="A204" i="9"/>
  <c r="B204" i="9"/>
  <c r="D204" i="9"/>
  <c r="E204" i="9"/>
  <c r="A205" i="9"/>
  <c r="B205" i="9"/>
  <c r="D205" i="9"/>
  <c r="E205" i="9"/>
  <c r="A206" i="9"/>
  <c r="B206" i="9"/>
  <c r="D206" i="9"/>
  <c r="E206" i="9"/>
  <c r="A207" i="9"/>
  <c r="B207" i="9"/>
  <c r="D207" i="9"/>
  <c r="E207" i="9"/>
  <c r="A208" i="9"/>
  <c r="B208" i="9"/>
  <c r="D208" i="9"/>
  <c r="E208" i="9"/>
  <c r="A209" i="9"/>
  <c r="B209" i="9"/>
  <c r="D209" i="9"/>
  <c r="E209" i="9"/>
  <c r="A210" i="9"/>
  <c r="B210" i="9"/>
  <c r="D210" i="9"/>
  <c r="E210" i="9"/>
  <c r="A211" i="9"/>
  <c r="B211" i="9"/>
  <c r="D211" i="9"/>
  <c r="E211" i="9"/>
  <c r="A212" i="9"/>
  <c r="B212" i="9"/>
  <c r="D212" i="9"/>
  <c r="E212" i="9"/>
  <c r="A213" i="9"/>
  <c r="B213" i="9"/>
  <c r="D213" i="9"/>
  <c r="E213" i="9"/>
  <c r="A214" i="9"/>
  <c r="B214" i="9"/>
  <c r="D214" i="9"/>
  <c r="E214" i="9"/>
  <c r="A215" i="9"/>
  <c r="B215" i="9"/>
  <c r="D215" i="9"/>
  <c r="E215" i="9"/>
  <c r="A216" i="9"/>
  <c r="B216" i="9"/>
  <c r="D216" i="9"/>
  <c r="E216" i="9"/>
  <c r="A217" i="9"/>
  <c r="B217" i="9"/>
  <c r="D217" i="9"/>
  <c r="E217" i="9"/>
  <c r="A218" i="9"/>
  <c r="B218" i="9"/>
  <c r="D218" i="9"/>
  <c r="E218" i="9"/>
  <c r="A219" i="9"/>
  <c r="B219" i="9"/>
  <c r="D219" i="9"/>
  <c r="E219" i="9"/>
  <c r="A220" i="9"/>
  <c r="B220" i="9"/>
  <c r="D220" i="9"/>
  <c r="E220" i="9"/>
  <c r="A221" i="9"/>
  <c r="B221" i="9"/>
  <c r="D221" i="9"/>
  <c r="E221" i="9"/>
  <c r="A222" i="9"/>
  <c r="B222" i="9"/>
  <c r="D222" i="9"/>
  <c r="E222" i="9"/>
  <c r="A223" i="9"/>
  <c r="B223" i="9"/>
  <c r="D223" i="9"/>
  <c r="E223" i="9"/>
  <c r="A224" i="9"/>
  <c r="B224" i="9"/>
  <c r="D224" i="9"/>
  <c r="E224" i="9"/>
  <c r="A225" i="9"/>
  <c r="B225" i="9"/>
  <c r="D225" i="9"/>
  <c r="E225" i="9"/>
  <c r="A226" i="9"/>
  <c r="B226" i="9"/>
  <c r="D226" i="9"/>
  <c r="E226" i="9"/>
  <c r="A227" i="9"/>
  <c r="B227" i="9"/>
  <c r="D227" i="9"/>
  <c r="E227" i="9"/>
  <c r="A228" i="9"/>
  <c r="B228" i="9"/>
  <c r="D228" i="9"/>
  <c r="E228" i="9"/>
  <c r="A229" i="9"/>
  <c r="B229" i="9"/>
  <c r="D229" i="9"/>
  <c r="E229" i="9"/>
  <c r="A230" i="9"/>
  <c r="B230" i="9"/>
  <c r="D230" i="9"/>
  <c r="E230" i="9"/>
  <c r="A231" i="9"/>
  <c r="B231" i="9"/>
  <c r="D231" i="9"/>
  <c r="E231" i="9"/>
  <c r="A232" i="9"/>
  <c r="B232" i="9"/>
  <c r="D232" i="9"/>
  <c r="E232" i="9"/>
  <c r="A233" i="9"/>
  <c r="B233" i="9"/>
  <c r="D233" i="9"/>
  <c r="E233" i="9"/>
  <c r="A234" i="9"/>
  <c r="B234" i="9"/>
  <c r="D234" i="9"/>
  <c r="E234" i="9"/>
  <c r="A235" i="9"/>
  <c r="B235" i="9"/>
  <c r="D235" i="9"/>
  <c r="E235" i="9"/>
  <c r="A236" i="9"/>
  <c r="B236" i="9"/>
  <c r="D236" i="9"/>
  <c r="E236" i="9"/>
  <c r="A237" i="9"/>
  <c r="B237" i="9"/>
  <c r="D237" i="9"/>
  <c r="E237" i="9"/>
  <c r="A238" i="9"/>
  <c r="B238" i="9"/>
  <c r="D238" i="9"/>
  <c r="E238" i="9"/>
  <c r="A239" i="9"/>
  <c r="B239" i="9"/>
  <c r="D239" i="9"/>
  <c r="E239" i="9"/>
  <c r="A240" i="9"/>
  <c r="B240" i="9"/>
  <c r="D240" i="9"/>
  <c r="E240" i="9"/>
  <c r="A241" i="9"/>
  <c r="B241" i="9"/>
  <c r="D241" i="9"/>
  <c r="E241" i="9"/>
  <c r="A242" i="9"/>
  <c r="B242" i="9"/>
  <c r="D242" i="9"/>
  <c r="E242" i="9"/>
  <c r="A243" i="9"/>
  <c r="B243" i="9"/>
  <c r="D243" i="9"/>
  <c r="E243" i="9"/>
  <c r="A244" i="9"/>
  <c r="B244" i="9"/>
  <c r="D244" i="9"/>
  <c r="E244" i="9"/>
  <c r="A245" i="9"/>
  <c r="B245" i="9"/>
  <c r="D245" i="9"/>
  <c r="E245" i="9"/>
  <c r="A246" i="9"/>
  <c r="B246" i="9"/>
  <c r="D246" i="9"/>
  <c r="E246" i="9"/>
  <c r="A247" i="9"/>
  <c r="B247" i="9"/>
  <c r="D247" i="9"/>
  <c r="E247" i="9"/>
  <c r="A248" i="9"/>
  <c r="B248" i="9"/>
  <c r="D248" i="9"/>
  <c r="E248" i="9"/>
  <c r="A249" i="9"/>
  <c r="B249" i="9"/>
  <c r="D249" i="9"/>
  <c r="E249" i="9"/>
  <c r="A250" i="9"/>
  <c r="B250" i="9"/>
  <c r="D250" i="9"/>
  <c r="E250" i="9"/>
  <c r="A251" i="9"/>
  <c r="B251" i="9"/>
  <c r="D251" i="9"/>
  <c r="E251" i="9"/>
  <c r="A252" i="9"/>
  <c r="B252" i="9"/>
  <c r="D252" i="9"/>
  <c r="E252" i="9"/>
  <c r="A253" i="9"/>
  <c r="B253" i="9"/>
  <c r="D253" i="9"/>
  <c r="E253" i="9"/>
  <c r="A254" i="9"/>
  <c r="B254" i="9"/>
  <c r="D254" i="9"/>
  <c r="E254" i="9"/>
  <c r="A255" i="9"/>
  <c r="B255" i="9"/>
  <c r="D255" i="9"/>
  <c r="E255" i="9"/>
  <c r="A256" i="9"/>
  <c r="B256" i="9"/>
  <c r="D256" i="9"/>
  <c r="E256" i="9"/>
  <c r="A257" i="9"/>
  <c r="B257" i="9"/>
  <c r="D257" i="9"/>
  <c r="E257" i="9"/>
  <c r="A258" i="9"/>
  <c r="B258" i="9"/>
  <c r="D258" i="9"/>
  <c r="E258" i="9"/>
  <c r="A259" i="9"/>
  <c r="B259" i="9"/>
  <c r="D259" i="9"/>
  <c r="E259" i="9"/>
  <c r="A260" i="9"/>
  <c r="B260" i="9"/>
  <c r="D260" i="9"/>
  <c r="E260" i="9"/>
  <c r="A261" i="9"/>
  <c r="B261" i="9"/>
  <c r="D261" i="9"/>
  <c r="E261" i="9"/>
  <c r="A262" i="9"/>
  <c r="B262" i="9"/>
  <c r="D262" i="9"/>
  <c r="E262" i="9"/>
  <c r="A263" i="9"/>
  <c r="B263" i="9"/>
  <c r="D263" i="9"/>
  <c r="E263" i="9"/>
  <c r="A264" i="9"/>
  <c r="B264" i="9"/>
  <c r="D264" i="9"/>
  <c r="E264" i="9"/>
  <c r="A265" i="9"/>
  <c r="B265" i="9"/>
  <c r="D265" i="9"/>
  <c r="E265" i="9"/>
  <c r="A266" i="9"/>
  <c r="B266" i="9"/>
  <c r="D266" i="9"/>
  <c r="E266" i="9"/>
  <c r="A267" i="9"/>
  <c r="B267" i="9"/>
  <c r="D267" i="9"/>
  <c r="A268" i="9"/>
  <c r="B268" i="9"/>
  <c r="D268" i="9"/>
  <c r="E268" i="9"/>
  <c r="A269" i="9"/>
  <c r="B269" i="9"/>
  <c r="D269" i="9"/>
  <c r="E269" i="9"/>
  <c r="A270" i="9"/>
  <c r="B270" i="9"/>
  <c r="D270" i="9"/>
  <c r="E270" i="9"/>
  <c r="A271" i="9"/>
  <c r="B271" i="9"/>
  <c r="D271" i="9"/>
  <c r="E271" i="9"/>
  <c r="A272" i="9"/>
  <c r="B272" i="9"/>
  <c r="D272" i="9"/>
  <c r="E272" i="9"/>
  <c r="A273" i="9"/>
  <c r="B273" i="9"/>
  <c r="D273" i="9"/>
  <c r="E273" i="9"/>
  <c r="A274" i="9"/>
  <c r="B274" i="9"/>
  <c r="D274" i="9"/>
  <c r="E274" i="9"/>
  <c r="A275" i="9"/>
  <c r="B275" i="9"/>
  <c r="D275" i="9"/>
  <c r="E275" i="9"/>
  <c r="A276" i="9"/>
  <c r="B276" i="9"/>
  <c r="D276" i="9"/>
  <c r="E276" i="9"/>
  <c r="A277" i="9"/>
  <c r="B277" i="9"/>
  <c r="D277" i="9"/>
  <c r="A278" i="9"/>
  <c r="B278" i="9"/>
  <c r="D278" i="9"/>
  <c r="E278" i="9"/>
  <c r="A279" i="9"/>
  <c r="B279" i="9"/>
  <c r="D279" i="9"/>
  <c r="E279" i="9"/>
  <c r="A280" i="9"/>
  <c r="B280" i="9"/>
  <c r="D280" i="9"/>
  <c r="E280" i="9"/>
  <c r="A281" i="9"/>
  <c r="B281" i="9"/>
  <c r="D281" i="9"/>
  <c r="E281" i="9"/>
  <c r="A282" i="9"/>
  <c r="B282" i="9"/>
  <c r="D282" i="9"/>
  <c r="E282" i="9"/>
  <c r="A283" i="9"/>
  <c r="B283" i="9"/>
  <c r="D283" i="9"/>
  <c r="E283" i="9"/>
  <c r="A284" i="9"/>
  <c r="B284" i="9"/>
  <c r="D284" i="9"/>
  <c r="E284" i="9"/>
  <c r="A285" i="9"/>
  <c r="B285" i="9"/>
  <c r="D285" i="9"/>
  <c r="E285" i="9"/>
  <c r="A286" i="9"/>
  <c r="B286" i="9"/>
  <c r="D286" i="9"/>
  <c r="E286" i="9"/>
  <c r="A287" i="9"/>
  <c r="B287" i="9"/>
  <c r="D287" i="9"/>
  <c r="E287" i="9"/>
  <c r="A288" i="9"/>
  <c r="B288" i="9"/>
  <c r="D288" i="9"/>
  <c r="E288" i="9"/>
  <c r="A289" i="9"/>
  <c r="B289" i="9"/>
  <c r="D289" i="9"/>
  <c r="E289" i="9"/>
  <c r="A290" i="9"/>
  <c r="B290" i="9"/>
  <c r="D290" i="9"/>
  <c r="E290" i="9"/>
  <c r="A291" i="9"/>
  <c r="B291" i="9"/>
  <c r="D291" i="9"/>
  <c r="E291" i="9"/>
  <c r="A292" i="9"/>
  <c r="B292" i="9"/>
  <c r="D292" i="9"/>
  <c r="E292" i="9"/>
  <c r="A293" i="9"/>
  <c r="B293" i="9"/>
  <c r="D293" i="9"/>
  <c r="E293" i="9"/>
  <c r="A294" i="9"/>
  <c r="B294" i="9"/>
  <c r="D294" i="9"/>
  <c r="E294" i="9"/>
  <c r="A295" i="9"/>
  <c r="B295" i="9"/>
  <c r="D295" i="9"/>
  <c r="E295" i="9"/>
  <c r="A296" i="9"/>
  <c r="B296" i="9"/>
  <c r="D296" i="9"/>
  <c r="E296" i="9"/>
  <c r="A297" i="9"/>
  <c r="B297" i="9"/>
  <c r="D297" i="9"/>
  <c r="E297" i="9"/>
  <c r="A298" i="9"/>
  <c r="B298" i="9"/>
  <c r="D298" i="9"/>
  <c r="E298" i="9"/>
  <c r="A299" i="9"/>
  <c r="B299" i="9"/>
  <c r="D299" i="9"/>
  <c r="E299" i="9"/>
  <c r="A300" i="9"/>
  <c r="B300" i="9"/>
  <c r="D300" i="9"/>
  <c r="E300" i="9"/>
  <c r="A301" i="9"/>
  <c r="B301" i="9"/>
  <c r="D301" i="9"/>
  <c r="E301" i="9"/>
  <c r="A302" i="9"/>
  <c r="B302" i="9"/>
  <c r="D302" i="9"/>
  <c r="E302" i="9"/>
  <c r="A303" i="9"/>
  <c r="B303" i="9"/>
  <c r="D303" i="9"/>
  <c r="E303" i="9"/>
  <c r="A304" i="9"/>
  <c r="B304" i="9"/>
  <c r="D304" i="9"/>
  <c r="E304" i="9"/>
  <c r="A305" i="9"/>
  <c r="B305" i="9"/>
  <c r="D305" i="9"/>
  <c r="E305" i="9"/>
  <c r="A306" i="9"/>
  <c r="B306" i="9"/>
  <c r="D306" i="9"/>
  <c r="E306" i="9"/>
  <c r="A307" i="9"/>
  <c r="B307" i="9"/>
  <c r="D307" i="9"/>
  <c r="E307" i="9"/>
  <c r="A308" i="9"/>
  <c r="B308" i="9"/>
  <c r="D308" i="9"/>
  <c r="E308" i="9"/>
  <c r="A309" i="9"/>
  <c r="B309" i="9"/>
  <c r="D309" i="9"/>
  <c r="E309" i="9"/>
  <c r="A310" i="9"/>
  <c r="B310" i="9"/>
  <c r="D310" i="9"/>
  <c r="E310" i="9"/>
  <c r="A311" i="9"/>
  <c r="B311" i="9"/>
  <c r="D311" i="9"/>
  <c r="E311" i="9"/>
  <c r="A7" i="19"/>
  <c r="B7" i="19"/>
  <c r="C7" i="19"/>
  <c r="D7" i="19"/>
  <c r="E7" i="19"/>
  <c r="F7" i="19"/>
  <c r="G7" i="19"/>
  <c r="H7" i="19"/>
  <c r="I7" i="19"/>
  <c r="J7" i="19"/>
  <c r="K7" i="19"/>
  <c r="M7" i="19"/>
  <c r="N7" i="19"/>
  <c r="O7" i="19"/>
  <c r="Q7" i="19"/>
  <c r="A8" i="19"/>
  <c r="B8" i="19"/>
  <c r="C8" i="19"/>
  <c r="D8" i="19"/>
  <c r="E8" i="19"/>
  <c r="F8" i="19"/>
  <c r="G8" i="19"/>
  <c r="H8" i="19"/>
  <c r="I8" i="19"/>
  <c r="J8" i="19"/>
  <c r="K8" i="19"/>
  <c r="M8" i="19"/>
  <c r="N8" i="19"/>
  <c r="O8" i="19"/>
  <c r="Q8" i="19"/>
  <c r="A9" i="19"/>
  <c r="B9" i="19"/>
  <c r="C9" i="19"/>
  <c r="D9" i="19"/>
  <c r="E9" i="19"/>
  <c r="F9" i="19"/>
  <c r="G9" i="19"/>
  <c r="H9" i="19"/>
  <c r="I9" i="19"/>
  <c r="J9" i="19"/>
  <c r="K9" i="19"/>
  <c r="M9" i="19"/>
  <c r="N9" i="19"/>
  <c r="O9" i="19"/>
  <c r="Q9" i="19"/>
  <c r="A10" i="19"/>
  <c r="B10" i="19"/>
  <c r="C10" i="19"/>
  <c r="D10" i="19"/>
  <c r="E10" i="19"/>
  <c r="F10" i="19"/>
  <c r="G10" i="19"/>
  <c r="H10" i="19"/>
  <c r="I10" i="19"/>
  <c r="J10" i="19"/>
  <c r="K10" i="19"/>
  <c r="M10" i="19"/>
  <c r="N10" i="19"/>
  <c r="O10" i="19"/>
  <c r="Q10" i="19"/>
  <c r="A11" i="19"/>
  <c r="B11" i="19"/>
  <c r="C11" i="19"/>
  <c r="D11" i="19"/>
  <c r="E11" i="19"/>
  <c r="F11" i="19"/>
  <c r="G11" i="19"/>
  <c r="H11" i="19"/>
  <c r="I11" i="19"/>
  <c r="J11" i="19"/>
  <c r="K11" i="19"/>
  <c r="M11" i="19"/>
  <c r="N11" i="19"/>
  <c r="O11" i="19"/>
  <c r="Q11" i="19"/>
  <c r="A12" i="19"/>
  <c r="B12" i="19"/>
  <c r="C12" i="19"/>
  <c r="D12" i="19"/>
  <c r="E12" i="19"/>
  <c r="F12" i="19"/>
  <c r="G12" i="19"/>
  <c r="H12" i="19"/>
  <c r="I12" i="19"/>
  <c r="J12" i="19"/>
  <c r="K12" i="19"/>
  <c r="M12" i="19"/>
  <c r="N12" i="19"/>
  <c r="O12" i="19"/>
  <c r="Q12" i="19"/>
  <c r="A13" i="19"/>
  <c r="B13" i="19"/>
  <c r="C13" i="19"/>
  <c r="D13" i="19"/>
  <c r="E13" i="19"/>
  <c r="F13" i="19"/>
  <c r="G13" i="19"/>
  <c r="H13" i="19"/>
  <c r="I13" i="19"/>
  <c r="J13" i="19"/>
  <c r="K13" i="19"/>
  <c r="M13" i="19"/>
  <c r="N13" i="19"/>
  <c r="O13" i="19"/>
  <c r="Q13" i="19"/>
  <c r="A14" i="19"/>
  <c r="B14" i="19"/>
  <c r="C14" i="19"/>
  <c r="D14" i="19"/>
  <c r="E14" i="19"/>
  <c r="F14" i="19"/>
  <c r="G14" i="19"/>
  <c r="H14" i="19"/>
  <c r="I14" i="19"/>
  <c r="J14" i="19"/>
  <c r="K14" i="19"/>
  <c r="M14" i="19"/>
  <c r="N14" i="19"/>
  <c r="O14" i="19"/>
  <c r="Q14" i="19"/>
  <c r="A15" i="19"/>
  <c r="B15" i="19"/>
  <c r="C15" i="19"/>
  <c r="D15" i="19"/>
  <c r="E15" i="19"/>
  <c r="F15" i="19"/>
  <c r="G15" i="19"/>
  <c r="H15" i="19"/>
  <c r="I15" i="19"/>
  <c r="J15" i="19"/>
  <c r="K15" i="19"/>
  <c r="M15" i="19"/>
  <c r="N15" i="19"/>
  <c r="O15" i="19"/>
  <c r="Q15" i="19"/>
  <c r="A16" i="19"/>
  <c r="B16" i="19"/>
  <c r="C16" i="19"/>
  <c r="D16" i="19"/>
  <c r="E16" i="19"/>
  <c r="F16" i="19"/>
  <c r="G16" i="19"/>
  <c r="H16" i="19"/>
  <c r="I16" i="19"/>
  <c r="J16" i="19"/>
  <c r="K16" i="19"/>
  <c r="M16" i="19"/>
  <c r="N16" i="19"/>
  <c r="O16" i="19"/>
  <c r="Q16" i="19"/>
  <c r="A17" i="19"/>
  <c r="B17" i="19"/>
  <c r="C17" i="19"/>
  <c r="D17" i="19"/>
  <c r="E17" i="19"/>
  <c r="F17" i="19"/>
  <c r="G17" i="19"/>
  <c r="H17" i="19"/>
  <c r="I17" i="19"/>
  <c r="J17" i="19"/>
  <c r="K17" i="19"/>
  <c r="M17" i="19"/>
  <c r="N17" i="19"/>
  <c r="O17" i="19"/>
  <c r="Q17" i="19"/>
  <c r="A18" i="19"/>
  <c r="B18" i="19"/>
  <c r="C18" i="19"/>
  <c r="D18" i="19"/>
  <c r="E18" i="19"/>
  <c r="F18" i="19"/>
  <c r="G18" i="19"/>
  <c r="H18" i="19"/>
  <c r="I18" i="19"/>
  <c r="J18" i="19"/>
  <c r="K18" i="19"/>
  <c r="M18" i="19"/>
  <c r="N18" i="19"/>
  <c r="O18" i="19"/>
  <c r="Q18" i="19"/>
  <c r="A19" i="19"/>
  <c r="B19" i="19"/>
  <c r="C19" i="19"/>
  <c r="D19" i="19"/>
  <c r="E19" i="19"/>
  <c r="F19" i="19"/>
  <c r="G19" i="19"/>
  <c r="H19" i="19"/>
  <c r="I19" i="19"/>
  <c r="J19" i="19"/>
  <c r="K19" i="19"/>
  <c r="M19" i="19"/>
  <c r="N19" i="19"/>
  <c r="O19" i="19"/>
  <c r="Q19" i="19"/>
  <c r="A20" i="19"/>
  <c r="B20" i="19"/>
  <c r="C20" i="19"/>
  <c r="D20" i="19"/>
  <c r="E20" i="19"/>
  <c r="F20" i="19"/>
  <c r="G20" i="19"/>
  <c r="H20" i="19"/>
  <c r="I20" i="19"/>
  <c r="J20" i="19"/>
  <c r="K20" i="19"/>
  <c r="M20" i="19"/>
  <c r="N20" i="19"/>
  <c r="O20" i="19"/>
  <c r="Q20" i="19"/>
  <c r="A21" i="19"/>
  <c r="B21" i="19"/>
  <c r="C21" i="19"/>
  <c r="E21" i="19"/>
  <c r="F21" i="19"/>
  <c r="G21" i="19"/>
  <c r="H21" i="19"/>
  <c r="I21" i="19"/>
  <c r="J21" i="19"/>
  <c r="K21" i="19"/>
  <c r="M21" i="19"/>
  <c r="N21" i="19"/>
  <c r="O21" i="19"/>
  <c r="Q21" i="19"/>
  <c r="A22" i="19"/>
  <c r="B22" i="19"/>
  <c r="C22" i="19"/>
  <c r="D22" i="19"/>
  <c r="E22" i="19"/>
  <c r="F22" i="19"/>
  <c r="G22" i="19"/>
  <c r="H22" i="19"/>
  <c r="I22" i="19"/>
  <c r="J22" i="19"/>
  <c r="K22" i="19"/>
  <c r="M22" i="19"/>
  <c r="N22" i="19"/>
  <c r="O22" i="19"/>
  <c r="Q22" i="19"/>
  <c r="A23" i="19"/>
  <c r="B23" i="19"/>
  <c r="C23" i="19"/>
  <c r="D23" i="19"/>
  <c r="E23" i="19"/>
  <c r="F23" i="19"/>
  <c r="G23" i="19"/>
  <c r="H23" i="19"/>
  <c r="I23" i="19"/>
  <c r="J23" i="19"/>
  <c r="K23" i="19"/>
  <c r="M23" i="19"/>
  <c r="N23" i="19"/>
  <c r="O23" i="19"/>
  <c r="Q23" i="19"/>
  <c r="A24" i="19"/>
  <c r="B24" i="19"/>
  <c r="C24" i="19"/>
  <c r="D24" i="19"/>
  <c r="E24" i="19"/>
  <c r="F24" i="19"/>
  <c r="G24" i="19"/>
  <c r="H24" i="19"/>
  <c r="I24" i="19"/>
  <c r="J24" i="19"/>
  <c r="K24" i="19"/>
  <c r="M24" i="19"/>
  <c r="N24" i="19"/>
  <c r="O24" i="19"/>
  <c r="Q24" i="19"/>
  <c r="A25" i="19"/>
  <c r="B25" i="19"/>
  <c r="C25" i="19"/>
  <c r="D25" i="19"/>
  <c r="E25" i="19"/>
  <c r="F25" i="19"/>
  <c r="G25" i="19"/>
  <c r="H25" i="19"/>
  <c r="I25" i="19"/>
  <c r="J25" i="19"/>
  <c r="K25" i="19"/>
  <c r="M25" i="19"/>
  <c r="N25" i="19"/>
  <c r="O25" i="19"/>
  <c r="Q25" i="19"/>
  <c r="A26" i="19"/>
  <c r="B26" i="19"/>
  <c r="C26" i="19"/>
  <c r="D26" i="19"/>
  <c r="E26" i="19"/>
  <c r="F26" i="19"/>
  <c r="G26" i="19"/>
  <c r="H26" i="19"/>
  <c r="I26" i="19"/>
  <c r="J26" i="19"/>
  <c r="K26" i="19"/>
  <c r="M26" i="19"/>
  <c r="N26" i="19"/>
  <c r="O26" i="19"/>
  <c r="Q26" i="19"/>
  <c r="A27" i="19"/>
  <c r="B27" i="19"/>
  <c r="C27" i="19"/>
  <c r="D27" i="19"/>
  <c r="E27" i="19"/>
  <c r="F27" i="19"/>
  <c r="G27" i="19"/>
  <c r="H27" i="19"/>
  <c r="I27" i="19"/>
  <c r="J27" i="19"/>
  <c r="K27" i="19"/>
  <c r="M27" i="19"/>
  <c r="N27" i="19"/>
  <c r="O27" i="19"/>
  <c r="Q27" i="19"/>
  <c r="A28" i="19"/>
  <c r="B28" i="19"/>
  <c r="C28" i="19"/>
  <c r="D28" i="19"/>
  <c r="E28" i="19"/>
  <c r="F28" i="19"/>
  <c r="G28" i="19"/>
  <c r="H28" i="19"/>
  <c r="I28" i="19"/>
  <c r="J28" i="19"/>
  <c r="K28" i="19"/>
  <c r="M28" i="19"/>
  <c r="N28" i="19"/>
  <c r="O28" i="19"/>
  <c r="Q28" i="19"/>
  <c r="A29" i="19"/>
  <c r="B29" i="19"/>
  <c r="C29" i="19"/>
  <c r="D29" i="19"/>
  <c r="E29" i="19"/>
  <c r="F29" i="19"/>
  <c r="G29" i="19"/>
  <c r="H29" i="19"/>
  <c r="I29" i="19"/>
  <c r="J29" i="19"/>
  <c r="K29" i="19"/>
  <c r="M29" i="19"/>
  <c r="N29" i="19"/>
  <c r="O29" i="19"/>
  <c r="Q29" i="19"/>
  <c r="A30" i="19"/>
  <c r="B30" i="19"/>
  <c r="C30" i="19"/>
  <c r="D30" i="19"/>
  <c r="E30" i="19"/>
  <c r="F30" i="19"/>
  <c r="G30" i="19"/>
  <c r="H30" i="19"/>
  <c r="I30" i="19"/>
  <c r="J30" i="19"/>
  <c r="K30" i="19"/>
  <c r="M30" i="19"/>
  <c r="N30" i="19"/>
  <c r="O30" i="19"/>
  <c r="Q30" i="19"/>
  <c r="A31" i="19"/>
  <c r="B31" i="19"/>
  <c r="C31" i="19"/>
  <c r="D31" i="19"/>
  <c r="E31" i="19"/>
  <c r="F31" i="19"/>
  <c r="G31" i="19"/>
  <c r="H31" i="19"/>
  <c r="I31" i="19"/>
  <c r="J31" i="19"/>
  <c r="K31" i="19"/>
  <c r="M31" i="19"/>
  <c r="N31" i="19"/>
  <c r="O31" i="19"/>
  <c r="Q31" i="19"/>
  <c r="A32" i="19"/>
  <c r="B32" i="19"/>
  <c r="C32" i="19"/>
  <c r="D32" i="19"/>
  <c r="E32" i="19"/>
  <c r="F32" i="19"/>
  <c r="G32" i="19"/>
  <c r="H32" i="19"/>
  <c r="I32" i="19"/>
  <c r="J32" i="19"/>
  <c r="K32" i="19"/>
  <c r="M32" i="19"/>
  <c r="N32" i="19"/>
  <c r="O32" i="19"/>
  <c r="Q32" i="19"/>
  <c r="A33" i="19"/>
  <c r="B33" i="19"/>
  <c r="C33" i="19"/>
  <c r="D33" i="19"/>
  <c r="E33" i="19"/>
  <c r="F33" i="19"/>
  <c r="G33" i="19"/>
  <c r="H33" i="19"/>
  <c r="I33" i="19"/>
  <c r="J33" i="19"/>
  <c r="K33" i="19"/>
  <c r="M33" i="19"/>
  <c r="N33" i="19"/>
  <c r="O33" i="19"/>
  <c r="Q33" i="19"/>
  <c r="A34" i="19"/>
  <c r="B34" i="19"/>
  <c r="C34" i="19"/>
  <c r="D34" i="19"/>
  <c r="E34" i="19"/>
  <c r="F34" i="19"/>
  <c r="G34" i="19"/>
  <c r="H34" i="19"/>
  <c r="I34" i="19"/>
  <c r="J34" i="19"/>
  <c r="K34" i="19"/>
  <c r="M34" i="19"/>
  <c r="N34" i="19"/>
  <c r="O34" i="19"/>
  <c r="Q34" i="19"/>
  <c r="A35" i="19"/>
  <c r="B35" i="19"/>
  <c r="C35" i="19"/>
  <c r="D35" i="19"/>
  <c r="E35" i="19"/>
  <c r="F35" i="19"/>
  <c r="G35" i="19"/>
  <c r="H35" i="19"/>
  <c r="I35" i="19"/>
  <c r="J35" i="19"/>
  <c r="K35" i="19"/>
  <c r="M35" i="19"/>
  <c r="N35" i="19"/>
  <c r="O35" i="19"/>
  <c r="Q35" i="19"/>
  <c r="A36" i="19"/>
  <c r="B36" i="19"/>
  <c r="C36" i="19"/>
  <c r="D36" i="19"/>
  <c r="E36" i="19"/>
  <c r="F36" i="19"/>
  <c r="G36" i="19"/>
  <c r="H36" i="19"/>
  <c r="I36" i="19"/>
  <c r="J36" i="19"/>
  <c r="K36" i="19"/>
  <c r="M36" i="19"/>
  <c r="N36" i="19"/>
  <c r="O36" i="19"/>
  <c r="Q36" i="19"/>
  <c r="A37" i="19"/>
  <c r="B37" i="19"/>
  <c r="C37" i="19"/>
  <c r="D37" i="19"/>
  <c r="E37" i="19"/>
  <c r="F37" i="19"/>
  <c r="G37" i="19"/>
  <c r="H37" i="19"/>
  <c r="I37" i="19"/>
  <c r="J37" i="19"/>
  <c r="K37" i="19"/>
  <c r="M37" i="19"/>
  <c r="N37" i="19"/>
  <c r="O37" i="19"/>
  <c r="Q37" i="19"/>
  <c r="A38" i="19"/>
  <c r="B38" i="19"/>
  <c r="C38" i="19"/>
  <c r="D38" i="19"/>
  <c r="E38" i="19"/>
  <c r="F38" i="19"/>
  <c r="G38" i="19"/>
  <c r="H38" i="19"/>
  <c r="I38" i="19"/>
  <c r="J38" i="19"/>
  <c r="K38" i="19"/>
  <c r="M38" i="19"/>
  <c r="N38" i="19"/>
  <c r="O38" i="19"/>
  <c r="Q38" i="19"/>
  <c r="A39" i="19"/>
  <c r="B39" i="19"/>
  <c r="C39" i="19"/>
  <c r="D39" i="19"/>
  <c r="E39" i="19"/>
  <c r="F39" i="19"/>
  <c r="G39" i="19"/>
  <c r="H39" i="19"/>
  <c r="I39" i="19"/>
  <c r="J39" i="19"/>
  <c r="K39" i="19"/>
  <c r="M39" i="19"/>
  <c r="N39" i="19"/>
  <c r="O39" i="19"/>
  <c r="Q39" i="19"/>
  <c r="A40" i="19"/>
  <c r="B40" i="19"/>
  <c r="C40" i="19"/>
  <c r="D40" i="19"/>
  <c r="E40" i="19"/>
  <c r="F40" i="19"/>
  <c r="G40" i="19"/>
  <c r="H40" i="19"/>
  <c r="I40" i="19"/>
  <c r="J40" i="19"/>
  <c r="K40" i="19"/>
  <c r="M40" i="19"/>
  <c r="N40" i="19"/>
  <c r="O40" i="19"/>
  <c r="Q40" i="19"/>
  <c r="A41" i="19"/>
  <c r="B41" i="19"/>
  <c r="C41" i="19"/>
  <c r="D41" i="19"/>
  <c r="E41" i="19"/>
  <c r="F41" i="19"/>
  <c r="G41" i="19"/>
  <c r="H41" i="19"/>
  <c r="I41" i="19"/>
  <c r="J41" i="19"/>
  <c r="K41" i="19"/>
  <c r="M41" i="19"/>
  <c r="N41" i="19"/>
  <c r="O41" i="19"/>
  <c r="Q41" i="19"/>
  <c r="A42" i="19"/>
  <c r="B42" i="19"/>
  <c r="C42" i="19"/>
  <c r="D42" i="19"/>
  <c r="E42" i="19"/>
  <c r="F42" i="19"/>
  <c r="G42" i="19"/>
  <c r="H42" i="19"/>
  <c r="I42" i="19"/>
  <c r="J42" i="19"/>
  <c r="K42" i="19"/>
  <c r="M42" i="19"/>
  <c r="N42" i="19"/>
  <c r="O42" i="19"/>
  <c r="Q42" i="19"/>
  <c r="A43" i="19"/>
  <c r="B43" i="19"/>
  <c r="C43" i="19"/>
  <c r="D43" i="19"/>
  <c r="E43" i="19"/>
  <c r="F43" i="19"/>
  <c r="G43" i="19"/>
  <c r="H43" i="19"/>
  <c r="I43" i="19"/>
  <c r="J43" i="19"/>
  <c r="K43" i="19"/>
  <c r="M43" i="19"/>
  <c r="N43" i="19"/>
  <c r="O43" i="19"/>
  <c r="Q43" i="19"/>
  <c r="A44" i="19"/>
  <c r="B44" i="19"/>
  <c r="C44" i="19"/>
  <c r="D44" i="19"/>
  <c r="E44" i="19"/>
  <c r="F44" i="19"/>
  <c r="G44" i="19"/>
  <c r="H44" i="19"/>
  <c r="I44" i="19"/>
  <c r="J44" i="19"/>
  <c r="K44" i="19"/>
  <c r="M44" i="19"/>
  <c r="N44" i="19"/>
  <c r="O44" i="19"/>
  <c r="Q44" i="19"/>
  <c r="A45" i="19"/>
  <c r="B45" i="19"/>
  <c r="C45" i="19"/>
  <c r="D45" i="19"/>
  <c r="E45" i="19"/>
  <c r="F45" i="19"/>
  <c r="G45" i="19"/>
  <c r="H45" i="19"/>
  <c r="I45" i="19"/>
  <c r="J45" i="19"/>
  <c r="K45" i="19"/>
  <c r="M45" i="19"/>
  <c r="N45" i="19"/>
  <c r="O45" i="19"/>
  <c r="Q45" i="19"/>
  <c r="A46" i="19"/>
  <c r="B46" i="19"/>
  <c r="C46" i="19"/>
  <c r="D46" i="19"/>
  <c r="E46" i="19"/>
  <c r="F46" i="19"/>
  <c r="G46" i="19"/>
  <c r="H46" i="19"/>
  <c r="I46" i="19"/>
  <c r="J46" i="19"/>
  <c r="K46" i="19"/>
  <c r="M46" i="19"/>
  <c r="N46" i="19"/>
  <c r="O46" i="19"/>
  <c r="Q46" i="19"/>
  <c r="A47" i="19"/>
  <c r="B47" i="19"/>
  <c r="C47" i="19"/>
  <c r="D47" i="19"/>
  <c r="E47" i="19"/>
  <c r="F47" i="19"/>
  <c r="G47" i="19"/>
  <c r="H47" i="19"/>
  <c r="I47" i="19"/>
  <c r="J47" i="19"/>
  <c r="K47" i="19"/>
  <c r="M47" i="19"/>
  <c r="N47" i="19"/>
  <c r="O47" i="19"/>
  <c r="Q47" i="19"/>
  <c r="A48" i="19"/>
  <c r="B48" i="19"/>
  <c r="C48" i="19"/>
  <c r="D48" i="19"/>
  <c r="E48" i="19"/>
  <c r="F48" i="19"/>
  <c r="G48" i="19"/>
  <c r="H48" i="19"/>
  <c r="I48" i="19"/>
  <c r="J48" i="19"/>
  <c r="K48" i="19"/>
  <c r="M48" i="19"/>
  <c r="N48" i="19"/>
  <c r="O48" i="19"/>
  <c r="Q48" i="19"/>
  <c r="A49" i="19"/>
  <c r="B49" i="19"/>
  <c r="C49" i="19"/>
  <c r="D49" i="19"/>
  <c r="E49" i="19"/>
  <c r="F49" i="19"/>
  <c r="G49" i="19"/>
  <c r="H49" i="19"/>
  <c r="I49" i="19"/>
  <c r="J49" i="19"/>
  <c r="K49" i="19"/>
  <c r="M49" i="19"/>
  <c r="N49" i="19"/>
  <c r="O49" i="19"/>
  <c r="Q49" i="19"/>
  <c r="A50" i="19"/>
  <c r="B50" i="19"/>
  <c r="C50" i="19"/>
  <c r="D50" i="19"/>
  <c r="E50" i="19"/>
  <c r="F50" i="19"/>
  <c r="G50" i="19"/>
  <c r="H50" i="19"/>
  <c r="I50" i="19"/>
  <c r="J50" i="19"/>
  <c r="K50" i="19"/>
  <c r="M50" i="19"/>
  <c r="N50" i="19"/>
  <c r="O50" i="19"/>
  <c r="Q50" i="19"/>
  <c r="A51" i="19"/>
  <c r="B51" i="19"/>
  <c r="C51" i="19"/>
  <c r="D51" i="19"/>
  <c r="E51" i="19"/>
  <c r="F51" i="19"/>
  <c r="G51" i="19"/>
  <c r="H51" i="19"/>
  <c r="I51" i="19"/>
  <c r="J51" i="19"/>
  <c r="K51" i="19"/>
  <c r="M51" i="19"/>
  <c r="N51" i="19"/>
  <c r="O51" i="19"/>
  <c r="Q51" i="19"/>
  <c r="A52" i="19"/>
  <c r="B52" i="19"/>
  <c r="C52" i="19"/>
  <c r="D52" i="19"/>
  <c r="E52" i="19"/>
  <c r="F52" i="19"/>
  <c r="G52" i="19"/>
  <c r="H52" i="19"/>
  <c r="I52" i="19"/>
  <c r="J52" i="19"/>
  <c r="K52" i="19"/>
  <c r="M52" i="19"/>
  <c r="N52" i="19"/>
  <c r="O52" i="19"/>
  <c r="Q52" i="19"/>
  <c r="A53" i="19"/>
  <c r="B53" i="19"/>
  <c r="C53" i="19"/>
  <c r="D53" i="19"/>
  <c r="E53" i="19"/>
  <c r="F53" i="19"/>
  <c r="G53" i="19"/>
  <c r="H53" i="19"/>
  <c r="I53" i="19"/>
  <c r="J53" i="19"/>
  <c r="K53" i="19"/>
  <c r="M53" i="19"/>
  <c r="N53" i="19"/>
  <c r="O53" i="19"/>
  <c r="Q53" i="19"/>
  <c r="A54" i="19"/>
  <c r="B54" i="19"/>
  <c r="C54" i="19"/>
  <c r="D54" i="19"/>
  <c r="E54" i="19"/>
  <c r="F54" i="19"/>
  <c r="G54" i="19"/>
  <c r="H54" i="19"/>
  <c r="I54" i="19"/>
  <c r="J54" i="19"/>
  <c r="K54" i="19"/>
  <c r="M54" i="19"/>
  <c r="N54" i="19"/>
  <c r="O54" i="19"/>
  <c r="Q54" i="19"/>
  <c r="A55" i="19"/>
  <c r="B55" i="19"/>
  <c r="C55" i="19"/>
  <c r="D55" i="19"/>
  <c r="E55" i="19"/>
  <c r="F55" i="19"/>
  <c r="G55" i="19"/>
  <c r="H55" i="19"/>
  <c r="I55" i="19"/>
  <c r="J55" i="19"/>
  <c r="K55" i="19"/>
  <c r="M55" i="19"/>
  <c r="N55" i="19"/>
  <c r="O55" i="19"/>
  <c r="Q55" i="19"/>
  <c r="A56" i="19"/>
  <c r="B56" i="19"/>
  <c r="C56" i="19"/>
  <c r="D56" i="19"/>
  <c r="E56" i="19"/>
  <c r="F56" i="19"/>
  <c r="G56" i="19"/>
  <c r="H56" i="19"/>
  <c r="I56" i="19"/>
  <c r="J56" i="19"/>
  <c r="K56" i="19"/>
  <c r="M56" i="19"/>
  <c r="N56" i="19"/>
  <c r="O56" i="19"/>
  <c r="Q56" i="19"/>
  <c r="A57" i="19"/>
  <c r="B57" i="19"/>
  <c r="C57" i="19"/>
  <c r="D57" i="19"/>
  <c r="E57" i="19"/>
  <c r="F57" i="19"/>
  <c r="G57" i="19"/>
  <c r="H57" i="19"/>
  <c r="I57" i="19"/>
  <c r="J57" i="19"/>
  <c r="K57" i="19"/>
  <c r="M57" i="19"/>
  <c r="N57" i="19"/>
  <c r="O57" i="19"/>
  <c r="Q57" i="19"/>
  <c r="A58" i="19"/>
  <c r="B58" i="19"/>
  <c r="C58" i="19"/>
  <c r="D58" i="19"/>
  <c r="E58" i="19"/>
  <c r="F58" i="19"/>
  <c r="G58" i="19"/>
  <c r="H58" i="19"/>
  <c r="I58" i="19"/>
  <c r="J58" i="19"/>
  <c r="K58" i="19"/>
  <c r="M58" i="19"/>
  <c r="N58" i="19"/>
  <c r="O58" i="19"/>
  <c r="Q58" i="19"/>
  <c r="A59" i="19"/>
  <c r="B59" i="19"/>
  <c r="C59" i="19"/>
  <c r="D59" i="19"/>
  <c r="E59" i="19"/>
  <c r="F59" i="19"/>
  <c r="G59" i="19"/>
  <c r="H59" i="19"/>
  <c r="I59" i="19"/>
  <c r="J59" i="19"/>
  <c r="K59" i="19"/>
  <c r="M59" i="19"/>
  <c r="N59" i="19"/>
  <c r="O59" i="19"/>
  <c r="Q59" i="19"/>
  <c r="A60" i="19"/>
  <c r="B60" i="19"/>
  <c r="C60" i="19"/>
  <c r="D60" i="19"/>
  <c r="E60" i="19"/>
  <c r="F60" i="19"/>
  <c r="G60" i="19"/>
  <c r="H60" i="19"/>
  <c r="I60" i="19"/>
  <c r="J60" i="19"/>
  <c r="K60" i="19"/>
  <c r="M60" i="19"/>
  <c r="N60" i="19"/>
  <c r="O60" i="19"/>
  <c r="Q60" i="19"/>
  <c r="A61" i="19"/>
  <c r="B61" i="19"/>
  <c r="C61" i="19"/>
  <c r="D61" i="19"/>
  <c r="E61" i="19"/>
  <c r="F61" i="19"/>
  <c r="G61" i="19"/>
  <c r="H61" i="19"/>
  <c r="I61" i="19"/>
  <c r="J61" i="19"/>
  <c r="K61" i="19"/>
  <c r="M61" i="19"/>
  <c r="N61" i="19"/>
  <c r="O61" i="19"/>
  <c r="Q61" i="19"/>
  <c r="A62" i="19"/>
  <c r="B62" i="19"/>
  <c r="C62" i="19"/>
  <c r="D62" i="19"/>
  <c r="E62" i="19"/>
  <c r="F62" i="19"/>
  <c r="G62" i="19"/>
  <c r="H62" i="19"/>
  <c r="I62" i="19"/>
  <c r="J62" i="19"/>
  <c r="K62" i="19"/>
  <c r="M62" i="19"/>
  <c r="N62" i="19"/>
  <c r="O62" i="19"/>
  <c r="Q62" i="19"/>
  <c r="A63" i="19"/>
  <c r="B63" i="19"/>
  <c r="C63" i="19"/>
  <c r="D63" i="19"/>
  <c r="E63" i="19"/>
  <c r="F63" i="19"/>
  <c r="G63" i="19"/>
  <c r="H63" i="19"/>
  <c r="I63" i="19"/>
  <c r="J63" i="19"/>
  <c r="K63" i="19"/>
  <c r="M63" i="19"/>
  <c r="N63" i="19"/>
  <c r="O63" i="19"/>
  <c r="Q63" i="19"/>
  <c r="A64" i="19"/>
  <c r="B64" i="19"/>
  <c r="C64" i="19"/>
  <c r="D64" i="19"/>
  <c r="E64" i="19"/>
  <c r="F64" i="19"/>
  <c r="G64" i="19"/>
  <c r="H64" i="19"/>
  <c r="I64" i="19"/>
  <c r="J64" i="19"/>
  <c r="K64" i="19"/>
  <c r="M64" i="19"/>
  <c r="N64" i="19"/>
  <c r="O64" i="19"/>
  <c r="Q64" i="19"/>
  <c r="A65" i="19"/>
  <c r="B65" i="19"/>
  <c r="C65" i="19"/>
  <c r="D65" i="19"/>
  <c r="E65" i="19"/>
  <c r="F65" i="19"/>
  <c r="G65" i="19"/>
  <c r="H65" i="19"/>
  <c r="I65" i="19"/>
  <c r="J65" i="19"/>
  <c r="K65" i="19"/>
  <c r="M65" i="19"/>
  <c r="N65" i="19"/>
  <c r="O65" i="19"/>
  <c r="Q65" i="19"/>
  <c r="A66" i="19"/>
  <c r="B66" i="19"/>
  <c r="C66" i="19"/>
  <c r="D66" i="19"/>
  <c r="E66" i="19"/>
  <c r="F66" i="19"/>
  <c r="G66" i="19"/>
  <c r="H66" i="19"/>
  <c r="I66" i="19"/>
  <c r="J66" i="19"/>
  <c r="K66" i="19"/>
  <c r="M66" i="19"/>
  <c r="N66" i="19"/>
  <c r="O66" i="19"/>
  <c r="Q66" i="19"/>
  <c r="A67" i="19"/>
  <c r="B67" i="19"/>
  <c r="C67" i="19"/>
  <c r="D67" i="19"/>
  <c r="E67" i="19"/>
  <c r="F67" i="19"/>
  <c r="G67" i="19"/>
  <c r="H67" i="19"/>
  <c r="I67" i="19"/>
  <c r="J67" i="19"/>
  <c r="K67" i="19"/>
  <c r="M67" i="19"/>
  <c r="N67" i="19"/>
  <c r="O67" i="19"/>
  <c r="Q67" i="19"/>
  <c r="A68" i="19"/>
  <c r="B68" i="19"/>
  <c r="C68" i="19"/>
  <c r="D68" i="19"/>
  <c r="E68" i="19"/>
  <c r="F68" i="19"/>
  <c r="G68" i="19"/>
  <c r="H68" i="19"/>
  <c r="I68" i="19"/>
  <c r="J68" i="19"/>
  <c r="K68" i="19"/>
  <c r="M68" i="19"/>
  <c r="N68" i="19"/>
  <c r="O68" i="19"/>
  <c r="Q68" i="19"/>
  <c r="A69" i="19"/>
  <c r="B69" i="19"/>
  <c r="C69" i="19"/>
  <c r="D69" i="19"/>
  <c r="E69" i="19"/>
  <c r="F69" i="19"/>
  <c r="G69" i="19"/>
  <c r="H69" i="19"/>
  <c r="I69" i="19"/>
  <c r="J69" i="19"/>
  <c r="K69" i="19"/>
  <c r="M69" i="19"/>
  <c r="N69" i="19"/>
  <c r="O69" i="19"/>
  <c r="Q69" i="19"/>
  <c r="A70" i="19"/>
  <c r="B70" i="19"/>
  <c r="C70" i="19"/>
  <c r="D70" i="19"/>
  <c r="E70" i="19"/>
  <c r="F70" i="19"/>
  <c r="G70" i="19"/>
  <c r="H70" i="19"/>
  <c r="I70" i="19"/>
  <c r="J70" i="19"/>
  <c r="K70" i="19"/>
  <c r="M70" i="19"/>
  <c r="N70" i="19"/>
  <c r="O70" i="19"/>
  <c r="Q70" i="19"/>
  <c r="A71" i="19"/>
  <c r="B71" i="19"/>
  <c r="C71" i="19"/>
  <c r="D71" i="19"/>
  <c r="E71" i="19"/>
  <c r="F71" i="19"/>
  <c r="G71" i="19"/>
  <c r="H71" i="19"/>
  <c r="I71" i="19"/>
  <c r="J71" i="19"/>
  <c r="K71" i="19"/>
  <c r="M71" i="19"/>
  <c r="N71" i="19"/>
  <c r="O71" i="19"/>
  <c r="Q71" i="19"/>
  <c r="A72" i="19"/>
  <c r="B72" i="19"/>
  <c r="C72" i="19"/>
  <c r="D72" i="19"/>
  <c r="E72" i="19"/>
  <c r="F72" i="19"/>
  <c r="G72" i="19"/>
  <c r="H72" i="19"/>
  <c r="I72" i="19"/>
  <c r="J72" i="19"/>
  <c r="K72" i="19"/>
  <c r="M72" i="19"/>
  <c r="N72" i="19"/>
  <c r="O72" i="19"/>
  <c r="Q72" i="19"/>
  <c r="A73" i="19"/>
  <c r="B73" i="19"/>
  <c r="C73" i="19"/>
  <c r="D73" i="19"/>
  <c r="E73" i="19"/>
  <c r="F73" i="19"/>
  <c r="G73" i="19"/>
  <c r="H73" i="19"/>
  <c r="I73" i="19"/>
  <c r="J73" i="19"/>
  <c r="K73" i="19"/>
  <c r="M73" i="19"/>
  <c r="N73" i="19"/>
  <c r="O73" i="19"/>
  <c r="Q73" i="19"/>
  <c r="A74" i="19"/>
  <c r="B74" i="19"/>
  <c r="C74" i="19"/>
  <c r="D74" i="19"/>
  <c r="E74" i="19"/>
  <c r="F74" i="19"/>
  <c r="G74" i="19"/>
  <c r="H74" i="19"/>
  <c r="I74" i="19"/>
  <c r="J74" i="19"/>
  <c r="K74" i="19"/>
  <c r="M74" i="19"/>
  <c r="N74" i="19"/>
  <c r="O74" i="19"/>
  <c r="Q74" i="19"/>
  <c r="A75" i="19"/>
  <c r="B75" i="19"/>
  <c r="C75" i="19"/>
  <c r="D75" i="19"/>
  <c r="E75" i="19"/>
  <c r="F75" i="19"/>
  <c r="G75" i="19"/>
  <c r="H75" i="19"/>
  <c r="I75" i="19"/>
  <c r="J75" i="19"/>
  <c r="K75" i="19"/>
  <c r="M75" i="19"/>
  <c r="N75" i="19"/>
  <c r="O75" i="19"/>
  <c r="Q75" i="19"/>
  <c r="A76" i="19"/>
  <c r="B76" i="19"/>
  <c r="C76" i="19"/>
  <c r="D76" i="19"/>
  <c r="E76" i="19"/>
  <c r="F76" i="19"/>
  <c r="G76" i="19"/>
  <c r="H76" i="19"/>
  <c r="I76" i="19"/>
  <c r="J76" i="19"/>
  <c r="K76" i="19"/>
  <c r="M76" i="19"/>
  <c r="N76" i="19"/>
  <c r="O76" i="19"/>
  <c r="Q76" i="19"/>
  <c r="A77" i="19"/>
  <c r="B77" i="19"/>
  <c r="C77" i="19"/>
  <c r="D77" i="19"/>
  <c r="E77" i="19"/>
  <c r="F77" i="19"/>
  <c r="G77" i="19"/>
  <c r="H77" i="19"/>
  <c r="I77" i="19"/>
  <c r="J77" i="19"/>
  <c r="K77" i="19"/>
  <c r="M77" i="19"/>
  <c r="N77" i="19"/>
  <c r="O77" i="19"/>
  <c r="Q77" i="19"/>
  <c r="A78" i="19"/>
  <c r="B78" i="19"/>
  <c r="C78" i="19"/>
  <c r="D78" i="19"/>
  <c r="E78" i="19"/>
  <c r="F78" i="19"/>
  <c r="G78" i="19"/>
  <c r="H78" i="19"/>
  <c r="I78" i="19"/>
  <c r="J78" i="19"/>
  <c r="K78" i="19"/>
  <c r="M78" i="19"/>
  <c r="N78" i="19"/>
  <c r="O78" i="19"/>
  <c r="Q78" i="19"/>
  <c r="A79" i="19"/>
  <c r="B79" i="19"/>
  <c r="C79" i="19"/>
  <c r="D79" i="19"/>
  <c r="E79" i="19"/>
  <c r="F79" i="19"/>
  <c r="G79" i="19"/>
  <c r="H79" i="19"/>
  <c r="I79" i="19"/>
  <c r="J79" i="19"/>
  <c r="K79" i="19"/>
  <c r="M79" i="19"/>
  <c r="N79" i="19"/>
  <c r="O79" i="19"/>
  <c r="Q79" i="19"/>
  <c r="A80" i="19"/>
  <c r="B80" i="19"/>
  <c r="C80" i="19"/>
  <c r="D80" i="19"/>
  <c r="E80" i="19"/>
  <c r="F80" i="19"/>
  <c r="G80" i="19"/>
  <c r="H80" i="19"/>
  <c r="I80" i="19"/>
  <c r="J80" i="19"/>
  <c r="K80" i="19"/>
  <c r="M80" i="19"/>
  <c r="N80" i="19"/>
  <c r="O80" i="19"/>
  <c r="Q80" i="19"/>
  <c r="A81" i="19"/>
  <c r="B81" i="19"/>
  <c r="C81" i="19"/>
  <c r="D81" i="19"/>
  <c r="E81" i="19"/>
  <c r="F81" i="19"/>
  <c r="G81" i="19"/>
  <c r="H81" i="19"/>
  <c r="I81" i="19"/>
  <c r="J81" i="19"/>
  <c r="K81" i="19"/>
  <c r="M81" i="19"/>
  <c r="N81" i="19"/>
  <c r="O81" i="19"/>
  <c r="Q81" i="19"/>
  <c r="A82" i="19"/>
  <c r="B82" i="19"/>
  <c r="C82" i="19"/>
  <c r="D82" i="19"/>
  <c r="E82" i="19"/>
  <c r="F82" i="19"/>
  <c r="G82" i="19"/>
  <c r="H82" i="19"/>
  <c r="I82" i="19"/>
  <c r="J82" i="19"/>
  <c r="K82" i="19"/>
  <c r="M82" i="19"/>
  <c r="N82" i="19"/>
  <c r="O82" i="19"/>
  <c r="Q82" i="19"/>
  <c r="A83" i="19"/>
  <c r="B83" i="19"/>
  <c r="C83" i="19"/>
  <c r="D83" i="19"/>
  <c r="E83" i="19"/>
  <c r="F83" i="19"/>
  <c r="G83" i="19"/>
  <c r="H83" i="19"/>
  <c r="I83" i="19"/>
  <c r="J83" i="19"/>
  <c r="K83" i="19"/>
  <c r="M83" i="19"/>
  <c r="N83" i="19"/>
  <c r="O83" i="19"/>
  <c r="Q83" i="19"/>
  <c r="A84" i="19"/>
  <c r="B84" i="19"/>
  <c r="C84" i="19"/>
  <c r="D84" i="19"/>
  <c r="E84" i="19"/>
  <c r="F84" i="19"/>
  <c r="G84" i="19"/>
  <c r="H84" i="19"/>
  <c r="I84" i="19"/>
  <c r="J84" i="19"/>
  <c r="K84" i="19"/>
  <c r="M84" i="19"/>
  <c r="N84" i="19"/>
  <c r="O84" i="19"/>
  <c r="Q84" i="19"/>
  <c r="A85" i="19"/>
  <c r="B85" i="19"/>
  <c r="C85" i="19"/>
  <c r="D85" i="19"/>
  <c r="E85" i="19"/>
  <c r="F85" i="19"/>
  <c r="G85" i="19"/>
  <c r="H85" i="19"/>
  <c r="I85" i="19"/>
  <c r="J85" i="19"/>
  <c r="K85" i="19"/>
  <c r="M85" i="19"/>
  <c r="N85" i="19"/>
  <c r="O85" i="19"/>
  <c r="Q85" i="19"/>
  <c r="A86" i="19"/>
  <c r="B86" i="19"/>
  <c r="C86" i="19"/>
  <c r="D86" i="19"/>
  <c r="E86" i="19"/>
  <c r="F86" i="19"/>
  <c r="G86" i="19"/>
  <c r="H86" i="19"/>
  <c r="I86" i="19"/>
  <c r="J86" i="19"/>
  <c r="K86" i="19"/>
  <c r="M86" i="19"/>
  <c r="N86" i="19"/>
  <c r="O86" i="19"/>
  <c r="Q86" i="19"/>
  <c r="A87" i="19"/>
  <c r="B87" i="19"/>
  <c r="C87" i="19"/>
  <c r="D87" i="19"/>
  <c r="E87" i="19"/>
  <c r="F87" i="19"/>
  <c r="G87" i="19"/>
  <c r="H87" i="19"/>
  <c r="I87" i="19"/>
  <c r="J87" i="19"/>
  <c r="K87" i="19"/>
  <c r="M87" i="19"/>
  <c r="N87" i="19"/>
  <c r="O87" i="19"/>
  <c r="Q87" i="19"/>
  <c r="A88" i="19"/>
  <c r="B88" i="19"/>
  <c r="C88" i="19"/>
  <c r="D88" i="19"/>
  <c r="E88" i="19"/>
  <c r="F88" i="19"/>
  <c r="G88" i="19"/>
  <c r="H88" i="19"/>
  <c r="I88" i="19"/>
  <c r="J88" i="19"/>
  <c r="K88" i="19"/>
  <c r="M88" i="19"/>
  <c r="N88" i="19"/>
  <c r="O88" i="19"/>
  <c r="Q88" i="19"/>
  <c r="A89" i="19"/>
  <c r="B89" i="19"/>
  <c r="C89" i="19"/>
  <c r="D89" i="19"/>
  <c r="E89" i="19"/>
  <c r="F89" i="19"/>
  <c r="G89" i="19"/>
  <c r="H89" i="19"/>
  <c r="I89" i="19"/>
  <c r="J89" i="19"/>
  <c r="K89" i="19"/>
  <c r="M89" i="19"/>
  <c r="N89" i="19"/>
  <c r="O89" i="19"/>
  <c r="Q89" i="19"/>
  <c r="A90" i="19"/>
  <c r="B90" i="19"/>
  <c r="C90" i="19"/>
  <c r="D90" i="19"/>
  <c r="E90" i="19"/>
  <c r="F90" i="19"/>
  <c r="G90" i="19"/>
  <c r="H90" i="19"/>
  <c r="I90" i="19"/>
  <c r="J90" i="19"/>
  <c r="K90" i="19"/>
  <c r="M90" i="19"/>
  <c r="N90" i="19"/>
  <c r="O90" i="19"/>
  <c r="Q90" i="19"/>
  <c r="A91" i="19"/>
  <c r="B91" i="19"/>
  <c r="C91" i="19"/>
  <c r="D91" i="19"/>
  <c r="E91" i="19"/>
  <c r="F91" i="19"/>
  <c r="G91" i="19"/>
  <c r="H91" i="19"/>
  <c r="I91" i="19"/>
  <c r="J91" i="19"/>
  <c r="K91" i="19"/>
  <c r="M91" i="19"/>
  <c r="N91" i="19"/>
  <c r="O91" i="19"/>
  <c r="Q91" i="19"/>
  <c r="A92" i="19"/>
  <c r="B92" i="19"/>
  <c r="C92" i="19"/>
  <c r="D92" i="19"/>
  <c r="E92" i="19"/>
  <c r="F92" i="19"/>
  <c r="G92" i="19"/>
  <c r="H92" i="19"/>
  <c r="I92" i="19"/>
  <c r="J92" i="19"/>
  <c r="K92" i="19"/>
  <c r="M92" i="19"/>
  <c r="N92" i="19"/>
  <c r="O92" i="19"/>
  <c r="Q92" i="19"/>
  <c r="A93" i="19"/>
  <c r="B93" i="19"/>
  <c r="C93" i="19"/>
  <c r="D93" i="19"/>
  <c r="E93" i="19"/>
  <c r="F93" i="19"/>
  <c r="G93" i="19"/>
  <c r="H93" i="19"/>
  <c r="I93" i="19"/>
  <c r="J93" i="19"/>
  <c r="K93" i="19"/>
  <c r="M93" i="19"/>
  <c r="N93" i="19"/>
  <c r="O93" i="19"/>
  <c r="Q93" i="19"/>
  <c r="A94" i="19"/>
  <c r="B94" i="19"/>
  <c r="C94" i="19"/>
  <c r="D94" i="19"/>
  <c r="E94" i="19"/>
  <c r="F94" i="19"/>
  <c r="G94" i="19"/>
  <c r="H94" i="19"/>
  <c r="I94" i="19"/>
  <c r="J94" i="19"/>
  <c r="K94" i="19"/>
  <c r="M94" i="19"/>
  <c r="N94" i="19"/>
  <c r="O94" i="19"/>
  <c r="Q94" i="19"/>
  <c r="A95" i="19"/>
  <c r="B95" i="19"/>
  <c r="C95" i="19"/>
  <c r="D95" i="19"/>
  <c r="E95" i="19"/>
  <c r="F95" i="19"/>
  <c r="G95" i="19"/>
  <c r="H95" i="19"/>
  <c r="I95" i="19"/>
  <c r="J95" i="19"/>
  <c r="K95" i="19"/>
  <c r="M95" i="19"/>
  <c r="N95" i="19"/>
  <c r="O95" i="19"/>
  <c r="Q95" i="19"/>
  <c r="A96" i="19"/>
  <c r="B96" i="19"/>
  <c r="C96" i="19"/>
  <c r="D96" i="19"/>
  <c r="E96" i="19"/>
  <c r="F96" i="19"/>
  <c r="G96" i="19"/>
  <c r="H96" i="19"/>
  <c r="I96" i="19"/>
  <c r="J96" i="19"/>
  <c r="K96" i="19"/>
  <c r="M96" i="19"/>
  <c r="N96" i="19"/>
  <c r="O96" i="19"/>
  <c r="Q96" i="19"/>
  <c r="A97" i="19"/>
  <c r="B97" i="19"/>
  <c r="C97" i="19"/>
  <c r="D97" i="19"/>
  <c r="E97" i="19"/>
  <c r="F97" i="19"/>
  <c r="G97" i="19"/>
  <c r="H97" i="19"/>
  <c r="I97" i="19"/>
  <c r="J97" i="19"/>
  <c r="K97" i="19"/>
  <c r="M97" i="19"/>
  <c r="N97" i="19"/>
  <c r="O97" i="19"/>
  <c r="Q97" i="19"/>
  <c r="A98" i="19"/>
  <c r="B98" i="19"/>
  <c r="C98" i="19"/>
  <c r="D98" i="19"/>
  <c r="E98" i="19"/>
  <c r="F98" i="19"/>
  <c r="G98" i="19"/>
  <c r="H98" i="19"/>
  <c r="I98" i="19"/>
  <c r="J98" i="19"/>
  <c r="K98" i="19"/>
  <c r="M98" i="19"/>
  <c r="N98" i="19"/>
  <c r="O98" i="19"/>
  <c r="Q98" i="19"/>
  <c r="A99" i="19"/>
  <c r="B99" i="19"/>
  <c r="C99" i="19"/>
  <c r="D99" i="19"/>
  <c r="E99" i="19"/>
  <c r="F99" i="19"/>
  <c r="G99" i="19"/>
  <c r="H99" i="19"/>
  <c r="I99" i="19"/>
  <c r="J99" i="19"/>
  <c r="K99" i="19"/>
  <c r="M99" i="19"/>
  <c r="N99" i="19"/>
  <c r="O99" i="19"/>
  <c r="Q99" i="19"/>
  <c r="A100" i="19"/>
  <c r="B100" i="19"/>
  <c r="C100" i="19"/>
  <c r="D100" i="19"/>
  <c r="E100" i="19"/>
  <c r="F100" i="19"/>
  <c r="G100" i="19"/>
  <c r="H100" i="19"/>
  <c r="I100" i="19"/>
  <c r="J100" i="19"/>
  <c r="K100" i="19"/>
  <c r="M100" i="19"/>
  <c r="N100" i="19"/>
  <c r="O100" i="19"/>
  <c r="Q100" i="19"/>
  <c r="A101" i="19"/>
  <c r="B101" i="19"/>
  <c r="C101" i="19"/>
  <c r="D101" i="19"/>
  <c r="E101" i="19"/>
  <c r="F101" i="19"/>
  <c r="G101" i="19"/>
  <c r="H101" i="19"/>
  <c r="I101" i="19"/>
  <c r="J101" i="19"/>
  <c r="K101" i="19"/>
  <c r="M101" i="19"/>
  <c r="N101" i="19"/>
  <c r="O101" i="19"/>
  <c r="Q101" i="19"/>
  <c r="A102" i="19"/>
  <c r="B102" i="19"/>
  <c r="C102" i="19"/>
  <c r="D102" i="19"/>
  <c r="E102" i="19"/>
  <c r="F102" i="19"/>
  <c r="G102" i="19"/>
  <c r="H102" i="19"/>
  <c r="I102" i="19"/>
  <c r="J102" i="19"/>
  <c r="K102" i="19"/>
  <c r="M102" i="19"/>
  <c r="N102" i="19"/>
  <c r="O102" i="19"/>
  <c r="Q102" i="19"/>
  <c r="A103" i="19"/>
  <c r="B103" i="19"/>
  <c r="C103" i="19"/>
  <c r="D103" i="19"/>
  <c r="E103" i="19"/>
  <c r="F103" i="19"/>
  <c r="G103" i="19"/>
  <c r="H103" i="19"/>
  <c r="I103" i="19"/>
  <c r="J103" i="19"/>
  <c r="K103" i="19"/>
  <c r="M103" i="19"/>
  <c r="N103" i="19"/>
  <c r="O103" i="19"/>
  <c r="Q103" i="19"/>
  <c r="A104" i="19"/>
  <c r="B104" i="19"/>
  <c r="C104" i="19"/>
  <c r="D104" i="19"/>
  <c r="E104" i="19"/>
  <c r="F104" i="19"/>
  <c r="G104" i="19"/>
  <c r="H104" i="19"/>
  <c r="I104" i="19"/>
  <c r="J104" i="19"/>
  <c r="K104" i="19"/>
  <c r="M104" i="19"/>
  <c r="N104" i="19"/>
  <c r="O104" i="19"/>
  <c r="Q104" i="19"/>
  <c r="A105" i="19"/>
  <c r="B105" i="19"/>
  <c r="C105" i="19"/>
  <c r="D105" i="19"/>
  <c r="E105" i="19"/>
  <c r="F105" i="19"/>
  <c r="G105" i="19"/>
  <c r="H105" i="19"/>
  <c r="I105" i="19"/>
  <c r="J105" i="19"/>
  <c r="K105" i="19"/>
  <c r="M105" i="19"/>
  <c r="N105" i="19"/>
  <c r="O105" i="19"/>
  <c r="Q105" i="19"/>
  <c r="A106" i="19"/>
  <c r="B106" i="19"/>
  <c r="C106" i="19"/>
  <c r="D106" i="19"/>
  <c r="E106" i="19"/>
  <c r="F106" i="19"/>
  <c r="G106" i="19"/>
  <c r="H106" i="19"/>
  <c r="I106" i="19"/>
  <c r="J106" i="19"/>
  <c r="K106" i="19"/>
  <c r="M106" i="19"/>
  <c r="N106" i="19"/>
  <c r="O106" i="19"/>
  <c r="Q106" i="19"/>
  <c r="A107" i="19"/>
  <c r="B107" i="19"/>
  <c r="C107" i="19"/>
  <c r="D107" i="19"/>
  <c r="E107" i="19"/>
  <c r="F107" i="19"/>
  <c r="G107" i="19"/>
  <c r="H107" i="19"/>
  <c r="I107" i="19"/>
  <c r="J107" i="19"/>
  <c r="K107" i="19"/>
  <c r="M107" i="19"/>
  <c r="N107" i="19"/>
  <c r="O107" i="19"/>
  <c r="Q107" i="19"/>
  <c r="A108" i="19"/>
  <c r="B108" i="19"/>
  <c r="C108" i="19"/>
  <c r="D108" i="19"/>
  <c r="E108" i="19"/>
  <c r="F108" i="19"/>
  <c r="G108" i="19"/>
  <c r="H108" i="19"/>
  <c r="I108" i="19"/>
  <c r="J108" i="19"/>
  <c r="K108" i="19"/>
  <c r="M108" i="19"/>
  <c r="N108" i="19"/>
  <c r="O108" i="19"/>
  <c r="Q108" i="19"/>
  <c r="A109" i="19"/>
  <c r="B109" i="19"/>
  <c r="C109" i="19"/>
  <c r="D109" i="19"/>
  <c r="E109" i="19"/>
  <c r="F109" i="19"/>
  <c r="G109" i="19"/>
  <c r="H109" i="19"/>
  <c r="I109" i="19"/>
  <c r="J109" i="19"/>
  <c r="K109" i="19"/>
  <c r="M109" i="19"/>
  <c r="N109" i="19"/>
  <c r="O109" i="19"/>
  <c r="Q109" i="19"/>
  <c r="A110" i="19"/>
  <c r="B110" i="19"/>
  <c r="C110" i="19"/>
  <c r="D110" i="19"/>
  <c r="E110" i="19"/>
  <c r="F110" i="19"/>
  <c r="G110" i="19"/>
  <c r="H110" i="19"/>
  <c r="I110" i="19"/>
  <c r="J110" i="19"/>
  <c r="K110" i="19"/>
  <c r="M110" i="19"/>
  <c r="N110" i="19"/>
  <c r="O110" i="19"/>
  <c r="Q110" i="19"/>
  <c r="A111" i="19"/>
  <c r="B111" i="19"/>
  <c r="C111" i="19"/>
  <c r="D111" i="19"/>
  <c r="E111" i="19"/>
  <c r="F111" i="19"/>
  <c r="G111" i="19"/>
  <c r="H111" i="19"/>
  <c r="I111" i="19"/>
  <c r="J111" i="19"/>
  <c r="K111" i="19"/>
  <c r="M111" i="19"/>
  <c r="N111" i="19"/>
  <c r="O111" i="19"/>
  <c r="Q111" i="19"/>
  <c r="A112" i="19"/>
  <c r="B112" i="19"/>
  <c r="C112" i="19"/>
  <c r="D112" i="19"/>
  <c r="E112" i="19"/>
  <c r="F112" i="19"/>
  <c r="G112" i="19"/>
  <c r="H112" i="19"/>
  <c r="I112" i="19"/>
  <c r="J112" i="19"/>
  <c r="K112" i="19"/>
  <c r="M112" i="19"/>
  <c r="N112" i="19"/>
  <c r="O112" i="19"/>
  <c r="Q112" i="19"/>
  <c r="A113" i="19"/>
  <c r="B113" i="19"/>
  <c r="D113" i="19"/>
  <c r="E113" i="19"/>
  <c r="F113" i="19"/>
  <c r="G113" i="19"/>
  <c r="H113" i="19"/>
  <c r="I113" i="19"/>
  <c r="J113" i="19"/>
  <c r="K113" i="19"/>
  <c r="M113" i="19"/>
  <c r="N113" i="19"/>
  <c r="O113" i="19"/>
  <c r="Q113" i="19"/>
  <c r="A114" i="19"/>
  <c r="B114" i="19"/>
  <c r="C114" i="19"/>
  <c r="D114" i="19"/>
  <c r="E114" i="19"/>
  <c r="F114" i="19"/>
  <c r="G114" i="19"/>
  <c r="H114" i="19"/>
  <c r="I114" i="19"/>
  <c r="J114" i="19"/>
  <c r="K114" i="19"/>
  <c r="M114" i="19"/>
  <c r="N114" i="19"/>
  <c r="O114" i="19"/>
  <c r="Q114" i="19"/>
  <c r="A115" i="19"/>
  <c r="B115" i="19"/>
  <c r="C115" i="19"/>
  <c r="D115" i="19"/>
  <c r="E115" i="19"/>
  <c r="F115" i="19"/>
  <c r="G115" i="19"/>
  <c r="H115" i="19"/>
  <c r="I115" i="19"/>
  <c r="J115" i="19"/>
  <c r="K115" i="19"/>
  <c r="M115" i="19"/>
  <c r="N115" i="19"/>
  <c r="O115" i="19"/>
  <c r="Q115" i="19"/>
  <c r="A116" i="19"/>
  <c r="B116" i="19"/>
  <c r="C116" i="19"/>
  <c r="D116" i="19"/>
  <c r="E116" i="19"/>
  <c r="F116" i="19"/>
  <c r="G116" i="19"/>
  <c r="H116" i="19"/>
  <c r="I116" i="19"/>
  <c r="J116" i="19"/>
  <c r="K116" i="19"/>
  <c r="M116" i="19"/>
  <c r="N116" i="19"/>
  <c r="O116" i="19"/>
  <c r="Q116" i="19"/>
  <c r="A117" i="19"/>
  <c r="B117" i="19"/>
  <c r="C117" i="19"/>
  <c r="D117" i="19"/>
  <c r="E117" i="19"/>
  <c r="F117" i="19"/>
  <c r="G117" i="19"/>
  <c r="H117" i="19"/>
  <c r="I117" i="19"/>
  <c r="J117" i="19"/>
  <c r="K117" i="19"/>
  <c r="M117" i="19"/>
  <c r="N117" i="19"/>
  <c r="O117" i="19"/>
  <c r="Q117" i="19"/>
  <c r="A118" i="19"/>
  <c r="B118" i="19"/>
  <c r="C118" i="19"/>
  <c r="D118" i="19"/>
  <c r="E118" i="19"/>
  <c r="F118" i="19"/>
  <c r="G118" i="19"/>
  <c r="H118" i="19"/>
  <c r="I118" i="19"/>
  <c r="J118" i="19"/>
  <c r="K118" i="19"/>
  <c r="M118" i="19"/>
  <c r="N118" i="19"/>
  <c r="O118" i="19"/>
  <c r="Q118" i="19"/>
  <c r="A119" i="19"/>
  <c r="B119" i="19"/>
  <c r="C119" i="19"/>
  <c r="D119" i="19"/>
  <c r="E119" i="19"/>
  <c r="F119" i="19"/>
  <c r="G119" i="19"/>
  <c r="H119" i="19"/>
  <c r="I119" i="19"/>
  <c r="J119" i="19"/>
  <c r="K119" i="19"/>
  <c r="M119" i="19"/>
  <c r="N119" i="19"/>
  <c r="O119" i="19"/>
  <c r="Q119" i="19"/>
  <c r="A120" i="19"/>
  <c r="B120" i="19"/>
  <c r="C120" i="19"/>
  <c r="E120" i="19"/>
  <c r="F120" i="19"/>
  <c r="G120" i="19"/>
  <c r="H120" i="19"/>
  <c r="I120" i="19"/>
  <c r="J120" i="19"/>
  <c r="K120" i="19"/>
  <c r="M120" i="19"/>
  <c r="N120" i="19"/>
  <c r="O120" i="19"/>
  <c r="Q120" i="19"/>
  <c r="A121" i="19"/>
  <c r="B121" i="19"/>
  <c r="C121" i="19"/>
  <c r="D121" i="19"/>
  <c r="E121" i="19"/>
  <c r="F121" i="19"/>
  <c r="G121" i="19"/>
  <c r="H121" i="19"/>
  <c r="I121" i="19"/>
  <c r="J121" i="19"/>
  <c r="K121" i="19"/>
  <c r="M121" i="19"/>
  <c r="N121" i="19"/>
  <c r="O121" i="19"/>
  <c r="Q121" i="19"/>
  <c r="A122" i="19"/>
  <c r="B122" i="19"/>
  <c r="C122" i="19"/>
  <c r="D122" i="19"/>
  <c r="E122" i="19"/>
  <c r="F122" i="19"/>
  <c r="G122" i="19"/>
  <c r="H122" i="19"/>
  <c r="I122" i="19"/>
  <c r="J122" i="19"/>
  <c r="K122" i="19"/>
  <c r="M122" i="19"/>
  <c r="N122" i="19"/>
  <c r="O122" i="19"/>
  <c r="Q122" i="19"/>
  <c r="A123" i="19"/>
  <c r="B123" i="19"/>
  <c r="C123" i="19"/>
  <c r="D123" i="19"/>
  <c r="E123" i="19"/>
  <c r="F123" i="19"/>
  <c r="G123" i="19"/>
  <c r="H123" i="19"/>
  <c r="I123" i="19"/>
  <c r="J123" i="19"/>
  <c r="K123" i="19"/>
  <c r="M123" i="19"/>
  <c r="N123" i="19"/>
  <c r="O123" i="19"/>
  <c r="Q123" i="19"/>
  <c r="A124" i="19"/>
  <c r="B124" i="19"/>
  <c r="C124" i="19"/>
  <c r="D124" i="19"/>
  <c r="E124" i="19"/>
  <c r="F124" i="19"/>
  <c r="G124" i="19"/>
  <c r="H124" i="19"/>
  <c r="I124" i="19"/>
  <c r="J124" i="19"/>
  <c r="K124" i="19"/>
  <c r="M124" i="19"/>
  <c r="N124" i="19"/>
  <c r="O124" i="19"/>
  <c r="Q124" i="19"/>
  <c r="A125" i="19"/>
  <c r="B125" i="19"/>
  <c r="C125" i="19"/>
  <c r="D125" i="19"/>
  <c r="E125" i="19"/>
  <c r="F125" i="19"/>
  <c r="G125" i="19"/>
  <c r="H125" i="19"/>
  <c r="I125" i="19"/>
  <c r="J125" i="19"/>
  <c r="K125" i="19"/>
  <c r="M125" i="19"/>
  <c r="N125" i="19"/>
  <c r="O125" i="19"/>
  <c r="Q125" i="19"/>
  <c r="A126" i="19"/>
  <c r="B126" i="19"/>
  <c r="C126" i="19"/>
  <c r="D126" i="19"/>
  <c r="E126" i="19"/>
  <c r="F126" i="19"/>
  <c r="G126" i="19"/>
  <c r="H126" i="19"/>
  <c r="I126" i="19"/>
  <c r="J126" i="19"/>
  <c r="K126" i="19"/>
  <c r="M126" i="19"/>
  <c r="N126" i="19"/>
  <c r="O126" i="19"/>
  <c r="Q126" i="19"/>
  <c r="A127" i="19"/>
  <c r="B127" i="19"/>
  <c r="C127" i="19"/>
  <c r="D127" i="19"/>
  <c r="E127" i="19"/>
  <c r="F127" i="19"/>
  <c r="G127" i="19"/>
  <c r="H127" i="19"/>
  <c r="I127" i="19"/>
  <c r="J127" i="19"/>
  <c r="K127" i="19"/>
  <c r="M127" i="19"/>
  <c r="N127" i="19"/>
  <c r="O127" i="19"/>
  <c r="Q127" i="19"/>
  <c r="A128" i="19"/>
  <c r="B128" i="19"/>
  <c r="C128" i="19"/>
  <c r="D128" i="19"/>
  <c r="E128" i="19"/>
  <c r="F128" i="19"/>
  <c r="G128" i="19"/>
  <c r="H128" i="19"/>
  <c r="I128" i="19"/>
  <c r="J128" i="19"/>
  <c r="K128" i="19"/>
  <c r="M128" i="19"/>
  <c r="N128" i="19"/>
  <c r="O128" i="19"/>
  <c r="Q128" i="19"/>
  <c r="A129" i="19"/>
  <c r="B129" i="19"/>
  <c r="C129" i="19"/>
  <c r="D129" i="19"/>
  <c r="E129" i="19"/>
  <c r="F129" i="19"/>
  <c r="G129" i="19"/>
  <c r="H129" i="19"/>
  <c r="I129" i="19"/>
  <c r="J129" i="19"/>
  <c r="K129" i="19"/>
  <c r="M129" i="19"/>
  <c r="N129" i="19"/>
  <c r="O129" i="19"/>
  <c r="Q129" i="19"/>
  <c r="A130" i="19"/>
  <c r="B130" i="19"/>
  <c r="C130" i="19"/>
  <c r="D130" i="19"/>
  <c r="E130" i="19"/>
  <c r="F130" i="19"/>
  <c r="G130" i="19"/>
  <c r="H130" i="19"/>
  <c r="I130" i="19"/>
  <c r="J130" i="19"/>
  <c r="K130" i="19"/>
  <c r="M130" i="19"/>
  <c r="N130" i="19"/>
  <c r="O130" i="19"/>
  <c r="Q130" i="19"/>
  <c r="A131" i="19"/>
  <c r="B131" i="19"/>
  <c r="C131" i="19"/>
  <c r="D131" i="19"/>
  <c r="E131" i="19"/>
  <c r="F131" i="19"/>
  <c r="G131" i="19"/>
  <c r="H131" i="19"/>
  <c r="I131" i="19"/>
  <c r="J131" i="19"/>
  <c r="K131" i="19"/>
  <c r="M131" i="19"/>
  <c r="N131" i="19"/>
  <c r="O131" i="19"/>
  <c r="Q131" i="19"/>
  <c r="A132" i="19"/>
  <c r="B132" i="19"/>
  <c r="C132" i="19"/>
  <c r="D132" i="19"/>
  <c r="E132" i="19"/>
  <c r="F132" i="19"/>
  <c r="G132" i="19"/>
  <c r="H132" i="19"/>
  <c r="I132" i="19"/>
  <c r="J132" i="19"/>
  <c r="K132" i="19"/>
  <c r="M132" i="19"/>
  <c r="N132" i="19"/>
  <c r="O132" i="19"/>
  <c r="Q132" i="19"/>
  <c r="A133" i="19"/>
  <c r="B133" i="19"/>
  <c r="C133" i="19"/>
  <c r="D133" i="19"/>
  <c r="E133" i="19"/>
  <c r="F133" i="19"/>
  <c r="G133" i="19"/>
  <c r="H133" i="19"/>
  <c r="I133" i="19"/>
  <c r="J133" i="19"/>
  <c r="K133" i="19"/>
  <c r="M133" i="19"/>
  <c r="N133" i="19"/>
  <c r="O133" i="19"/>
  <c r="Q133" i="19"/>
  <c r="A134" i="19"/>
  <c r="B134" i="19"/>
  <c r="C134" i="19"/>
  <c r="D134" i="19"/>
  <c r="E134" i="19"/>
  <c r="F134" i="19"/>
  <c r="G134" i="19"/>
  <c r="H134" i="19"/>
  <c r="I134" i="19"/>
  <c r="J134" i="19"/>
  <c r="K134" i="19"/>
  <c r="M134" i="19"/>
  <c r="N134" i="19"/>
  <c r="O134" i="19"/>
  <c r="Q134" i="19"/>
  <c r="A135" i="19"/>
  <c r="B135" i="19"/>
  <c r="C135" i="19"/>
  <c r="D135" i="19"/>
  <c r="E135" i="19"/>
  <c r="F135" i="19"/>
  <c r="G135" i="19"/>
  <c r="H135" i="19"/>
  <c r="I135" i="19"/>
  <c r="J135" i="19"/>
  <c r="K135" i="19"/>
  <c r="M135" i="19"/>
  <c r="N135" i="19"/>
  <c r="O135" i="19"/>
  <c r="Q135" i="19"/>
  <c r="A136" i="19"/>
  <c r="B136" i="19"/>
  <c r="C136" i="19"/>
  <c r="D136" i="19"/>
  <c r="E136" i="19"/>
  <c r="F136" i="19"/>
  <c r="G136" i="19"/>
  <c r="H136" i="19"/>
  <c r="I136" i="19"/>
  <c r="J136" i="19"/>
  <c r="K136" i="19"/>
  <c r="M136" i="19"/>
  <c r="N136" i="19"/>
  <c r="O136" i="19"/>
  <c r="Q136" i="19"/>
  <c r="A137" i="19"/>
  <c r="B137" i="19"/>
  <c r="C137" i="19"/>
  <c r="E137" i="19"/>
  <c r="F137" i="19"/>
  <c r="G137" i="19"/>
  <c r="H137" i="19"/>
  <c r="I137" i="19"/>
  <c r="J137" i="19"/>
  <c r="K137" i="19"/>
  <c r="M137" i="19"/>
  <c r="N137" i="19"/>
  <c r="O137" i="19"/>
  <c r="Q137" i="19"/>
  <c r="A138" i="19"/>
  <c r="B138" i="19"/>
  <c r="C138" i="19"/>
  <c r="D138" i="19"/>
  <c r="E138" i="19"/>
  <c r="F138" i="19"/>
  <c r="G138" i="19"/>
  <c r="H138" i="19"/>
  <c r="I138" i="19"/>
  <c r="J138" i="19"/>
  <c r="K138" i="19"/>
  <c r="M138" i="19"/>
  <c r="N138" i="19"/>
  <c r="O138" i="19"/>
  <c r="Q138" i="19"/>
  <c r="A139" i="19"/>
  <c r="B139" i="19"/>
  <c r="C139" i="19"/>
  <c r="D139" i="19"/>
  <c r="E139" i="19"/>
  <c r="F139" i="19"/>
  <c r="G139" i="19"/>
  <c r="H139" i="19"/>
  <c r="I139" i="19"/>
  <c r="J139" i="19"/>
  <c r="K139" i="19"/>
  <c r="M139" i="19"/>
  <c r="N139" i="19"/>
  <c r="O139" i="19"/>
  <c r="Q139" i="19"/>
  <c r="A140" i="19"/>
  <c r="B140" i="19"/>
  <c r="C140" i="19"/>
  <c r="D140" i="19"/>
  <c r="E140" i="19"/>
  <c r="F140" i="19"/>
  <c r="G140" i="19"/>
  <c r="H140" i="19"/>
  <c r="I140" i="19"/>
  <c r="J140" i="19"/>
  <c r="K140" i="19"/>
  <c r="M140" i="19"/>
  <c r="N140" i="19"/>
  <c r="O140" i="19"/>
  <c r="Q140" i="19"/>
  <c r="A141" i="19"/>
  <c r="B141" i="19"/>
  <c r="C141" i="19"/>
  <c r="D141" i="19"/>
  <c r="E141" i="19"/>
  <c r="F141" i="19"/>
  <c r="G141" i="19"/>
  <c r="H141" i="19"/>
  <c r="I141" i="19"/>
  <c r="J141" i="19"/>
  <c r="K141" i="19"/>
  <c r="M141" i="19"/>
  <c r="N141" i="19"/>
  <c r="O141" i="19"/>
  <c r="Q141" i="19"/>
  <c r="A142" i="19"/>
  <c r="B142" i="19"/>
  <c r="C142" i="19"/>
  <c r="D142" i="19"/>
  <c r="E142" i="19"/>
  <c r="F142" i="19"/>
  <c r="G142" i="19"/>
  <c r="H142" i="19"/>
  <c r="I142" i="19"/>
  <c r="J142" i="19"/>
  <c r="K142" i="19"/>
  <c r="M142" i="19"/>
  <c r="N142" i="19"/>
  <c r="O142" i="19"/>
  <c r="Q142" i="19"/>
  <c r="A143" i="19"/>
  <c r="B143" i="19"/>
  <c r="C143" i="19"/>
  <c r="E143" i="19"/>
  <c r="F143" i="19"/>
  <c r="G143" i="19"/>
  <c r="H143" i="19"/>
  <c r="I143" i="19"/>
  <c r="J143" i="19"/>
  <c r="K143" i="19"/>
  <c r="M143" i="19"/>
  <c r="N143" i="19"/>
  <c r="O143" i="19"/>
  <c r="Q143" i="19"/>
  <c r="A144" i="19"/>
  <c r="B144" i="19"/>
  <c r="C144" i="19"/>
  <c r="D144" i="19"/>
  <c r="E144" i="19"/>
  <c r="F144" i="19"/>
  <c r="G144" i="19"/>
  <c r="H144" i="19"/>
  <c r="I144" i="19"/>
  <c r="J144" i="19"/>
  <c r="K144" i="19"/>
  <c r="M144" i="19"/>
  <c r="N144" i="19"/>
  <c r="O144" i="19"/>
  <c r="Q144" i="19"/>
  <c r="A145" i="19"/>
  <c r="B145" i="19"/>
  <c r="C145" i="19"/>
  <c r="D145" i="19"/>
  <c r="E145" i="19"/>
  <c r="F145" i="19"/>
  <c r="G145" i="19"/>
  <c r="H145" i="19"/>
  <c r="I145" i="19"/>
  <c r="J145" i="19"/>
  <c r="K145" i="19"/>
  <c r="M145" i="19"/>
  <c r="N145" i="19"/>
  <c r="O145" i="19"/>
  <c r="Q145" i="19"/>
  <c r="A146" i="19"/>
  <c r="B146" i="19"/>
  <c r="C146" i="19"/>
  <c r="D146" i="19"/>
  <c r="E146" i="19"/>
  <c r="F146" i="19"/>
  <c r="G146" i="19"/>
  <c r="H146" i="19"/>
  <c r="I146" i="19"/>
  <c r="J146" i="19"/>
  <c r="K146" i="19"/>
  <c r="M146" i="19"/>
  <c r="N146" i="19"/>
  <c r="O146" i="19"/>
  <c r="Q146" i="19"/>
  <c r="A147" i="19"/>
  <c r="B147" i="19"/>
  <c r="C147" i="19"/>
  <c r="D147" i="19"/>
  <c r="E147" i="19"/>
  <c r="F147" i="19"/>
  <c r="G147" i="19"/>
  <c r="H147" i="19"/>
  <c r="I147" i="19"/>
  <c r="J147" i="19"/>
  <c r="K147" i="19"/>
  <c r="M147" i="19"/>
  <c r="N147" i="19"/>
  <c r="O147" i="19"/>
  <c r="Q147" i="19"/>
  <c r="A148" i="19"/>
  <c r="B148" i="19"/>
  <c r="C148" i="19"/>
  <c r="D148" i="19"/>
  <c r="E148" i="19"/>
  <c r="F148" i="19"/>
  <c r="G148" i="19"/>
  <c r="H148" i="19"/>
  <c r="I148" i="19"/>
  <c r="J148" i="19"/>
  <c r="K148" i="19"/>
  <c r="M148" i="19"/>
  <c r="N148" i="19"/>
  <c r="O148" i="19"/>
  <c r="Q148" i="19"/>
  <c r="A149" i="19"/>
  <c r="B149" i="19"/>
  <c r="C149" i="19"/>
  <c r="D149" i="19"/>
  <c r="E149" i="19"/>
  <c r="F149" i="19"/>
  <c r="G149" i="19"/>
  <c r="H149" i="19"/>
  <c r="I149" i="19"/>
  <c r="J149" i="19"/>
  <c r="K149" i="19"/>
  <c r="M149" i="19"/>
  <c r="N149" i="19"/>
  <c r="O149" i="19"/>
  <c r="Q149" i="19"/>
  <c r="A150" i="19"/>
  <c r="B150" i="19"/>
  <c r="C150" i="19"/>
  <c r="D150" i="19"/>
  <c r="E150" i="19"/>
  <c r="F150" i="19"/>
  <c r="G150" i="19"/>
  <c r="H150" i="19"/>
  <c r="I150" i="19"/>
  <c r="J150" i="19"/>
  <c r="K150" i="19"/>
  <c r="M150" i="19"/>
  <c r="N150" i="19"/>
  <c r="O150" i="19"/>
  <c r="Q150" i="19"/>
  <c r="A151" i="19"/>
  <c r="B151" i="19"/>
  <c r="C151" i="19"/>
  <c r="D151" i="19"/>
  <c r="E151" i="19"/>
  <c r="F151" i="19"/>
  <c r="G151" i="19"/>
  <c r="H151" i="19"/>
  <c r="I151" i="19"/>
  <c r="J151" i="19"/>
  <c r="K151" i="19"/>
  <c r="M151" i="19"/>
  <c r="N151" i="19"/>
  <c r="O151" i="19"/>
  <c r="Q151" i="19"/>
  <c r="A152" i="19"/>
  <c r="B152" i="19"/>
  <c r="C152" i="19"/>
  <c r="D152" i="19"/>
  <c r="E152" i="19"/>
  <c r="F152" i="19"/>
  <c r="G152" i="19"/>
  <c r="H152" i="19"/>
  <c r="I152" i="19"/>
  <c r="J152" i="19"/>
  <c r="K152" i="19"/>
  <c r="M152" i="19"/>
  <c r="N152" i="19"/>
  <c r="O152" i="19"/>
  <c r="Q152" i="19"/>
  <c r="A153" i="19"/>
  <c r="B153" i="19"/>
  <c r="C153" i="19"/>
  <c r="D153" i="19"/>
  <c r="E153" i="19"/>
  <c r="F153" i="19"/>
  <c r="G153" i="19"/>
  <c r="H153" i="19"/>
  <c r="I153" i="19"/>
  <c r="J153" i="19"/>
  <c r="K153" i="19"/>
  <c r="M153" i="19"/>
  <c r="N153" i="19"/>
  <c r="O153" i="19"/>
  <c r="Q153" i="19"/>
  <c r="A154" i="19"/>
  <c r="B154" i="19"/>
  <c r="C154" i="19"/>
  <c r="D154" i="19"/>
  <c r="E154" i="19"/>
  <c r="F154" i="19"/>
  <c r="G154" i="19"/>
  <c r="H154" i="19"/>
  <c r="I154" i="19"/>
  <c r="J154" i="19"/>
  <c r="K154" i="19"/>
  <c r="M154" i="19"/>
  <c r="N154" i="19"/>
  <c r="O154" i="19"/>
  <c r="Q154" i="19"/>
  <c r="A155" i="19"/>
  <c r="B155" i="19"/>
  <c r="C155" i="19"/>
  <c r="D155" i="19"/>
  <c r="E155" i="19"/>
  <c r="F155" i="19"/>
  <c r="G155" i="19"/>
  <c r="H155" i="19"/>
  <c r="I155" i="19"/>
  <c r="J155" i="19"/>
  <c r="K155" i="19"/>
  <c r="M155" i="19"/>
  <c r="N155" i="19"/>
  <c r="O155" i="19"/>
  <c r="Q155" i="19"/>
  <c r="A156" i="19"/>
  <c r="B156" i="19"/>
  <c r="C156" i="19"/>
  <c r="D156" i="19"/>
  <c r="E156" i="19"/>
  <c r="F156" i="19"/>
  <c r="G156" i="19"/>
  <c r="H156" i="19"/>
  <c r="I156" i="19"/>
  <c r="J156" i="19"/>
  <c r="K156" i="19"/>
  <c r="M156" i="19"/>
  <c r="N156" i="19"/>
  <c r="O156" i="19"/>
  <c r="Q156" i="19"/>
  <c r="A157" i="19"/>
  <c r="B157" i="19"/>
  <c r="C157" i="19"/>
  <c r="D157" i="19"/>
  <c r="E157" i="19"/>
  <c r="F157" i="19"/>
  <c r="G157" i="19"/>
  <c r="H157" i="19"/>
  <c r="I157" i="19"/>
  <c r="J157" i="19"/>
  <c r="K157" i="19"/>
  <c r="M157" i="19"/>
  <c r="N157" i="19"/>
  <c r="O157" i="19"/>
  <c r="Q157" i="19"/>
  <c r="A158" i="19"/>
  <c r="B158" i="19"/>
  <c r="C158" i="19"/>
  <c r="D158" i="19"/>
  <c r="E158" i="19"/>
  <c r="F158" i="19"/>
  <c r="G158" i="19"/>
  <c r="H158" i="19"/>
  <c r="I158" i="19"/>
  <c r="J158" i="19"/>
  <c r="K158" i="19"/>
  <c r="M158" i="19"/>
  <c r="N158" i="19"/>
  <c r="O158" i="19"/>
  <c r="Q158" i="19"/>
  <c r="A159" i="19"/>
  <c r="B159" i="19"/>
  <c r="C159" i="19"/>
  <c r="D159" i="19"/>
  <c r="E159" i="19"/>
  <c r="F159" i="19"/>
  <c r="G159" i="19"/>
  <c r="H159" i="19"/>
  <c r="I159" i="19"/>
  <c r="J159" i="19"/>
  <c r="K159" i="19"/>
  <c r="M159" i="19"/>
  <c r="N159" i="19"/>
  <c r="O159" i="19"/>
  <c r="Q159" i="19"/>
  <c r="A160" i="19"/>
  <c r="B160" i="19"/>
  <c r="C160" i="19"/>
  <c r="D160" i="19"/>
  <c r="E160" i="19"/>
  <c r="F160" i="19"/>
  <c r="G160" i="19"/>
  <c r="H160" i="19"/>
  <c r="I160" i="19"/>
  <c r="J160" i="19"/>
  <c r="K160" i="19"/>
  <c r="M160" i="19"/>
  <c r="N160" i="19"/>
  <c r="O160" i="19"/>
  <c r="Q160" i="19"/>
  <c r="A161" i="19"/>
  <c r="B161" i="19"/>
  <c r="C161" i="19"/>
  <c r="D161" i="19"/>
  <c r="E161" i="19"/>
  <c r="F161" i="19"/>
  <c r="G161" i="19"/>
  <c r="H161" i="19"/>
  <c r="I161" i="19"/>
  <c r="J161" i="19"/>
  <c r="K161" i="19"/>
  <c r="M161" i="19"/>
  <c r="N161" i="19"/>
  <c r="O161" i="19"/>
  <c r="Q161" i="19"/>
  <c r="A162" i="19"/>
  <c r="B162" i="19"/>
  <c r="C162" i="19"/>
  <c r="D162" i="19"/>
  <c r="E162" i="19"/>
  <c r="F162" i="19"/>
  <c r="G162" i="19"/>
  <c r="H162" i="19"/>
  <c r="I162" i="19"/>
  <c r="J162" i="19"/>
  <c r="K162" i="19"/>
  <c r="M162" i="19"/>
  <c r="N162" i="19"/>
  <c r="O162" i="19"/>
  <c r="Q162" i="19"/>
  <c r="A163" i="19"/>
  <c r="B163" i="19"/>
  <c r="C163" i="19"/>
  <c r="D163" i="19"/>
  <c r="E163" i="19"/>
  <c r="F163" i="19"/>
  <c r="G163" i="19"/>
  <c r="H163" i="19"/>
  <c r="I163" i="19"/>
  <c r="J163" i="19"/>
  <c r="K163" i="19"/>
  <c r="M163" i="19"/>
  <c r="N163" i="19"/>
  <c r="O163" i="19"/>
  <c r="Q163" i="19"/>
  <c r="A164" i="19"/>
  <c r="B164" i="19"/>
  <c r="C164" i="19"/>
  <c r="D164" i="19"/>
  <c r="E164" i="19"/>
  <c r="F164" i="19"/>
  <c r="G164" i="19"/>
  <c r="H164" i="19"/>
  <c r="I164" i="19"/>
  <c r="J164" i="19"/>
  <c r="K164" i="19"/>
  <c r="M164" i="19"/>
  <c r="N164" i="19"/>
  <c r="O164" i="19"/>
  <c r="Q164" i="19"/>
  <c r="A165" i="19"/>
  <c r="B165" i="19"/>
  <c r="C165" i="19"/>
  <c r="D165" i="19"/>
  <c r="E165" i="19"/>
  <c r="F165" i="19"/>
  <c r="G165" i="19"/>
  <c r="H165" i="19"/>
  <c r="I165" i="19"/>
  <c r="J165" i="19"/>
  <c r="K165" i="19"/>
  <c r="M165" i="19"/>
  <c r="N165" i="19"/>
  <c r="O165" i="19"/>
  <c r="Q165" i="19"/>
  <c r="A166" i="19"/>
  <c r="B166" i="19"/>
  <c r="C166" i="19"/>
  <c r="D166" i="19"/>
  <c r="E166" i="19"/>
  <c r="F166" i="19"/>
  <c r="G166" i="19"/>
  <c r="H166" i="19"/>
  <c r="I166" i="19"/>
  <c r="J166" i="19"/>
  <c r="K166" i="19"/>
  <c r="M166" i="19"/>
  <c r="N166" i="19"/>
  <c r="O166" i="19"/>
  <c r="Q166" i="19"/>
  <c r="A167" i="19"/>
  <c r="B167" i="19"/>
  <c r="C167" i="19"/>
  <c r="D167" i="19"/>
  <c r="E167" i="19"/>
  <c r="F167" i="19"/>
  <c r="G167" i="19"/>
  <c r="H167" i="19"/>
  <c r="I167" i="19"/>
  <c r="J167" i="19"/>
  <c r="K167" i="19"/>
  <c r="M167" i="19"/>
  <c r="N167" i="19"/>
  <c r="O167" i="19"/>
  <c r="Q167" i="19"/>
  <c r="A168" i="19"/>
  <c r="B168" i="19"/>
  <c r="C168" i="19"/>
  <c r="D168" i="19"/>
  <c r="E168" i="19"/>
  <c r="F168" i="19"/>
  <c r="G168" i="19"/>
  <c r="H168" i="19"/>
  <c r="I168" i="19"/>
  <c r="J168" i="19"/>
  <c r="K168" i="19"/>
  <c r="M168" i="19"/>
  <c r="N168" i="19"/>
  <c r="O168" i="19"/>
  <c r="Q168" i="19"/>
  <c r="A169" i="19"/>
  <c r="B169" i="19"/>
  <c r="C169" i="19"/>
  <c r="D169" i="19"/>
  <c r="E169" i="19"/>
  <c r="F169" i="19"/>
  <c r="G169" i="19"/>
  <c r="H169" i="19"/>
  <c r="I169" i="19"/>
  <c r="J169" i="19"/>
  <c r="K169" i="19"/>
  <c r="M169" i="19"/>
  <c r="N169" i="19"/>
  <c r="O169" i="19"/>
  <c r="Q169" i="19"/>
  <c r="A170" i="19"/>
  <c r="B170" i="19"/>
  <c r="C170" i="19"/>
  <c r="D170" i="19"/>
  <c r="E170" i="19"/>
  <c r="F170" i="19"/>
  <c r="G170" i="19"/>
  <c r="H170" i="19"/>
  <c r="I170" i="19"/>
  <c r="J170" i="19"/>
  <c r="K170" i="19"/>
  <c r="M170" i="19"/>
  <c r="N170" i="19"/>
  <c r="O170" i="19"/>
  <c r="Q170" i="19"/>
  <c r="A171" i="19"/>
  <c r="B171" i="19"/>
  <c r="C171" i="19"/>
  <c r="D171" i="19"/>
  <c r="E171" i="19"/>
  <c r="F171" i="19"/>
  <c r="G171" i="19"/>
  <c r="H171" i="19"/>
  <c r="I171" i="19"/>
  <c r="J171" i="19"/>
  <c r="K171" i="19"/>
  <c r="M171" i="19"/>
  <c r="N171" i="19"/>
  <c r="O171" i="19"/>
  <c r="Q171" i="19"/>
  <c r="A172" i="19"/>
  <c r="B172" i="19"/>
  <c r="C172" i="19"/>
  <c r="D172" i="19"/>
  <c r="E172" i="19"/>
  <c r="F172" i="19"/>
  <c r="G172" i="19"/>
  <c r="H172" i="19"/>
  <c r="I172" i="19"/>
  <c r="J172" i="19"/>
  <c r="K172" i="19"/>
  <c r="M172" i="19"/>
  <c r="N172" i="19"/>
  <c r="O172" i="19"/>
  <c r="Q172" i="19"/>
  <c r="A173" i="19"/>
  <c r="B173" i="19"/>
  <c r="C173" i="19"/>
  <c r="D173" i="19"/>
  <c r="E173" i="19"/>
  <c r="F173" i="19"/>
  <c r="G173" i="19"/>
  <c r="H173" i="19"/>
  <c r="I173" i="19"/>
  <c r="J173" i="19"/>
  <c r="K173" i="19"/>
  <c r="M173" i="19"/>
  <c r="N173" i="19"/>
  <c r="O173" i="19"/>
  <c r="Q173" i="19"/>
  <c r="A174" i="19"/>
  <c r="B174" i="19"/>
  <c r="C174" i="19"/>
  <c r="D174" i="19"/>
  <c r="E174" i="19"/>
  <c r="F174" i="19"/>
  <c r="G174" i="19"/>
  <c r="H174" i="19"/>
  <c r="I174" i="19"/>
  <c r="J174" i="19"/>
  <c r="K174" i="19"/>
  <c r="M174" i="19"/>
  <c r="N174" i="19"/>
  <c r="O174" i="19"/>
  <c r="Q174" i="19"/>
  <c r="A175" i="19"/>
  <c r="B175" i="19"/>
  <c r="D175" i="19"/>
  <c r="E175" i="19"/>
  <c r="F175" i="19"/>
  <c r="G175" i="19"/>
  <c r="H175" i="19"/>
  <c r="I175" i="19"/>
  <c r="J175" i="19"/>
  <c r="K175" i="19"/>
  <c r="M175" i="19"/>
  <c r="N175" i="19"/>
  <c r="O175" i="19"/>
  <c r="Q175" i="19"/>
  <c r="A176" i="19"/>
  <c r="B176" i="19"/>
  <c r="C176" i="19"/>
  <c r="D176" i="19"/>
  <c r="E176" i="19"/>
  <c r="F176" i="19"/>
  <c r="G176" i="19"/>
  <c r="H176" i="19"/>
  <c r="I176" i="19"/>
  <c r="J176" i="19"/>
  <c r="K176" i="19"/>
  <c r="M176" i="19"/>
  <c r="N176" i="19"/>
  <c r="O176" i="19"/>
  <c r="Q176" i="19"/>
  <c r="A177" i="19"/>
  <c r="B177" i="19"/>
  <c r="C177" i="19"/>
  <c r="D177" i="19"/>
  <c r="E177" i="19"/>
  <c r="F177" i="19"/>
  <c r="G177" i="19"/>
  <c r="H177" i="19"/>
  <c r="I177" i="19"/>
  <c r="J177" i="19"/>
  <c r="K177" i="19"/>
  <c r="M177" i="19"/>
  <c r="N177" i="19"/>
  <c r="O177" i="19"/>
  <c r="Q177" i="19"/>
  <c r="A178" i="19"/>
  <c r="B178" i="19"/>
  <c r="C178" i="19"/>
  <c r="D178" i="19"/>
  <c r="E178" i="19"/>
  <c r="F178" i="19"/>
  <c r="G178" i="19"/>
  <c r="H178" i="19"/>
  <c r="I178" i="19"/>
  <c r="J178" i="19"/>
  <c r="K178" i="19"/>
  <c r="M178" i="19"/>
  <c r="N178" i="19"/>
  <c r="O178" i="19"/>
  <c r="Q178" i="19"/>
  <c r="A179" i="19"/>
  <c r="B179" i="19"/>
  <c r="C179" i="19"/>
  <c r="D179" i="19"/>
  <c r="E179" i="19"/>
  <c r="F179" i="19"/>
  <c r="G179" i="19"/>
  <c r="H179" i="19"/>
  <c r="I179" i="19"/>
  <c r="J179" i="19"/>
  <c r="K179" i="19"/>
  <c r="M179" i="19"/>
  <c r="N179" i="19"/>
  <c r="O179" i="19"/>
  <c r="Q179" i="19"/>
  <c r="A180" i="19"/>
  <c r="B180" i="19"/>
  <c r="C180" i="19"/>
  <c r="D180" i="19"/>
  <c r="E180" i="19"/>
  <c r="F180" i="19"/>
  <c r="G180" i="19"/>
  <c r="H180" i="19"/>
  <c r="I180" i="19"/>
  <c r="J180" i="19"/>
  <c r="K180" i="19"/>
  <c r="M180" i="19"/>
  <c r="N180" i="19"/>
  <c r="O180" i="19"/>
  <c r="Q180" i="19"/>
  <c r="A181" i="19"/>
  <c r="B181" i="19"/>
  <c r="C181" i="19"/>
  <c r="D181" i="19"/>
  <c r="E181" i="19"/>
  <c r="F181" i="19"/>
  <c r="G181" i="19"/>
  <c r="H181" i="19"/>
  <c r="I181" i="19"/>
  <c r="J181" i="19"/>
  <c r="K181" i="19"/>
  <c r="M181" i="19"/>
  <c r="N181" i="19"/>
  <c r="O181" i="19"/>
  <c r="Q181" i="19"/>
  <c r="C180" i="25" s="1"/>
  <c r="A182" i="19"/>
  <c r="B182" i="19"/>
  <c r="C182" i="19"/>
  <c r="D182" i="19"/>
  <c r="E182" i="19"/>
  <c r="F182" i="19"/>
  <c r="G182" i="19"/>
  <c r="H182" i="19"/>
  <c r="I182" i="19"/>
  <c r="J182" i="19"/>
  <c r="K182" i="19"/>
  <c r="M182" i="19"/>
  <c r="N182" i="19"/>
  <c r="O182" i="19"/>
  <c r="Q182" i="19"/>
  <c r="A183" i="19"/>
  <c r="B183" i="19"/>
  <c r="C183" i="19"/>
  <c r="D183" i="19"/>
  <c r="E183" i="19"/>
  <c r="F183" i="19"/>
  <c r="G183" i="19"/>
  <c r="H183" i="19"/>
  <c r="I183" i="19"/>
  <c r="J183" i="19"/>
  <c r="K183" i="19"/>
  <c r="M183" i="19"/>
  <c r="N183" i="19"/>
  <c r="O183" i="19"/>
  <c r="Q183" i="19"/>
  <c r="A184" i="19"/>
  <c r="B184" i="19"/>
  <c r="C184" i="19"/>
  <c r="D184" i="19"/>
  <c r="E184" i="19"/>
  <c r="F184" i="19"/>
  <c r="G184" i="19"/>
  <c r="H184" i="19"/>
  <c r="I184" i="19"/>
  <c r="J184" i="19"/>
  <c r="K184" i="19"/>
  <c r="M184" i="19"/>
  <c r="N184" i="19"/>
  <c r="O184" i="19"/>
  <c r="Q184" i="19"/>
  <c r="A185" i="19"/>
  <c r="B185" i="19"/>
  <c r="C185" i="19"/>
  <c r="D185" i="19"/>
  <c r="E185" i="19"/>
  <c r="F185" i="19"/>
  <c r="G185" i="19"/>
  <c r="H185" i="19"/>
  <c r="I185" i="19"/>
  <c r="J185" i="19"/>
  <c r="K185" i="19"/>
  <c r="M185" i="19"/>
  <c r="N185" i="19"/>
  <c r="O185" i="19"/>
  <c r="Q185" i="19"/>
  <c r="A186" i="19"/>
  <c r="B186" i="19"/>
  <c r="C186" i="19"/>
  <c r="D186" i="19"/>
  <c r="E186" i="19"/>
  <c r="F186" i="19"/>
  <c r="G186" i="19"/>
  <c r="H186" i="19"/>
  <c r="I186" i="19"/>
  <c r="J186" i="19"/>
  <c r="K186" i="19"/>
  <c r="M186" i="19"/>
  <c r="N186" i="19"/>
  <c r="O186" i="19"/>
  <c r="Q186" i="19"/>
  <c r="A187" i="19"/>
  <c r="B187" i="19"/>
  <c r="C187" i="19"/>
  <c r="D187" i="19"/>
  <c r="E187" i="19"/>
  <c r="F187" i="19"/>
  <c r="G187" i="19"/>
  <c r="H187" i="19"/>
  <c r="I187" i="19"/>
  <c r="J187" i="19"/>
  <c r="K187" i="19"/>
  <c r="M187" i="19"/>
  <c r="N187" i="19"/>
  <c r="O187" i="19"/>
  <c r="Q187" i="19"/>
  <c r="A188" i="19"/>
  <c r="B188" i="19"/>
  <c r="C188" i="19"/>
  <c r="D188" i="19"/>
  <c r="E188" i="19"/>
  <c r="F188" i="19"/>
  <c r="G188" i="19"/>
  <c r="H188" i="19"/>
  <c r="I188" i="19"/>
  <c r="J188" i="19"/>
  <c r="K188" i="19"/>
  <c r="M188" i="19"/>
  <c r="N188" i="19"/>
  <c r="O188" i="19"/>
  <c r="Q188" i="19"/>
  <c r="A189" i="19"/>
  <c r="B189" i="19"/>
  <c r="C189" i="19"/>
  <c r="D189" i="19"/>
  <c r="E189" i="19"/>
  <c r="F189" i="19"/>
  <c r="G189" i="19"/>
  <c r="H189" i="19"/>
  <c r="I189" i="19"/>
  <c r="J189" i="19"/>
  <c r="K189" i="19"/>
  <c r="M189" i="19"/>
  <c r="N189" i="19"/>
  <c r="O189" i="19"/>
  <c r="Q189" i="19"/>
  <c r="A190" i="19"/>
  <c r="B190" i="19"/>
  <c r="C190" i="19"/>
  <c r="D190" i="19"/>
  <c r="E190" i="19"/>
  <c r="F190" i="19"/>
  <c r="G190" i="19"/>
  <c r="H190" i="19"/>
  <c r="I190" i="19"/>
  <c r="J190" i="19"/>
  <c r="K190" i="19"/>
  <c r="M190" i="19"/>
  <c r="N190" i="19"/>
  <c r="O190" i="19"/>
  <c r="Q190" i="19"/>
  <c r="A191" i="19"/>
  <c r="B191" i="19"/>
  <c r="C191" i="19"/>
  <c r="D191" i="19"/>
  <c r="E191" i="19"/>
  <c r="F191" i="19"/>
  <c r="G191" i="19"/>
  <c r="H191" i="19"/>
  <c r="I191" i="19"/>
  <c r="J191" i="19"/>
  <c r="K191" i="19"/>
  <c r="M191" i="19"/>
  <c r="N191" i="19"/>
  <c r="O191" i="19"/>
  <c r="Q191" i="19"/>
  <c r="A192" i="19"/>
  <c r="B192" i="19"/>
  <c r="C192" i="19"/>
  <c r="D192" i="19"/>
  <c r="E192" i="19"/>
  <c r="F192" i="19"/>
  <c r="G192" i="19"/>
  <c r="H192" i="19"/>
  <c r="I192" i="19"/>
  <c r="J192" i="19"/>
  <c r="K192" i="19"/>
  <c r="M192" i="19"/>
  <c r="N192" i="19"/>
  <c r="O192" i="19"/>
  <c r="Q192" i="19"/>
  <c r="A193" i="19"/>
  <c r="B193" i="19"/>
  <c r="C193" i="19"/>
  <c r="D193" i="19"/>
  <c r="E193" i="19"/>
  <c r="F193" i="19"/>
  <c r="G193" i="19"/>
  <c r="H193" i="19"/>
  <c r="I193" i="19"/>
  <c r="J193" i="19"/>
  <c r="K193" i="19"/>
  <c r="M193" i="19"/>
  <c r="N193" i="19"/>
  <c r="O193" i="19"/>
  <c r="Q193" i="19"/>
  <c r="A194" i="19"/>
  <c r="B194" i="19"/>
  <c r="C194" i="19"/>
  <c r="D194" i="19"/>
  <c r="E194" i="19"/>
  <c r="F194" i="19"/>
  <c r="G194" i="19"/>
  <c r="H194" i="19"/>
  <c r="I194" i="19"/>
  <c r="J194" i="19"/>
  <c r="K194" i="19"/>
  <c r="M194" i="19"/>
  <c r="N194" i="19"/>
  <c r="O194" i="19"/>
  <c r="Q194" i="19"/>
  <c r="A195" i="19"/>
  <c r="B195" i="19"/>
  <c r="C195" i="19"/>
  <c r="D195" i="19"/>
  <c r="E195" i="19"/>
  <c r="F195" i="19"/>
  <c r="G195" i="19"/>
  <c r="H195" i="19"/>
  <c r="I195" i="19"/>
  <c r="J195" i="19"/>
  <c r="K195" i="19"/>
  <c r="M195" i="19"/>
  <c r="N195" i="19"/>
  <c r="O195" i="19"/>
  <c r="Q195" i="19"/>
  <c r="A196" i="19"/>
  <c r="B196" i="19"/>
  <c r="C196" i="19"/>
  <c r="D196" i="19"/>
  <c r="E196" i="19"/>
  <c r="F196" i="19"/>
  <c r="G196" i="19"/>
  <c r="H196" i="19"/>
  <c r="I196" i="19"/>
  <c r="J196" i="19"/>
  <c r="K196" i="19"/>
  <c r="M196" i="19"/>
  <c r="N196" i="19"/>
  <c r="O196" i="19"/>
  <c r="Q196" i="19"/>
  <c r="A197" i="19"/>
  <c r="B197" i="19"/>
  <c r="C197" i="19"/>
  <c r="D197" i="19"/>
  <c r="E197" i="19"/>
  <c r="F197" i="19"/>
  <c r="G197" i="19"/>
  <c r="H197" i="19"/>
  <c r="I197" i="19"/>
  <c r="J197" i="19"/>
  <c r="K197" i="19"/>
  <c r="M197" i="19"/>
  <c r="N197" i="19"/>
  <c r="O197" i="19"/>
  <c r="Q197" i="19"/>
  <c r="A198" i="19"/>
  <c r="B198" i="19"/>
  <c r="C198" i="19"/>
  <c r="D198" i="19"/>
  <c r="E198" i="19"/>
  <c r="F198" i="19"/>
  <c r="G198" i="19"/>
  <c r="H198" i="19"/>
  <c r="I198" i="19"/>
  <c r="J198" i="19"/>
  <c r="K198" i="19"/>
  <c r="M198" i="19"/>
  <c r="N198" i="19"/>
  <c r="O198" i="19"/>
  <c r="Q198" i="19"/>
  <c r="A199" i="19"/>
  <c r="B199" i="19"/>
  <c r="C199" i="19"/>
  <c r="D199" i="19"/>
  <c r="E199" i="19"/>
  <c r="F199" i="19"/>
  <c r="G199" i="19"/>
  <c r="H199" i="19"/>
  <c r="I199" i="19"/>
  <c r="J199" i="19"/>
  <c r="K199" i="19"/>
  <c r="M199" i="19"/>
  <c r="N199" i="19"/>
  <c r="O199" i="19"/>
  <c r="Q199" i="19"/>
  <c r="A200" i="19"/>
  <c r="B200" i="19"/>
  <c r="C200" i="19"/>
  <c r="D200" i="19"/>
  <c r="E200" i="19"/>
  <c r="F200" i="19"/>
  <c r="G200" i="19"/>
  <c r="H200" i="19"/>
  <c r="I200" i="19"/>
  <c r="J200" i="19"/>
  <c r="K200" i="19"/>
  <c r="M200" i="19"/>
  <c r="N200" i="19"/>
  <c r="O200" i="19"/>
  <c r="Q200" i="19"/>
  <c r="A201" i="19"/>
  <c r="B201" i="19"/>
  <c r="C201" i="19"/>
  <c r="D201" i="19"/>
  <c r="E201" i="19"/>
  <c r="F201" i="19"/>
  <c r="G201" i="19"/>
  <c r="H201" i="19"/>
  <c r="I201" i="19"/>
  <c r="J201" i="19"/>
  <c r="K201" i="19"/>
  <c r="M201" i="19"/>
  <c r="N201" i="19"/>
  <c r="O201" i="19"/>
  <c r="Q201" i="19"/>
  <c r="A202" i="19"/>
  <c r="B202" i="19"/>
  <c r="C202" i="19"/>
  <c r="D202" i="19"/>
  <c r="E202" i="19"/>
  <c r="F202" i="19"/>
  <c r="G202" i="19"/>
  <c r="H202" i="19"/>
  <c r="I202" i="19"/>
  <c r="J202" i="19"/>
  <c r="K202" i="19"/>
  <c r="M202" i="19"/>
  <c r="N202" i="19"/>
  <c r="O202" i="19"/>
  <c r="Q202" i="19"/>
  <c r="A203" i="19"/>
  <c r="B203" i="19"/>
  <c r="C203" i="19"/>
  <c r="D203" i="19"/>
  <c r="E203" i="19"/>
  <c r="F203" i="19"/>
  <c r="G203" i="19"/>
  <c r="H203" i="19"/>
  <c r="I203" i="19"/>
  <c r="J203" i="19"/>
  <c r="K203" i="19"/>
  <c r="M203" i="19"/>
  <c r="N203" i="19"/>
  <c r="O203" i="19"/>
  <c r="Q203" i="19"/>
  <c r="A204" i="19"/>
  <c r="B204" i="19"/>
  <c r="C204" i="19"/>
  <c r="D204" i="19"/>
  <c r="E204" i="19"/>
  <c r="F204" i="19"/>
  <c r="G204" i="19"/>
  <c r="H204" i="19"/>
  <c r="I204" i="19"/>
  <c r="J204" i="19"/>
  <c r="K204" i="19"/>
  <c r="M204" i="19"/>
  <c r="N204" i="19"/>
  <c r="O204" i="19"/>
  <c r="Q204" i="19"/>
  <c r="A205" i="19"/>
  <c r="B205" i="19"/>
  <c r="C205" i="19"/>
  <c r="D205" i="19"/>
  <c r="E205" i="19"/>
  <c r="F205" i="19"/>
  <c r="G205" i="19"/>
  <c r="H205" i="19"/>
  <c r="I205" i="19"/>
  <c r="J205" i="19"/>
  <c r="K205" i="19"/>
  <c r="M205" i="19"/>
  <c r="N205" i="19"/>
  <c r="O205" i="19"/>
  <c r="Q205" i="19"/>
  <c r="A206" i="19"/>
  <c r="B206" i="19"/>
  <c r="C206" i="19"/>
  <c r="D206" i="19"/>
  <c r="E206" i="19"/>
  <c r="F206" i="19"/>
  <c r="G206" i="19"/>
  <c r="H206" i="19"/>
  <c r="I206" i="19"/>
  <c r="J206" i="19"/>
  <c r="K206" i="19"/>
  <c r="M206" i="19"/>
  <c r="N206" i="19"/>
  <c r="O206" i="19"/>
  <c r="Q206" i="19"/>
  <c r="A207" i="19"/>
  <c r="B207" i="19"/>
  <c r="C207" i="19"/>
  <c r="D207" i="19"/>
  <c r="E207" i="19"/>
  <c r="F207" i="19"/>
  <c r="G207" i="19"/>
  <c r="H207" i="19"/>
  <c r="I207" i="19"/>
  <c r="J207" i="19"/>
  <c r="K207" i="19"/>
  <c r="M207" i="19"/>
  <c r="N207" i="19"/>
  <c r="O207" i="19"/>
  <c r="Q207" i="19"/>
  <c r="A208" i="19"/>
  <c r="B208" i="19"/>
  <c r="C208" i="19"/>
  <c r="D208" i="19"/>
  <c r="E208" i="19"/>
  <c r="F208" i="19"/>
  <c r="G208" i="19"/>
  <c r="H208" i="19"/>
  <c r="I208" i="19"/>
  <c r="J208" i="19"/>
  <c r="K208" i="19"/>
  <c r="M208" i="19"/>
  <c r="N208" i="19"/>
  <c r="O208" i="19"/>
  <c r="Q208" i="19"/>
  <c r="A209" i="19"/>
  <c r="B209" i="19"/>
  <c r="C209" i="19"/>
  <c r="D209" i="19"/>
  <c r="E209" i="19"/>
  <c r="F209" i="19"/>
  <c r="G209" i="19"/>
  <c r="H209" i="19"/>
  <c r="I209" i="19"/>
  <c r="J209" i="19"/>
  <c r="K209" i="19"/>
  <c r="M209" i="19"/>
  <c r="N209" i="19"/>
  <c r="O209" i="19"/>
  <c r="Q209" i="19"/>
  <c r="A210" i="19"/>
  <c r="B210" i="19"/>
  <c r="C210" i="19"/>
  <c r="D210" i="19"/>
  <c r="E210" i="19"/>
  <c r="F210" i="19"/>
  <c r="G210" i="19"/>
  <c r="H210" i="19"/>
  <c r="I210" i="19"/>
  <c r="J210" i="19"/>
  <c r="K210" i="19"/>
  <c r="M210" i="19"/>
  <c r="N210" i="19"/>
  <c r="O210" i="19"/>
  <c r="Q210" i="19"/>
  <c r="A211" i="19"/>
  <c r="B211" i="19"/>
  <c r="C211" i="19"/>
  <c r="D211" i="19"/>
  <c r="E211" i="19"/>
  <c r="F211" i="19"/>
  <c r="G211" i="19"/>
  <c r="H211" i="19"/>
  <c r="I211" i="19"/>
  <c r="J211" i="19"/>
  <c r="K211" i="19"/>
  <c r="M211" i="19"/>
  <c r="N211" i="19"/>
  <c r="O211" i="19"/>
  <c r="Q211" i="19"/>
  <c r="A212" i="19"/>
  <c r="B212" i="19"/>
  <c r="C212" i="19"/>
  <c r="D212" i="19"/>
  <c r="E212" i="19"/>
  <c r="F212" i="19"/>
  <c r="G212" i="19"/>
  <c r="H212" i="19"/>
  <c r="I212" i="19"/>
  <c r="J212" i="19"/>
  <c r="K212" i="19"/>
  <c r="M212" i="19"/>
  <c r="N212" i="19"/>
  <c r="O212" i="19"/>
  <c r="Q212" i="19"/>
  <c r="A213" i="19"/>
  <c r="B213" i="19"/>
  <c r="C213" i="19"/>
  <c r="D213" i="19"/>
  <c r="E213" i="19"/>
  <c r="F213" i="19"/>
  <c r="G213" i="19"/>
  <c r="H213" i="19"/>
  <c r="I213" i="19"/>
  <c r="J213" i="19"/>
  <c r="K213" i="19"/>
  <c r="M213" i="19"/>
  <c r="N213" i="19"/>
  <c r="O213" i="19"/>
  <c r="Q213" i="19"/>
  <c r="A214" i="19"/>
  <c r="B214" i="19"/>
  <c r="C214" i="19"/>
  <c r="D214" i="19"/>
  <c r="E214" i="19"/>
  <c r="F214" i="19"/>
  <c r="G214" i="19"/>
  <c r="H214" i="19"/>
  <c r="I214" i="19"/>
  <c r="J214" i="19"/>
  <c r="K214" i="19"/>
  <c r="M214" i="19"/>
  <c r="N214" i="19"/>
  <c r="O214" i="19"/>
  <c r="Q214" i="19"/>
  <c r="A215" i="19"/>
  <c r="B215" i="19"/>
  <c r="C215" i="19"/>
  <c r="D215" i="19"/>
  <c r="E215" i="19"/>
  <c r="F215" i="19"/>
  <c r="G215" i="19"/>
  <c r="H215" i="19"/>
  <c r="I215" i="19"/>
  <c r="J215" i="19"/>
  <c r="K215" i="19"/>
  <c r="M215" i="19"/>
  <c r="N215" i="19"/>
  <c r="O215" i="19"/>
  <c r="Q215" i="19"/>
  <c r="A216" i="19"/>
  <c r="B216" i="19"/>
  <c r="C216" i="19"/>
  <c r="D216" i="19"/>
  <c r="E216" i="19"/>
  <c r="F216" i="19"/>
  <c r="G216" i="19"/>
  <c r="H216" i="19"/>
  <c r="I216" i="19"/>
  <c r="J216" i="19"/>
  <c r="K216" i="19"/>
  <c r="M216" i="19"/>
  <c r="N216" i="19"/>
  <c r="O216" i="19"/>
  <c r="Q216" i="19"/>
  <c r="A217" i="19"/>
  <c r="B217" i="19"/>
  <c r="C217" i="19"/>
  <c r="D217" i="19"/>
  <c r="E217" i="19"/>
  <c r="F217" i="19"/>
  <c r="G217" i="19"/>
  <c r="H217" i="19"/>
  <c r="I217" i="19"/>
  <c r="J217" i="19"/>
  <c r="K217" i="19"/>
  <c r="M217" i="19"/>
  <c r="N217" i="19"/>
  <c r="O217" i="19"/>
  <c r="Q217" i="19"/>
  <c r="A218" i="19"/>
  <c r="B218" i="19"/>
  <c r="C218" i="19"/>
  <c r="D218" i="19"/>
  <c r="E218" i="19"/>
  <c r="F218" i="19"/>
  <c r="G218" i="19"/>
  <c r="H218" i="19"/>
  <c r="I218" i="19"/>
  <c r="J218" i="19"/>
  <c r="K218" i="19"/>
  <c r="M218" i="19"/>
  <c r="N218" i="19"/>
  <c r="O218" i="19"/>
  <c r="Q218" i="19"/>
  <c r="A219" i="19"/>
  <c r="B219" i="19"/>
  <c r="C219" i="19"/>
  <c r="D219" i="19"/>
  <c r="E219" i="19"/>
  <c r="F219" i="19"/>
  <c r="G219" i="19"/>
  <c r="H219" i="19"/>
  <c r="I219" i="19"/>
  <c r="J219" i="19"/>
  <c r="K219" i="19"/>
  <c r="M219" i="19"/>
  <c r="N219" i="19"/>
  <c r="O219" i="19"/>
  <c r="Q219" i="19"/>
  <c r="A220" i="19"/>
  <c r="B220" i="19"/>
  <c r="C220" i="19"/>
  <c r="D220" i="19"/>
  <c r="E220" i="19"/>
  <c r="F220" i="19"/>
  <c r="G220" i="19"/>
  <c r="H220" i="19"/>
  <c r="I220" i="19"/>
  <c r="J220" i="19"/>
  <c r="K220" i="19"/>
  <c r="M220" i="19"/>
  <c r="N220" i="19"/>
  <c r="O220" i="19"/>
  <c r="Q220" i="19"/>
  <c r="A221" i="19"/>
  <c r="B221" i="19"/>
  <c r="C221" i="19"/>
  <c r="D221" i="19"/>
  <c r="E221" i="19"/>
  <c r="F221" i="19"/>
  <c r="G221" i="19"/>
  <c r="H221" i="19"/>
  <c r="I221" i="19"/>
  <c r="J221" i="19"/>
  <c r="K221" i="19"/>
  <c r="M221" i="19"/>
  <c r="N221" i="19"/>
  <c r="O221" i="19"/>
  <c r="Q221" i="19"/>
  <c r="A222" i="19"/>
  <c r="B222" i="19"/>
  <c r="C222" i="19"/>
  <c r="D222" i="19"/>
  <c r="E222" i="19"/>
  <c r="F222" i="19"/>
  <c r="G222" i="19"/>
  <c r="H222" i="19"/>
  <c r="I222" i="19"/>
  <c r="J222" i="19"/>
  <c r="K222" i="19"/>
  <c r="M222" i="19"/>
  <c r="N222" i="19"/>
  <c r="O222" i="19"/>
  <c r="Q222" i="19"/>
  <c r="A223" i="19"/>
  <c r="B223" i="19"/>
  <c r="C223" i="19"/>
  <c r="D223" i="19"/>
  <c r="E223" i="19"/>
  <c r="F223" i="19"/>
  <c r="G223" i="19"/>
  <c r="H223" i="19"/>
  <c r="I223" i="19"/>
  <c r="J223" i="19"/>
  <c r="K223" i="19"/>
  <c r="M223" i="19"/>
  <c r="N223" i="19"/>
  <c r="O223" i="19"/>
  <c r="Q223" i="19"/>
  <c r="A224" i="19"/>
  <c r="B224" i="19"/>
  <c r="C224" i="19"/>
  <c r="D224" i="19"/>
  <c r="E224" i="19"/>
  <c r="F224" i="19"/>
  <c r="G224" i="19"/>
  <c r="H224" i="19"/>
  <c r="I224" i="19"/>
  <c r="J224" i="19"/>
  <c r="K224" i="19"/>
  <c r="M224" i="19"/>
  <c r="N224" i="19"/>
  <c r="O224" i="19"/>
  <c r="Q224" i="19"/>
  <c r="A225" i="19"/>
  <c r="B225" i="19"/>
  <c r="C225" i="19"/>
  <c r="D225" i="19"/>
  <c r="E225" i="19"/>
  <c r="F225" i="19"/>
  <c r="G225" i="19"/>
  <c r="H225" i="19"/>
  <c r="I225" i="19"/>
  <c r="J225" i="19"/>
  <c r="K225" i="19"/>
  <c r="M225" i="19"/>
  <c r="N225" i="19"/>
  <c r="O225" i="19"/>
  <c r="Q225" i="19"/>
  <c r="A226" i="19"/>
  <c r="B226" i="19"/>
  <c r="C226" i="19"/>
  <c r="D226" i="19"/>
  <c r="E226" i="19"/>
  <c r="F226" i="19"/>
  <c r="G226" i="19"/>
  <c r="H226" i="19"/>
  <c r="I226" i="19"/>
  <c r="J226" i="19"/>
  <c r="K226" i="19"/>
  <c r="M226" i="19"/>
  <c r="N226" i="19"/>
  <c r="O226" i="19"/>
  <c r="Q226" i="19"/>
  <c r="A227" i="19"/>
  <c r="B227" i="19"/>
  <c r="C227" i="19"/>
  <c r="D227" i="19"/>
  <c r="E227" i="19"/>
  <c r="F227" i="19"/>
  <c r="G227" i="19"/>
  <c r="H227" i="19"/>
  <c r="I227" i="19"/>
  <c r="J227" i="19"/>
  <c r="K227" i="19"/>
  <c r="M227" i="19"/>
  <c r="N227" i="19"/>
  <c r="O227" i="19"/>
  <c r="Q227" i="19"/>
  <c r="A228" i="19"/>
  <c r="B228" i="19"/>
  <c r="D228" i="19"/>
  <c r="E228" i="19"/>
  <c r="F228" i="19"/>
  <c r="G228" i="19"/>
  <c r="H228" i="19"/>
  <c r="I228" i="19"/>
  <c r="J228" i="19"/>
  <c r="K228" i="19"/>
  <c r="M228" i="19"/>
  <c r="N228" i="19"/>
  <c r="O228" i="19"/>
  <c r="Q228" i="19"/>
  <c r="A229" i="19"/>
  <c r="B229" i="19"/>
  <c r="C229" i="19"/>
  <c r="D229" i="19"/>
  <c r="E229" i="19"/>
  <c r="F229" i="19"/>
  <c r="G229" i="19"/>
  <c r="H229" i="19"/>
  <c r="I229" i="19"/>
  <c r="J229" i="19"/>
  <c r="K229" i="19"/>
  <c r="M229" i="19"/>
  <c r="N229" i="19"/>
  <c r="O229" i="19"/>
  <c r="Q229" i="19"/>
  <c r="A230" i="19"/>
  <c r="B230" i="19"/>
  <c r="C230" i="19"/>
  <c r="D230" i="19"/>
  <c r="E230" i="19"/>
  <c r="F230" i="19"/>
  <c r="G230" i="19"/>
  <c r="H230" i="19"/>
  <c r="I230" i="19"/>
  <c r="J230" i="19"/>
  <c r="K230" i="19"/>
  <c r="M230" i="19"/>
  <c r="N230" i="19"/>
  <c r="O230" i="19"/>
  <c r="Q230" i="19"/>
  <c r="A231" i="19"/>
  <c r="B231" i="19"/>
  <c r="C231" i="19"/>
  <c r="D231" i="19"/>
  <c r="E231" i="19"/>
  <c r="F231" i="19"/>
  <c r="G231" i="19"/>
  <c r="H231" i="19"/>
  <c r="I231" i="19"/>
  <c r="J231" i="19"/>
  <c r="K231" i="19"/>
  <c r="M231" i="19"/>
  <c r="N231" i="19"/>
  <c r="O231" i="19"/>
  <c r="Q231" i="19"/>
  <c r="A232" i="19"/>
  <c r="B232" i="19"/>
  <c r="C232" i="19"/>
  <c r="D232" i="19"/>
  <c r="E232" i="19"/>
  <c r="F232" i="19"/>
  <c r="G232" i="19"/>
  <c r="H232" i="19"/>
  <c r="I232" i="19"/>
  <c r="J232" i="19"/>
  <c r="K232" i="19"/>
  <c r="M232" i="19"/>
  <c r="N232" i="19"/>
  <c r="O232" i="19"/>
  <c r="Q232" i="19"/>
  <c r="A233" i="19"/>
  <c r="B233" i="19"/>
  <c r="C233" i="19"/>
  <c r="D233" i="19"/>
  <c r="E233" i="19"/>
  <c r="F233" i="19"/>
  <c r="G233" i="19"/>
  <c r="H233" i="19"/>
  <c r="I233" i="19"/>
  <c r="J233" i="19"/>
  <c r="K233" i="19"/>
  <c r="M233" i="19"/>
  <c r="N233" i="19"/>
  <c r="O233" i="19"/>
  <c r="Q233" i="19"/>
  <c r="A234" i="19"/>
  <c r="B234" i="19"/>
  <c r="C234" i="19"/>
  <c r="D234" i="19"/>
  <c r="E234" i="19"/>
  <c r="F234" i="19"/>
  <c r="G234" i="19"/>
  <c r="H234" i="19"/>
  <c r="I234" i="19"/>
  <c r="J234" i="19"/>
  <c r="K234" i="19"/>
  <c r="M234" i="19"/>
  <c r="N234" i="19"/>
  <c r="O234" i="19"/>
  <c r="Q234" i="19"/>
  <c r="A235" i="19"/>
  <c r="B235" i="19"/>
  <c r="C235" i="19"/>
  <c r="D235" i="19"/>
  <c r="E235" i="19"/>
  <c r="F235" i="19"/>
  <c r="G235" i="19"/>
  <c r="H235" i="19"/>
  <c r="I235" i="19"/>
  <c r="J235" i="19"/>
  <c r="K235" i="19"/>
  <c r="M235" i="19"/>
  <c r="N235" i="19"/>
  <c r="O235" i="19"/>
  <c r="Q235" i="19"/>
  <c r="A236" i="19"/>
  <c r="B236" i="19"/>
  <c r="C236" i="19"/>
  <c r="D236" i="19"/>
  <c r="E236" i="19"/>
  <c r="F236" i="19"/>
  <c r="G236" i="19"/>
  <c r="H236" i="19"/>
  <c r="I236" i="19"/>
  <c r="J236" i="19"/>
  <c r="K236" i="19"/>
  <c r="M236" i="19"/>
  <c r="N236" i="19"/>
  <c r="O236" i="19"/>
  <c r="Q236" i="19"/>
  <c r="A237" i="19"/>
  <c r="B237" i="19"/>
  <c r="C237" i="19"/>
  <c r="D237" i="19"/>
  <c r="E237" i="19"/>
  <c r="F237" i="19"/>
  <c r="G237" i="19"/>
  <c r="H237" i="19"/>
  <c r="I237" i="19"/>
  <c r="J237" i="19"/>
  <c r="K237" i="19"/>
  <c r="M237" i="19"/>
  <c r="N237" i="19"/>
  <c r="O237" i="19"/>
  <c r="Q237" i="19"/>
  <c r="A238" i="19"/>
  <c r="B238" i="19"/>
  <c r="C238" i="19"/>
  <c r="D238" i="19"/>
  <c r="E238" i="19"/>
  <c r="F238" i="19"/>
  <c r="G238" i="19"/>
  <c r="H238" i="19"/>
  <c r="I238" i="19"/>
  <c r="J238" i="19"/>
  <c r="K238" i="19"/>
  <c r="M238" i="19"/>
  <c r="N238" i="19"/>
  <c r="O238" i="19"/>
  <c r="Q238" i="19"/>
  <c r="A239" i="19"/>
  <c r="B239" i="19"/>
  <c r="C239" i="19"/>
  <c r="D239" i="19"/>
  <c r="E239" i="19"/>
  <c r="F239" i="19"/>
  <c r="G239" i="19"/>
  <c r="H239" i="19"/>
  <c r="I239" i="19"/>
  <c r="J239" i="19"/>
  <c r="K239" i="19"/>
  <c r="M239" i="19"/>
  <c r="N239" i="19"/>
  <c r="O239" i="19"/>
  <c r="Q239" i="19"/>
  <c r="A240" i="19"/>
  <c r="B240" i="19"/>
  <c r="C240" i="19"/>
  <c r="D240" i="19"/>
  <c r="E240" i="19"/>
  <c r="F240" i="19"/>
  <c r="G240" i="19"/>
  <c r="H240" i="19"/>
  <c r="I240" i="19"/>
  <c r="J240" i="19"/>
  <c r="K240" i="19"/>
  <c r="M240" i="19"/>
  <c r="N240" i="19"/>
  <c r="O240" i="19"/>
  <c r="Q240" i="19"/>
  <c r="A241" i="19"/>
  <c r="B241" i="19"/>
  <c r="C241" i="19"/>
  <c r="D241" i="19"/>
  <c r="E241" i="19"/>
  <c r="F241" i="19"/>
  <c r="G241" i="19"/>
  <c r="H241" i="19"/>
  <c r="I241" i="19"/>
  <c r="J241" i="19"/>
  <c r="K241" i="19"/>
  <c r="M241" i="19"/>
  <c r="N241" i="19"/>
  <c r="O241" i="19"/>
  <c r="Q241" i="19"/>
  <c r="A242" i="19"/>
  <c r="B242" i="19"/>
  <c r="C242" i="19"/>
  <c r="D242" i="19"/>
  <c r="E242" i="19"/>
  <c r="F242" i="19"/>
  <c r="G242" i="19"/>
  <c r="H242" i="19"/>
  <c r="I242" i="19"/>
  <c r="J242" i="19"/>
  <c r="K242" i="19"/>
  <c r="M242" i="19"/>
  <c r="N242" i="19"/>
  <c r="O242" i="19"/>
  <c r="Q242" i="19"/>
  <c r="A243" i="19"/>
  <c r="B243" i="19"/>
  <c r="C243" i="19"/>
  <c r="D243" i="19"/>
  <c r="E243" i="19"/>
  <c r="F243" i="19"/>
  <c r="G243" i="19"/>
  <c r="H243" i="19"/>
  <c r="I243" i="19"/>
  <c r="J243" i="19"/>
  <c r="K243" i="19"/>
  <c r="M243" i="19"/>
  <c r="N243" i="19"/>
  <c r="O243" i="19"/>
  <c r="Q243" i="19"/>
  <c r="A244" i="19"/>
  <c r="B244" i="19"/>
  <c r="C244" i="19"/>
  <c r="D244" i="19"/>
  <c r="E244" i="19"/>
  <c r="F244" i="19"/>
  <c r="G244" i="19"/>
  <c r="H244" i="19"/>
  <c r="I244" i="19"/>
  <c r="J244" i="19"/>
  <c r="K244" i="19"/>
  <c r="M244" i="19"/>
  <c r="N244" i="19"/>
  <c r="O244" i="19"/>
  <c r="Q244" i="19"/>
  <c r="A245" i="19"/>
  <c r="B245" i="19"/>
  <c r="C245" i="19"/>
  <c r="D245" i="19"/>
  <c r="E245" i="19"/>
  <c r="F245" i="19"/>
  <c r="G245" i="19"/>
  <c r="H245" i="19"/>
  <c r="I245" i="19"/>
  <c r="J245" i="19"/>
  <c r="K245" i="19"/>
  <c r="M245" i="19"/>
  <c r="N245" i="19"/>
  <c r="O245" i="19"/>
  <c r="Q245" i="19"/>
  <c r="A246" i="19"/>
  <c r="B246" i="19"/>
  <c r="C246" i="19"/>
  <c r="D246" i="19"/>
  <c r="E246" i="19"/>
  <c r="F246" i="19"/>
  <c r="G246" i="19"/>
  <c r="H246" i="19"/>
  <c r="I246" i="19"/>
  <c r="J246" i="19"/>
  <c r="K246" i="19"/>
  <c r="M246" i="19"/>
  <c r="N246" i="19"/>
  <c r="O246" i="19"/>
  <c r="Q246" i="19"/>
  <c r="A247" i="19"/>
  <c r="B247" i="19"/>
  <c r="C247" i="19"/>
  <c r="D247" i="19"/>
  <c r="E247" i="19"/>
  <c r="F247" i="19"/>
  <c r="G247" i="19"/>
  <c r="H247" i="19"/>
  <c r="I247" i="19"/>
  <c r="J247" i="19"/>
  <c r="K247" i="19"/>
  <c r="M247" i="19"/>
  <c r="N247" i="19"/>
  <c r="O247" i="19"/>
  <c r="Q247" i="19"/>
  <c r="A248" i="19"/>
  <c r="B248" i="19"/>
  <c r="C248" i="19"/>
  <c r="D248" i="19"/>
  <c r="E248" i="19"/>
  <c r="F248" i="19"/>
  <c r="G248" i="19"/>
  <c r="H248" i="19"/>
  <c r="I248" i="19"/>
  <c r="J248" i="19"/>
  <c r="K248" i="19"/>
  <c r="M248" i="19"/>
  <c r="N248" i="19"/>
  <c r="O248" i="19"/>
  <c r="Q248" i="19"/>
  <c r="A249" i="19"/>
  <c r="B249" i="19"/>
  <c r="C249" i="19"/>
  <c r="D249" i="19"/>
  <c r="E249" i="19"/>
  <c r="F249" i="19"/>
  <c r="G249" i="19"/>
  <c r="H249" i="19"/>
  <c r="I249" i="19"/>
  <c r="J249" i="19"/>
  <c r="K249" i="19"/>
  <c r="M249" i="19"/>
  <c r="N249" i="19"/>
  <c r="O249" i="19"/>
  <c r="Q249" i="19"/>
  <c r="A250" i="19"/>
  <c r="B250" i="19"/>
  <c r="C250" i="19"/>
  <c r="D250" i="19"/>
  <c r="E250" i="19"/>
  <c r="F250" i="19"/>
  <c r="G250" i="19"/>
  <c r="H250" i="19"/>
  <c r="I250" i="19"/>
  <c r="J250" i="19"/>
  <c r="K250" i="19"/>
  <c r="M250" i="19"/>
  <c r="N250" i="19"/>
  <c r="O250" i="19"/>
  <c r="Q250" i="19"/>
  <c r="A251" i="19"/>
  <c r="B251" i="19"/>
  <c r="C251" i="19"/>
  <c r="D251" i="19"/>
  <c r="E251" i="19"/>
  <c r="F251" i="19"/>
  <c r="G251" i="19"/>
  <c r="H251" i="19"/>
  <c r="I251" i="19"/>
  <c r="J251" i="19"/>
  <c r="K251" i="19"/>
  <c r="M251" i="19"/>
  <c r="N251" i="19"/>
  <c r="O251" i="19"/>
  <c r="Q251" i="19"/>
  <c r="A252" i="19"/>
  <c r="B252" i="19"/>
  <c r="C252" i="19"/>
  <c r="D252" i="19"/>
  <c r="E252" i="19"/>
  <c r="F252" i="19"/>
  <c r="G252" i="19"/>
  <c r="H252" i="19"/>
  <c r="I252" i="19"/>
  <c r="J252" i="19"/>
  <c r="K252" i="19"/>
  <c r="M252" i="19"/>
  <c r="N252" i="19"/>
  <c r="O252" i="19"/>
  <c r="Q252" i="19"/>
  <c r="A253" i="19"/>
  <c r="B253" i="19"/>
  <c r="C253" i="19"/>
  <c r="D253" i="19"/>
  <c r="E253" i="19"/>
  <c r="F253" i="19"/>
  <c r="G253" i="19"/>
  <c r="H253" i="19"/>
  <c r="I253" i="19"/>
  <c r="J253" i="19"/>
  <c r="K253" i="19"/>
  <c r="M253" i="19"/>
  <c r="N253" i="19"/>
  <c r="O253" i="19"/>
  <c r="Q253" i="19"/>
  <c r="A254" i="19"/>
  <c r="B254" i="19"/>
  <c r="C254" i="19"/>
  <c r="D254" i="19"/>
  <c r="E254" i="19"/>
  <c r="F254" i="19"/>
  <c r="G254" i="19"/>
  <c r="H254" i="19"/>
  <c r="I254" i="19"/>
  <c r="J254" i="19"/>
  <c r="K254" i="19"/>
  <c r="M254" i="19"/>
  <c r="N254" i="19"/>
  <c r="O254" i="19"/>
  <c r="Q254" i="19"/>
  <c r="A255" i="19"/>
  <c r="B255" i="19"/>
  <c r="C255" i="19"/>
  <c r="D255" i="19"/>
  <c r="E255" i="19"/>
  <c r="F255" i="19"/>
  <c r="G255" i="19"/>
  <c r="H255" i="19"/>
  <c r="I255" i="19"/>
  <c r="J255" i="19"/>
  <c r="K255" i="19"/>
  <c r="M255" i="19"/>
  <c r="N255" i="19"/>
  <c r="O255" i="19"/>
  <c r="Q255" i="19"/>
  <c r="A256" i="19"/>
  <c r="B256" i="19"/>
  <c r="C256" i="19"/>
  <c r="D256" i="19"/>
  <c r="E256" i="19"/>
  <c r="F256" i="19"/>
  <c r="G256" i="19"/>
  <c r="H256" i="19"/>
  <c r="I256" i="19"/>
  <c r="J256" i="19"/>
  <c r="K256" i="19"/>
  <c r="M256" i="19"/>
  <c r="N256" i="19"/>
  <c r="O256" i="19"/>
  <c r="Q256" i="19"/>
  <c r="A257" i="19"/>
  <c r="B257" i="19"/>
  <c r="C257" i="19"/>
  <c r="D257" i="19"/>
  <c r="E257" i="19"/>
  <c r="F257" i="19"/>
  <c r="G257" i="19"/>
  <c r="H257" i="19"/>
  <c r="I257" i="19"/>
  <c r="J257" i="19"/>
  <c r="K257" i="19"/>
  <c r="M257" i="19"/>
  <c r="N257" i="19"/>
  <c r="O257" i="19"/>
  <c r="Q257" i="19"/>
  <c r="A258" i="19"/>
  <c r="B258" i="19"/>
  <c r="C258" i="19"/>
  <c r="D258" i="19"/>
  <c r="E258" i="19"/>
  <c r="F258" i="19"/>
  <c r="G258" i="19"/>
  <c r="H258" i="19"/>
  <c r="I258" i="19"/>
  <c r="J258" i="19"/>
  <c r="K258" i="19"/>
  <c r="M258" i="19"/>
  <c r="N258" i="19"/>
  <c r="O258" i="19"/>
  <c r="Q258" i="19"/>
  <c r="A259" i="19"/>
  <c r="B259" i="19"/>
  <c r="C259" i="19"/>
  <c r="D259" i="19"/>
  <c r="E259" i="19"/>
  <c r="F259" i="19"/>
  <c r="G259" i="19"/>
  <c r="H259" i="19"/>
  <c r="I259" i="19"/>
  <c r="J259" i="19"/>
  <c r="K259" i="19"/>
  <c r="M259" i="19"/>
  <c r="N259" i="19"/>
  <c r="O259" i="19"/>
  <c r="Q259" i="19"/>
  <c r="A260" i="19"/>
  <c r="B260" i="19"/>
  <c r="C260" i="19"/>
  <c r="D260" i="19"/>
  <c r="E260" i="19"/>
  <c r="F260" i="19"/>
  <c r="G260" i="19"/>
  <c r="H260" i="19"/>
  <c r="I260" i="19"/>
  <c r="J260" i="19"/>
  <c r="K260" i="19"/>
  <c r="M260" i="19"/>
  <c r="N260" i="19"/>
  <c r="O260" i="19"/>
  <c r="Q260" i="19"/>
  <c r="A261" i="19"/>
  <c r="B261" i="19"/>
  <c r="C261" i="19"/>
  <c r="E261" i="19"/>
  <c r="F261" i="19"/>
  <c r="G261" i="19"/>
  <c r="H261" i="19"/>
  <c r="I261" i="19"/>
  <c r="J261" i="19"/>
  <c r="K261" i="19"/>
  <c r="M261" i="19"/>
  <c r="N261" i="19"/>
  <c r="O261" i="19"/>
  <c r="Q261" i="19"/>
  <c r="A262" i="19"/>
  <c r="B262" i="19"/>
  <c r="C262" i="19"/>
  <c r="D262" i="19"/>
  <c r="E262" i="19"/>
  <c r="F262" i="19"/>
  <c r="G262" i="19"/>
  <c r="H262" i="19"/>
  <c r="I262" i="19"/>
  <c r="J262" i="19"/>
  <c r="K262" i="19"/>
  <c r="M262" i="19"/>
  <c r="N262" i="19"/>
  <c r="O262" i="19"/>
  <c r="Q262" i="19"/>
  <c r="A263" i="19"/>
  <c r="B263" i="19"/>
  <c r="C263" i="19"/>
  <c r="D263" i="19"/>
  <c r="E263" i="19"/>
  <c r="F263" i="19"/>
  <c r="G263" i="19"/>
  <c r="H263" i="19"/>
  <c r="I263" i="19"/>
  <c r="J263" i="19"/>
  <c r="K263" i="19"/>
  <c r="M263" i="19"/>
  <c r="N263" i="19"/>
  <c r="O263" i="19"/>
  <c r="Q263" i="19"/>
  <c r="A264" i="19"/>
  <c r="B264" i="19"/>
  <c r="C264" i="19"/>
  <c r="D264" i="19"/>
  <c r="E264" i="19"/>
  <c r="F264" i="19"/>
  <c r="G264" i="19"/>
  <c r="H264" i="19"/>
  <c r="I264" i="19"/>
  <c r="J264" i="19"/>
  <c r="K264" i="19"/>
  <c r="M264" i="19"/>
  <c r="N264" i="19"/>
  <c r="O264" i="19"/>
  <c r="Q264" i="19"/>
  <c r="A265" i="19"/>
  <c r="B265" i="19"/>
  <c r="C265" i="19"/>
  <c r="D265" i="19"/>
  <c r="E265" i="19"/>
  <c r="F265" i="19"/>
  <c r="G265" i="19"/>
  <c r="H265" i="19"/>
  <c r="I265" i="19"/>
  <c r="J265" i="19"/>
  <c r="K265" i="19"/>
  <c r="M265" i="19"/>
  <c r="N265" i="19"/>
  <c r="O265" i="19"/>
  <c r="Q265" i="19"/>
  <c r="A266" i="19"/>
  <c r="B266" i="19"/>
  <c r="C266" i="19"/>
  <c r="D266" i="19"/>
  <c r="E266" i="19"/>
  <c r="F266" i="19"/>
  <c r="G266" i="19"/>
  <c r="H266" i="19"/>
  <c r="I266" i="19"/>
  <c r="J266" i="19"/>
  <c r="K266" i="19"/>
  <c r="M266" i="19"/>
  <c r="N266" i="19"/>
  <c r="O266" i="19"/>
  <c r="Q266" i="19"/>
  <c r="A267" i="19"/>
  <c r="B267" i="19"/>
  <c r="C267" i="19"/>
  <c r="D267" i="19"/>
  <c r="E267" i="19"/>
  <c r="F267" i="19"/>
  <c r="G267" i="19"/>
  <c r="H267" i="19"/>
  <c r="I267" i="19"/>
  <c r="J267" i="19"/>
  <c r="K267" i="19"/>
  <c r="M267" i="19"/>
  <c r="N267" i="19"/>
  <c r="O267" i="19"/>
  <c r="Q267" i="19"/>
  <c r="A268" i="19"/>
  <c r="B268" i="19"/>
  <c r="C268" i="19"/>
  <c r="D268" i="19"/>
  <c r="E268" i="19"/>
  <c r="F268" i="19"/>
  <c r="G268" i="19"/>
  <c r="H268" i="19"/>
  <c r="I268" i="19"/>
  <c r="J268" i="19"/>
  <c r="K268" i="19"/>
  <c r="M268" i="19"/>
  <c r="N268" i="19"/>
  <c r="O268" i="19"/>
  <c r="Q268" i="19"/>
  <c r="A269" i="19"/>
  <c r="B269" i="19"/>
  <c r="C269" i="19"/>
  <c r="D269" i="19"/>
  <c r="E269" i="19"/>
  <c r="F269" i="19"/>
  <c r="G269" i="19"/>
  <c r="H269" i="19"/>
  <c r="I269" i="19"/>
  <c r="J269" i="19"/>
  <c r="K269" i="19"/>
  <c r="M269" i="19"/>
  <c r="N269" i="19"/>
  <c r="O269" i="19"/>
  <c r="Q269" i="19"/>
  <c r="A270" i="19"/>
  <c r="B270" i="19"/>
  <c r="C270" i="19"/>
  <c r="D270" i="19"/>
  <c r="E270" i="19"/>
  <c r="F270" i="19"/>
  <c r="G270" i="19"/>
  <c r="H270" i="19"/>
  <c r="I270" i="19"/>
  <c r="J270" i="19"/>
  <c r="K270" i="19"/>
  <c r="M270" i="19"/>
  <c r="N270" i="19"/>
  <c r="O270" i="19"/>
  <c r="Q270" i="19"/>
  <c r="A271" i="19"/>
  <c r="B271" i="19"/>
  <c r="D271" i="19"/>
  <c r="E271" i="19"/>
  <c r="F271" i="19"/>
  <c r="G271" i="19"/>
  <c r="H271" i="19"/>
  <c r="I271" i="19"/>
  <c r="J271" i="19"/>
  <c r="K271" i="19"/>
  <c r="M271" i="19"/>
  <c r="N271" i="19"/>
  <c r="O271" i="19"/>
  <c r="Q271" i="19"/>
  <c r="A272" i="19"/>
  <c r="B272" i="19"/>
  <c r="C272" i="19"/>
  <c r="D272" i="19"/>
  <c r="E272" i="19"/>
  <c r="F272" i="19"/>
  <c r="G272" i="19"/>
  <c r="H272" i="19"/>
  <c r="I272" i="19"/>
  <c r="J272" i="19"/>
  <c r="K272" i="19"/>
  <c r="M272" i="19"/>
  <c r="N272" i="19"/>
  <c r="O272" i="19"/>
  <c r="Q272" i="19"/>
  <c r="A273" i="19"/>
  <c r="B273" i="19"/>
  <c r="C273" i="19"/>
  <c r="D273" i="19"/>
  <c r="E273" i="19"/>
  <c r="F273" i="19"/>
  <c r="G273" i="19"/>
  <c r="H273" i="19"/>
  <c r="I273" i="19"/>
  <c r="J273" i="19"/>
  <c r="K273" i="19"/>
  <c r="M273" i="19"/>
  <c r="N273" i="19"/>
  <c r="O273" i="19"/>
  <c r="Q273" i="19"/>
  <c r="A274" i="19"/>
  <c r="B274" i="19"/>
  <c r="C274" i="19"/>
  <c r="D274" i="19"/>
  <c r="E274" i="19"/>
  <c r="F274" i="19"/>
  <c r="G274" i="19"/>
  <c r="H274" i="19"/>
  <c r="I274" i="19"/>
  <c r="J274" i="19"/>
  <c r="K274" i="19"/>
  <c r="M274" i="19"/>
  <c r="N274" i="19"/>
  <c r="O274" i="19"/>
  <c r="Q274" i="19"/>
  <c r="A275" i="19"/>
  <c r="B275" i="19"/>
  <c r="C275" i="19"/>
  <c r="D275" i="19"/>
  <c r="E275" i="19"/>
  <c r="F275" i="19"/>
  <c r="G275" i="19"/>
  <c r="H275" i="19"/>
  <c r="I275" i="19"/>
  <c r="J275" i="19"/>
  <c r="K275" i="19"/>
  <c r="M275" i="19"/>
  <c r="N275" i="19"/>
  <c r="O275" i="19"/>
  <c r="Q275" i="19"/>
  <c r="A276" i="19"/>
  <c r="B276" i="19"/>
  <c r="C276" i="19"/>
  <c r="D276" i="19"/>
  <c r="E276" i="19"/>
  <c r="F276" i="19"/>
  <c r="G276" i="19"/>
  <c r="H276" i="19"/>
  <c r="I276" i="19"/>
  <c r="J276" i="19"/>
  <c r="K276" i="19"/>
  <c r="M276" i="19"/>
  <c r="N276" i="19"/>
  <c r="O276" i="19"/>
  <c r="Q276" i="19"/>
  <c r="A277" i="19"/>
  <c r="B277" i="19"/>
  <c r="C277" i="19"/>
  <c r="D277" i="19"/>
  <c r="E277" i="19"/>
  <c r="F277" i="19"/>
  <c r="G277" i="19"/>
  <c r="H277" i="19"/>
  <c r="I277" i="19"/>
  <c r="J277" i="19"/>
  <c r="K277" i="19"/>
  <c r="M277" i="19"/>
  <c r="N277" i="19"/>
  <c r="O277" i="19"/>
  <c r="Q277" i="19"/>
  <c r="A278" i="19"/>
  <c r="B278" i="19"/>
  <c r="C278" i="19"/>
  <c r="D278" i="19"/>
  <c r="E278" i="19"/>
  <c r="F278" i="19"/>
  <c r="G278" i="19"/>
  <c r="H278" i="19"/>
  <c r="I278" i="19"/>
  <c r="J278" i="19"/>
  <c r="K278" i="19"/>
  <c r="M278" i="19"/>
  <c r="N278" i="19"/>
  <c r="O278" i="19"/>
  <c r="Q278" i="19"/>
  <c r="A279" i="19"/>
  <c r="B279" i="19"/>
  <c r="C279" i="19"/>
  <c r="D279" i="19"/>
  <c r="E279" i="19"/>
  <c r="F279" i="19"/>
  <c r="G279" i="19"/>
  <c r="H279" i="19"/>
  <c r="I279" i="19"/>
  <c r="J279" i="19"/>
  <c r="K279" i="19"/>
  <c r="M279" i="19"/>
  <c r="N279" i="19"/>
  <c r="O279" i="19"/>
  <c r="Q279" i="19"/>
  <c r="A280" i="19"/>
  <c r="B280" i="19"/>
  <c r="C280" i="19"/>
  <c r="D280" i="19"/>
  <c r="E280" i="19"/>
  <c r="F280" i="19"/>
  <c r="G280" i="19"/>
  <c r="H280" i="19"/>
  <c r="I280" i="19"/>
  <c r="J280" i="19"/>
  <c r="K280" i="19"/>
  <c r="M280" i="19"/>
  <c r="N280" i="19"/>
  <c r="O280" i="19"/>
  <c r="Q280" i="19"/>
  <c r="A281" i="19"/>
  <c r="B281" i="19"/>
  <c r="C281" i="19"/>
  <c r="D281" i="19"/>
  <c r="E281" i="19"/>
  <c r="F281" i="19"/>
  <c r="G281" i="19"/>
  <c r="H281" i="19"/>
  <c r="I281" i="19"/>
  <c r="J281" i="19"/>
  <c r="K281" i="19"/>
  <c r="M281" i="19"/>
  <c r="N281" i="19"/>
  <c r="O281" i="19"/>
  <c r="Q281" i="19"/>
  <c r="A282" i="19"/>
  <c r="B282" i="19"/>
  <c r="C282" i="19"/>
  <c r="D282" i="19"/>
  <c r="E282" i="19"/>
  <c r="F282" i="19"/>
  <c r="G282" i="19"/>
  <c r="H282" i="19"/>
  <c r="I282" i="19"/>
  <c r="J282" i="19"/>
  <c r="K282" i="19"/>
  <c r="M282" i="19"/>
  <c r="N282" i="19"/>
  <c r="O282" i="19"/>
  <c r="Q282" i="19"/>
  <c r="A283" i="19"/>
  <c r="B283" i="19"/>
  <c r="C283" i="19"/>
  <c r="D283" i="19"/>
  <c r="E283" i="19"/>
  <c r="F283" i="19"/>
  <c r="G283" i="19"/>
  <c r="H283" i="19"/>
  <c r="I283" i="19"/>
  <c r="J283" i="19"/>
  <c r="K283" i="19"/>
  <c r="M283" i="19"/>
  <c r="N283" i="19"/>
  <c r="O283" i="19"/>
  <c r="Q283" i="19"/>
  <c r="A284" i="19"/>
  <c r="B284" i="19"/>
  <c r="C284" i="19"/>
  <c r="D284" i="19"/>
  <c r="E284" i="19"/>
  <c r="F284" i="19"/>
  <c r="G284" i="19"/>
  <c r="H284" i="19"/>
  <c r="I284" i="19"/>
  <c r="J284" i="19"/>
  <c r="K284" i="19"/>
  <c r="M284" i="19"/>
  <c r="N284" i="19"/>
  <c r="O284" i="19"/>
  <c r="Q284" i="19"/>
  <c r="A285" i="19"/>
  <c r="B285" i="19"/>
  <c r="C285" i="19"/>
  <c r="D285" i="19"/>
  <c r="E285" i="19"/>
  <c r="F285" i="19"/>
  <c r="G285" i="19"/>
  <c r="H285" i="19"/>
  <c r="I285" i="19"/>
  <c r="J285" i="19"/>
  <c r="K285" i="19"/>
  <c r="M285" i="19"/>
  <c r="N285" i="19"/>
  <c r="O285" i="19"/>
  <c r="Q285" i="19"/>
  <c r="A286" i="19"/>
  <c r="B286" i="19"/>
  <c r="C286" i="19"/>
  <c r="D286" i="19"/>
  <c r="E286" i="19"/>
  <c r="F286" i="19"/>
  <c r="G286" i="19"/>
  <c r="H286" i="19"/>
  <c r="I286" i="19"/>
  <c r="J286" i="19"/>
  <c r="K286" i="19"/>
  <c r="M286" i="19"/>
  <c r="N286" i="19"/>
  <c r="O286" i="19"/>
  <c r="Q286" i="19"/>
  <c r="A287" i="19"/>
  <c r="B287" i="19"/>
  <c r="C287" i="19"/>
  <c r="D287" i="19"/>
  <c r="E287" i="19"/>
  <c r="F287" i="19"/>
  <c r="G287" i="19"/>
  <c r="H287" i="19"/>
  <c r="I287" i="19"/>
  <c r="J287" i="19"/>
  <c r="K287" i="19"/>
  <c r="M287" i="19"/>
  <c r="N287" i="19"/>
  <c r="O287" i="19"/>
  <c r="Q287" i="19"/>
  <c r="A288" i="19"/>
  <c r="B288" i="19"/>
  <c r="C288" i="19"/>
  <c r="D288" i="19"/>
  <c r="E288" i="19"/>
  <c r="F288" i="19"/>
  <c r="G288" i="19"/>
  <c r="H288" i="19"/>
  <c r="I288" i="19"/>
  <c r="J288" i="19"/>
  <c r="K288" i="19"/>
  <c r="M288" i="19"/>
  <c r="N288" i="19"/>
  <c r="O288" i="19"/>
  <c r="Q288" i="19"/>
  <c r="A289" i="19"/>
  <c r="B289" i="19"/>
  <c r="C289" i="19"/>
  <c r="D289" i="19"/>
  <c r="E289" i="19"/>
  <c r="F289" i="19"/>
  <c r="G289" i="19"/>
  <c r="H289" i="19"/>
  <c r="I289" i="19"/>
  <c r="J289" i="19"/>
  <c r="K289" i="19"/>
  <c r="M289" i="19"/>
  <c r="N289" i="19"/>
  <c r="O289" i="19"/>
  <c r="Q289" i="19"/>
  <c r="A290" i="19"/>
  <c r="B290" i="19"/>
  <c r="C290" i="19"/>
  <c r="D290" i="19"/>
  <c r="E290" i="19"/>
  <c r="F290" i="19"/>
  <c r="G290" i="19"/>
  <c r="H290" i="19"/>
  <c r="I290" i="19"/>
  <c r="J290" i="19"/>
  <c r="K290" i="19"/>
  <c r="M290" i="19"/>
  <c r="N290" i="19"/>
  <c r="O290" i="19"/>
  <c r="Q290" i="19"/>
  <c r="A291" i="19"/>
  <c r="B291" i="19"/>
  <c r="C291" i="19"/>
  <c r="D291" i="19"/>
  <c r="E291" i="19"/>
  <c r="F291" i="19"/>
  <c r="G291" i="19"/>
  <c r="H291" i="19"/>
  <c r="I291" i="19"/>
  <c r="J291" i="19"/>
  <c r="K291" i="19"/>
  <c r="M291" i="19"/>
  <c r="N291" i="19"/>
  <c r="O291" i="19"/>
  <c r="Q291" i="19"/>
  <c r="A292" i="19"/>
  <c r="B292" i="19"/>
  <c r="C292" i="19"/>
  <c r="D292" i="19"/>
  <c r="E292" i="19"/>
  <c r="F292" i="19"/>
  <c r="G292" i="19"/>
  <c r="H292" i="19"/>
  <c r="I292" i="19"/>
  <c r="J292" i="19"/>
  <c r="K292" i="19"/>
  <c r="M292" i="19"/>
  <c r="N292" i="19"/>
  <c r="O292" i="19"/>
  <c r="Q292" i="19"/>
  <c r="A293" i="19"/>
  <c r="B293" i="19"/>
  <c r="C293" i="19"/>
  <c r="D293" i="19"/>
  <c r="E293" i="19"/>
  <c r="F293" i="19"/>
  <c r="G293" i="19"/>
  <c r="H293" i="19"/>
  <c r="I293" i="19"/>
  <c r="J293" i="19"/>
  <c r="K293" i="19"/>
  <c r="M293" i="19"/>
  <c r="N293" i="19"/>
  <c r="O293" i="19"/>
  <c r="Q293" i="19"/>
  <c r="A294" i="19"/>
  <c r="B294" i="19"/>
  <c r="C294" i="19"/>
  <c r="D294" i="19"/>
  <c r="E294" i="19"/>
  <c r="F294" i="19"/>
  <c r="G294" i="19"/>
  <c r="H294" i="19"/>
  <c r="I294" i="19"/>
  <c r="J294" i="19"/>
  <c r="K294" i="19"/>
  <c r="M294" i="19"/>
  <c r="N294" i="19"/>
  <c r="O294" i="19"/>
  <c r="Q294" i="19"/>
  <c r="A295" i="19"/>
  <c r="B295" i="19"/>
  <c r="C295" i="19"/>
  <c r="D295" i="19"/>
  <c r="E295" i="19"/>
  <c r="F295" i="19"/>
  <c r="G295" i="19"/>
  <c r="H295" i="19"/>
  <c r="I295" i="19"/>
  <c r="J295" i="19"/>
  <c r="K295" i="19"/>
  <c r="M295" i="19"/>
  <c r="N295" i="19"/>
  <c r="O295" i="19"/>
  <c r="Q295" i="19"/>
  <c r="A296" i="19"/>
  <c r="B296" i="19"/>
  <c r="C296" i="19"/>
  <c r="D296" i="19"/>
  <c r="E296" i="19"/>
  <c r="F296" i="19"/>
  <c r="G296" i="19"/>
  <c r="H296" i="19"/>
  <c r="I296" i="19"/>
  <c r="J296" i="19"/>
  <c r="K296" i="19"/>
  <c r="M296" i="19"/>
  <c r="N296" i="19"/>
  <c r="O296" i="19"/>
  <c r="Q296" i="19"/>
  <c r="A297" i="19"/>
  <c r="B297" i="19"/>
  <c r="C297" i="19"/>
  <c r="D297" i="19"/>
  <c r="E297" i="19"/>
  <c r="F297" i="19"/>
  <c r="G297" i="19"/>
  <c r="H297" i="19"/>
  <c r="I297" i="19"/>
  <c r="J297" i="19"/>
  <c r="K297" i="19"/>
  <c r="M297" i="19"/>
  <c r="N297" i="19"/>
  <c r="O297" i="19"/>
  <c r="Q297" i="19"/>
  <c r="A298" i="19"/>
  <c r="B298" i="19"/>
  <c r="C298" i="19"/>
  <c r="D298" i="19"/>
  <c r="E298" i="19"/>
  <c r="F298" i="19"/>
  <c r="G298" i="19"/>
  <c r="H298" i="19"/>
  <c r="I298" i="19"/>
  <c r="J298" i="19"/>
  <c r="K298" i="19"/>
  <c r="M298" i="19"/>
  <c r="N298" i="19"/>
  <c r="O298" i="19"/>
  <c r="Q298" i="19"/>
  <c r="A299" i="19"/>
  <c r="B299" i="19"/>
  <c r="C299" i="19"/>
  <c r="D299" i="19"/>
  <c r="E299" i="19"/>
  <c r="F299" i="19"/>
  <c r="G299" i="19"/>
  <c r="H299" i="19"/>
  <c r="I299" i="19"/>
  <c r="J299" i="19"/>
  <c r="K299" i="19"/>
  <c r="M299" i="19"/>
  <c r="N299" i="19"/>
  <c r="O299" i="19"/>
  <c r="Q299" i="19"/>
  <c r="A300" i="19"/>
  <c r="B300" i="19"/>
  <c r="C300" i="19"/>
  <c r="D300" i="19"/>
  <c r="E300" i="19"/>
  <c r="F300" i="19"/>
  <c r="G300" i="19"/>
  <c r="H300" i="19"/>
  <c r="I300" i="19"/>
  <c r="J300" i="19"/>
  <c r="K300" i="19"/>
  <c r="M300" i="19"/>
  <c r="N300" i="19"/>
  <c r="O300" i="19"/>
  <c r="Q300" i="19"/>
  <c r="A301" i="19"/>
  <c r="B301" i="19"/>
  <c r="C301" i="19"/>
  <c r="D301" i="19"/>
  <c r="E301" i="19"/>
  <c r="F301" i="19"/>
  <c r="G301" i="19"/>
  <c r="H301" i="19"/>
  <c r="I301" i="19"/>
  <c r="J301" i="19"/>
  <c r="K301" i="19"/>
  <c r="M301" i="19"/>
  <c r="N301" i="19"/>
  <c r="O301" i="19"/>
  <c r="Q301" i="19"/>
  <c r="A302" i="19"/>
  <c r="B302" i="19"/>
  <c r="C302" i="19"/>
  <c r="D302" i="19"/>
  <c r="E302" i="19"/>
  <c r="F302" i="19"/>
  <c r="G302" i="19"/>
  <c r="H302" i="19"/>
  <c r="I302" i="19"/>
  <c r="J302" i="19"/>
  <c r="K302" i="19"/>
  <c r="M302" i="19"/>
  <c r="N302" i="19"/>
  <c r="O302" i="19"/>
  <c r="Q302" i="19"/>
  <c r="A303" i="19"/>
  <c r="B303" i="19"/>
  <c r="C303" i="19"/>
  <c r="D303" i="19"/>
  <c r="E303" i="19"/>
  <c r="F303" i="19"/>
  <c r="G303" i="19"/>
  <c r="H303" i="19"/>
  <c r="I303" i="19"/>
  <c r="J303" i="19"/>
  <c r="K303" i="19"/>
  <c r="M303" i="19"/>
  <c r="N303" i="19"/>
  <c r="O303" i="19"/>
  <c r="Q303" i="19"/>
  <c r="A304" i="19"/>
  <c r="B304" i="19"/>
  <c r="C304" i="19"/>
  <c r="D304" i="19"/>
  <c r="E304" i="19"/>
  <c r="F304" i="19"/>
  <c r="G304" i="19"/>
  <c r="H304" i="19"/>
  <c r="I304" i="19"/>
  <c r="J304" i="19"/>
  <c r="K304" i="19"/>
  <c r="M304" i="19"/>
  <c r="N304" i="19"/>
  <c r="O304" i="19"/>
  <c r="Q304" i="19"/>
  <c r="A305" i="19"/>
  <c r="B305" i="19"/>
  <c r="C305" i="19"/>
  <c r="D305" i="19"/>
  <c r="E305" i="19"/>
  <c r="F305" i="19"/>
  <c r="G305" i="19"/>
  <c r="H305" i="19"/>
  <c r="I305" i="19"/>
  <c r="J305" i="19"/>
  <c r="K305" i="19"/>
  <c r="M305" i="19"/>
  <c r="N305" i="19"/>
  <c r="O305" i="19"/>
  <c r="Q305" i="19"/>
  <c r="L161" i="19" l="1"/>
  <c r="P161" i="19" s="1"/>
  <c r="R161" i="19" s="1"/>
  <c r="L133" i="19"/>
  <c r="F133" i="49" s="1"/>
  <c r="G133" i="49" s="1"/>
  <c r="L191" i="19"/>
  <c r="F191" i="49" s="1"/>
  <c r="G191" i="49" s="1"/>
  <c r="E181" i="13"/>
  <c r="F181" i="13" s="1"/>
  <c r="L294" i="19"/>
  <c r="F294" i="49" s="1"/>
  <c r="G294" i="49" s="1"/>
  <c r="L193" i="19"/>
  <c r="F193" i="49" s="1"/>
  <c r="G193" i="49" s="1"/>
  <c r="L205" i="19"/>
  <c r="F205" i="49" s="1"/>
  <c r="G205" i="49" s="1"/>
  <c r="L203" i="19"/>
  <c r="F203" i="49" s="1"/>
  <c r="G203" i="49" s="1"/>
  <c r="L197" i="19"/>
  <c r="F197" i="49" s="1"/>
  <c r="G197" i="49" s="1"/>
  <c r="L189" i="19"/>
  <c r="F189" i="49" s="1"/>
  <c r="G189" i="49" s="1"/>
  <c r="L292" i="19"/>
  <c r="P292" i="19" s="1"/>
  <c r="R292" i="19" s="1"/>
  <c r="L201" i="19"/>
  <c r="F201" i="49" s="1"/>
  <c r="G201" i="49" s="1"/>
  <c r="L102" i="19"/>
  <c r="P102" i="19" s="1"/>
  <c r="R102" i="19" s="1"/>
  <c r="L59" i="19"/>
  <c r="P59" i="19" s="1"/>
  <c r="R59" i="19" s="1"/>
  <c r="L51" i="19"/>
  <c r="P51" i="19" s="1"/>
  <c r="R51" i="19" s="1"/>
  <c r="L43" i="19"/>
  <c r="F43" i="49" s="1"/>
  <c r="G43" i="49" s="1"/>
  <c r="L207" i="19"/>
  <c r="P207" i="19" s="1"/>
  <c r="R207" i="19" s="1"/>
  <c r="L199" i="19"/>
  <c r="F199" i="49" s="1"/>
  <c r="G199" i="49" s="1"/>
  <c r="L183" i="19"/>
  <c r="F183" i="49" s="1"/>
  <c r="G183" i="49" s="1"/>
  <c r="L115" i="19"/>
  <c r="F115" i="49" s="1"/>
  <c r="G115" i="49" s="1"/>
  <c r="L13" i="19"/>
  <c r="P13" i="19" s="1"/>
  <c r="R13" i="19" s="1"/>
  <c r="L250" i="19"/>
  <c r="F250" i="49" s="1"/>
  <c r="G250" i="49" s="1"/>
  <c r="L234" i="19"/>
  <c r="F234" i="49" s="1"/>
  <c r="G234" i="49" s="1"/>
  <c r="L211" i="19"/>
  <c r="F211" i="49" s="1"/>
  <c r="G211" i="49" s="1"/>
  <c r="L163" i="19"/>
  <c r="P163" i="19" s="1"/>
  <c r="R163" i="19" s="1"/>
  <c r="L135" i="19"/>
  <c r="F135" i="49" s="1"/>
  <c r="G135" i="49" s="1"/>
  <c r="L127" i="19"/>
  <c r="F127" i="49" s="1"/>
  <c r="G127" i="49" s="1"/>
  <c r="L15" i="19"/>
  <c r="F15" i="49" s="1"/>
  <c r="G15" i="49" s="1"/>
  <c r="L200" i="19"/>
  <c r="F200" i="49" s="1"/>
  <c r="G200" i="49" s="1"/>
  <c r="L177" i="19"/>
  <c r="F177" i="49" s="1"/>
  <c r="G177" i="49" s="1"/>
  <c r="L165" i="19"/>
  <c r="F165" i="49" s="1"/>
  <c r="G165" i="49" s="1"/>
  <c r="L157" i="19"/>
  <c r="F157" i="49" s="1"/>
  <c r="G157" i="49" s="1"/>
  <c r="L129" i="19"/>
  <c r="F129" i="49" s="1"/>
  <c r="G129" i="49" s="1"/>
  <c r="L291" i="19"/>
  <c r="P291" i="19" s="1"/>
  <c r="R291" i="19" s="1"/>
  <c r="L284" i="19"/>
  <c r="F284" i="49" s="1"/>
  <c r="G284" i="49" s="1"/>
  <c r="L283" i="19"/>
  <c r="P283" i="19" s="1"/>
  <c r="R283" i="19" s="1"/>
  <c r="L276" i="19"/>
  <c r="P276" i="19" s="1"/>
  <c r="R276" i="19" s="1"/>
  <c r="L181" i="19"/>
  <c r="P181" i="19" s="1"/>
  <c r="R181" i="19" s="1"/>
  <c r="L179" i="19"/>
  <c r="F179" i="49" s="1"/>
  <c r="G179" i="49" s="1"/>
  <c r="L153" i="19"/>
  <c r="F153" i="49" s="1"/>
  <c r="G153" i="49" s="1"/>
  <c r="L57" i="19"/>
  <c r="F57" i="49" s="1"/>
  <c r="G57" i="49" s="1"/>
  <c r="L49" i="19"/>
  <c r="F49" i="49" s="1"/>
  <c r="G49" i="49" s="1"/>
  <c r="L41" i="19"/>
  <c r="F41" i="49" s="1"/>
  <c r="G41" i="49" s="1"/>
  <c r="L33" i="19"/>
  <c r="F33" i="49" s="1"/>
  <c r="G33" i="49" s="1"/>
  <c r="L25" i="19"/>
  <c r="F25" i="49" s="1"/>
  <c r="G25" i="49" s="1"/>
  <c r="L145" i="19"/>
  <c r="P145" i="19" s="1"/>
  <c r="R145" i="19" s="1"/>
  <c r="L131" i="19"/>
  <c r="F131" i="49" s="1"/>
  <c r="G131" i="49" s="1"/>
  <c r="L19" i="19"/>
  <c r="F19" i="49" s="1"/>
  <c r="G19" i="49" s="1"/>
  <c r="L11" i="19"/>
  <c r="F11" i="49" s="1"/>
  <c r="G11" i="49" s="1"/>
  <c r="L195" i="19"/>
  <c r="F195" i="49" s="1"/>
  <c r="G195" i="49" s="1"/>
  <c r="L171" i="19"/>
  <c r="F171" i="49" s="1"/>
  <c r="G171" i="49" s="1"/>
  <c r="L139" i="19"/>
  <c r="P139" i="19" s="1"/>
  <c r="R139" i="19" s="1"/>
  <c r="L35" i="19"/>
  <c r="P35" i="19" s="1"/>
  <c r="R35" i="19" s="1"/>
  <c r="L27" i="19"/>
  <c r="F27" i="49" s="1"/>
  <c r="G27" i="49" s="1"/>
  <c r="L125" i="19"/>
  <c r="P125" i="19" s="1"/>
  <c r="R125" i="19" s="1"/>
  <c r="L296" i="19"/>
  <c r="P296" i="19" s="1"/>
  <c r="R296" i="19" s="1"/>
  <c r="L185" i="19"/>
  <c r="F185" i="49" s="1"/>
  <c r="G185" i="49" s="1"/>
  <c r="L173" i="19"/>
  <c r="F173" i="49" s="1"/>
  <c r="G173" i="49" s="1"/>
  <c r="L149" i="19"/>
  <c r="F149" i="49" s="1"/>
  <c r="G149" i="49" s="1"/>
  <c r="L141" i="19"/>
  <c r="F141" i="49" s="1"/>
  <c r="G141" i="49" s="1"/>
  <c r="L110" i="19"/>
  <c r="P110" i="19" s="1"/>
  <c r="R110" i="19" s="1"/>
  <c r="C60" i="25"/>
  <c r="E61" i="13"/>
  <c r="F61" i="13" s="1"/>
  <c r="C52" i="25"/>
  <c r="E53" i="13"/>
  <c r="F53" i="13" s="1"/>
  <c r="C44" i="25"/>
  <c r="E45" i="13"/>
  <c r="F45" i="13" s="1"/>
  <c r="C36" i="25"/>
  <c r="E37" i="13"/>
  <c r="C28" i="25"/>
  <c r="E29" i="13"/>
  <c r="F29" i="13" s="1"/>
  <c r="C20" i="25"/>
  <c r="E21" i="13"/>
  <c r="C298" i="25"/>
  <c r="E299" i="13"/>
  <c r="F299" i="13" s="1"/>
  <c r="L226" i="19"/>
  <c r="F226" i="49" s="1"/>
  <c r="G226" i="49" s="1"/>
  <c r="C221" i="25"/>
  <c r="E222" i="13"/>
  <c r="F222" i="13" s="1"/>
  <c r="L218" i="19"/>
  <c r="F218" i="49" s="1"/>
  <c r="G218" i="49" s="1"/>
  <c r="C213" i="25"/>
  <c r="E214" i="13"/>
  <c r="F214" i="13" s="1"/>
  <c r="L196" i="19"/>
  <c r="C172" i="25"/>
  <c r="E173" i="13"/>
  <c r="F173" i="13" s="1"/>
  <c r="C164" i="25"/>
  <c r="E165" i="13"/>
  <c r="F165" i="13" s="1"/>
  <c r="C156" i="25"/>
  <c r="E157" i="13"/>
  <c r="F157" i="13" s="1"/>
  <c r="C14" i="25"/>
  <c r="E15" i="13"/>
  <c r="F15" i="13" s="1"/>
  <c r="E7" i="13"/>
  <c r="F7" i="13" s="1"/>
  <c r="C6" i="25"/>
  <c r="C229" i="25"/>
  <c r="E230" i="13"/>
  <c r="F230" i="13" s="1"/>
  <c r="L117" i="19"/>
  <c r="C62" i="25"/>
  <c r="E63" i="13"/>
  <c r="F63" i="13" s="1"/>
  <c r="C54" i="25"/>
  <c r="E55" i="13"/>
  <c r="F55" i="13" s="1"/>
  <c r="C46" i="25"/>
  <c r="E47" i="13"/>
  <c r="F47" i="13" s="1"/>
  <c r="C38" i="25"/>
  <c r="E39" i="13"/>
  <c r="F39" i="13" s="1"/>
  <c r="C30" i="25"/>
  <c r="E31" i="13"/>
  <c r="F31" i="13" s="1"/>
  <c r="E23" i="13"/>
  <c r="C22" i="25"/>
  <c r="L7" i="19"/>
  <c r="C237" i="25"/>
  <c r="E238" i="13"/>
  <c r="F238" i="13" s="1"/>
  <c r="C261" i="25"/>
  <c r="E262" i="13"/>
  <c r="F262" i="13" s="1"/>
  <c r="C96" i="25"/>
  <c r="E97" i="13"/>
  <c r="F97" i="13" s="1"/>
  <c r="E89" i="13"/>
  <c r="F89" i="13" s="1"/>
  <c r="C88" i="25"/>
  <c r="C80" i="25"/>
  <c r="E81" i="13"/>
  <c r="F81" i="13" s="1"/>
  <c r="E73" i="13"/>
  <c r="F73" i="13" s="1"/>
  <c r="C72" i="25"/>
  <c r="C64" i="25"/>
  <c r="E65" i="13"/>
  <c r="F65" i="13" s="1"/>
  <c r="C16" i="25"/>
  <c r="E17" i="13"/>
  <c r="F17" i="13" s="1"/>
  <c r="E9" i="13"/>
  <c r="F9" i="13" s="1"/>
  <c r="C8" i="25"/>
  <c r="C300" i="25"/>
  <c r="E301" i="13"/>
  <c r="F301" i="13" s="1"/>
  <c r="L298" i="19"/>
  <c r="C166" i="25"/>
  <c r="E167" i="13"/>
  <c r="F167" i="13" s="1"/>
  <c r="C158" i="25"/>
  <c r="E159" i="13"/>
  <c r="F159" i="13" s="1"/>
  <c r="C174" i="25"/>
  <c r="E175" i="13"/>
  <c r="F175" i="13" s="1"/>
  <c r="L167" i="19"/>
  <c r="L151" i="19"/>
  <c r="L119" i="19"/>
  <c r="C106" i="25"/>
  <c r="E107" i="13"/>
  <c r="F107" i="13" s="1"/>
  <c r="L64" i="19"/>
  <c r="L61" i="19"/>
  <c r="C56" i="25"/>
  <c r="E57" i="13"/>
  <c r="F57" i="13" s="1"/>
  <c r="L53" i="19"/>
  <c r="C48" i="25"/>
  <c r="E49" i="13"/>
  <c r="F49" i="13" s="1"/>
  <c r="L45" i="19"/>
  <c r="C40" i="25"/>
  <c r="E41" i="13"/>
  <c r="F41" i="13" s="1"/>
  <c r="L37" i="19"/>
  <c r="C32" i="25"/>
  <c r="E33" i="13"/>
  <c r="F33" i="13" s="1"/>
  <c r="L29" i="19"/>
  <c r="E25" i="13"/>
  <c r="F25" i="13" s="1"/>
  <c r="C24" i="25"/>
  <c r="C253" i="25"/>
  <c r="E254" i="13"/>
  <c r="F254" i="13" s="1"/>
  <c r="C269" i="25"/>
  <c r="E270" i="13"/>
  <c r="F270" i="13" s="1"/>
  <c r="C278" i="25"/>
  <c r="E279" i="13"/>
  <c r="F279" i="13" s="1"/>
  <c r="L275" i="19"/>
  <c r="C270" i="25"/>
  <c r="E271" i="13"/>
  <c r="F271" i="13" s="1"/>
  <c r="L204" i="19"/>
  <c r="L188" i="19"/>
  <c r="C168" i="25"/>
  <c r="E169" i="13"/>
  <c r="F169" i="13" s="1"/>
  <c r="C160" i="25"/>
  <c r="E161" i="13"/>
  <c r="F161" i="13" s="1"/>
  <c r="C18" i="25"/>
  <c r="E19" i="13"/>
  <c r="F19" i="13" s="1"/>
  <c r="C10" i="25"/>
  <c r="E11" i="13"/>
  <c r="F11" i="13" s="1"/>
  <c r="C245" i="25"/>
  <c r="E246" i="13"/>
  <c r="F246" i="13" s="1"/>
  <c r="C286" i="25"/>
  <c r="E287" i="13"/>
  <c r="F287" i="13" s="1"/>
  <c r="C176" i="25"/>
  <c r="E177" i="13"/>
  <c r="F177" i="13" s="1"/>
  <c r="L169" i="19"/>
  <c r="L63" i="19"/>
  <c r="C58" i="25"/>
  <c r="E59" i="13"/>
  <c r="F59" i="13" s="1"/>
  <c r="L55" i="19"/>
  <c r="C50" i="25"/>
  <c r="E51" i="13"/>
  <c r="F51" i="13" s="1"/>
  <c r="L47" i="19"/>
  <c r="C42" i="25"/>
  <c r="E43" i="13"/>
  <c r="F43" i="13" s="1"/>
  <c r="L39" i="19"/>
  <c r="C34" i="25"/>
  <c r="E35" i="13"/>
  <c r="F35" i="13" s="1"/>
  <c r="L31" i="19"/>
  <c r="C26" i="25"/>
  <c r="E27" i="13"/>
  <c r="F27" i="13" s="1"/>
  <c r="L23" i="19"/>
  <c r="C301" i="25"/>
  <c r="E302" i="13"/>
  <c r="F302" i="13" s="1"/>
  <c r="L300" i="19"/>
  <c r="L302" i="19"/>
  <c r="L192" i="19"/>
  <c r="F192" i="49" s="1"/>
  <c r="G192" i="49" s="1"/>
  <c r="C170" i="25"/>
  <c r="E171" i="13"/>
  <c r="F171" i="13" s="1"/>
  <c r="C162" i="25"/>
  <c r="E163" i="13"/>
  <c r="F163" i="13" s="1"/>
  <c r="L159" i="19"/>
  <c r="C154" i="25"/>
  <c r="E155" i="13"/>
  <c r="F155" i="13" s="1"/>
  <c r="L121" i="19"/>
  <c r="L17" i="19"/>
  <c r="C12" i="25"/>
  <c r="E13" i="13"/>
  <c r="F13" i="13" s="1"/>
  <c r="L9" i="19"/>
  <c r="C287" i="25"/>
  <c r="E288" i="13"/>
  <c r="F288" i="13" s="1"/>
  <c r="C279" i="25"/>
  <c r="E280" i="13"/>
  <c r="F280" i="13" s="1"/>
  <c r="C271" i="25"/>
  <c r="E272" i="13"/>
  <c r="F272" i="13" s="1"/>
  <c r="L267" i="19"/>
  <c r="C262" i="25"/>
  <c r="E263" i="13"/>
  <c r="F263" i="13" s="1"/>
  <c r="L259" i="19"/>
  <c r="C254" i="25"/>
  <c r="E255" i="13"/>
  <c r="F255" i="13" s="1"/>
  <c r="E247" i="13"/>
  <c r="F247" i="13" s="1"/>
  <c r="C246" i="25"/>
  <c r="C238" i="25"/>
  <c r="E239" i="13"/>
  <c r="F239" i="13" s="1"/>
  <c r="C230" i="25"/>
  <c r="E231" i="13"/>
  <c r="F231" i="13" s="1"/>
  <c r="C222" i="25"/>
  <c r="E223" i="13"/>
  <c r="F223" i="13" s="1"/>
  <c r="E215" i="13"/>
  <c r="F215" i="13" s="1"/>
  <c r="C214" i="25"/>
  <c r="L213" i="19"/>
  <c r="C184" i="25"/>
  <c r="E185" i="13"/>
  <c r="F185" i="13" s="1"/>
  <c r="C182" i="25"/>
  <c r="E183" i="13"/>
  <c r="F183" i="13" s="1"/>
  <c r="C178" i="25"/>
  <c r="E179" i="13"/>
  <c r="F179" i="13" s="1"/>
  <c r="C177" i="25"/>
  <c r="E178" i="13"/>
  <c r="F178" i="13" s="1"/>
  <c r="C175" i="25"/>
  <c r="E176" i="13"/>
  <c r="F176" i="13" s="1"/>
  <c r="C173" i="25"/>
  <c r="E174" i="13"/>
  <c r="F174" i="13" s="1"/>
  <c r="C171" i="25"/>
  <c r="E172" i="13"/>
  <c r="F172" i="13" s="1"/>
  <c r="C169" i="25"/>
  <c r="E170" i="13"/>
  <c r="F170" i="13" s="1"/>
  <c r="C167" i="25"/>
  <c r="E168" i="13"/>
  <c r="F168" i="13" s="1"/>
  <c r="C165" i="25"/>
  <c r="E166" i="13"/>
  <c r="F166" i="13" s="1"/>
  <c r="C163" i="25"/>
  <c r="E164" i="13"/>
  <c r="F164" i="13" s="1"/>
  <c r="C161" i="25"/>
  <c r="E162" i="13"/>
  <c r="F162" i="13" s="1"/>
  <c r="C159" i="25"/>
  <c r="E160" i="13"/>
  <c r="F160" i="13" s="1"/>
  <c r="C157" i="25"/>
  <c r="E158" i="13"/>
  <c r="F158" i="13" s="1"/>
  <c r="C155" i="25"/>
  <c r="E156" i="13"/>
  <c r="F156" i="13" s="1"/>
  <c r="L147" i="19"/>
  <c r="L144" i="19"/>
  <c r="F144" i="49" s="1"/>
  <c r="G144" i="49" s="1"/>
  <c r="L140" i="19"/>
  <c r="L136" i="19"/>
  <c r="F136" i="49" s="1"/>
  <c r="G136" i="49" s="1"/>
  <c r="L132" i="19"/>
  <c r="L128" i="19"/>
  <c r="F128" i="49" s="1"/>
  <c r="G128" i="49" s="1"/>
  <c r="L124" i="19"/>
  <c r="C109" i="25"/>
  <c r="E110" i="13"/>
  <c r="F110" i="13" s="1"/>
  <c r="C107" i="25"/>
  <c r="E108" i="13"/>
  <c r="F108" i="13" s="1"/>
  <c r="L108" i="19"/>
  <c r="C97" i="25"/>
  <c r="E98" i="13"/>
  <c r="F98" i="13" s="1"/>
  <c r="C89" i="25"/>
  <c r="E90" i="13"/>
  <c r="F90" i="13" s="1"/>
  <c r="C81" i="25"/>
  <c r="E82" i="13"/>
  <c r="F82" i="13" s="1"/>
  <c r="C73" i="25"/>
  <c r="E74" i="13"/>
  <c r="F74" i="13" s="1"/>
  <c r="C65" i="25"/>
  <c r="E66" i="13"/>
  <c r="F66" i="13" s="1"/>
  <c r="C61" i="25"/>
  <c r="E62" i="13"/>
  <c r="F62" i="13" s="1"/>
  <c r="C59" i="25"/>
  <c r="E60" i="13"/>
  <c r="F60" i="13" s="1"/>
  <c r="C57" i="25"/>
  <c r="E58" i="13"/>
  <c r="F58" i="13" s="1"/>
  <c r="C55" i="25"/>
  <c r="E56" i="13"/>
  <c r="F56" i="13" s="1"/>
  <c r="C53" i="25"/>
  <c r="E54" i="13"/>
  <c r="F54" i="13" s="1"/>
  <c r="C51" i="25"/>
  <c r="E52" i="13"/>
  <c r="F52" i="13" s="1"/>
  <c r="C49" i="25"/>
  <c r="E50" i="13"/>
  <c r="F50" i="13" s="1"/>
  <c r="C47" i="25"/>
  <c r="E48" i="13"/>
  <c r="F48" i="13" s="1"/>
  <c r="C45" i="25"/>
  <c r="E46" i="13"/>
  <c r="F46" i="13" s="1"/>
  <c r="C43" i="25"/>
  <c r="E44" i="13"/>
  <c r="F44" i="13" s="1"/>
  <c r="C41" i="25"/>
  <c r="E42" i="13"/>
  <c r="F42" i="13" s="1"/>
  <c r="C39" i="25"/>
  <c r="E40" i="13"/>
  <c r="F40" i="13" s="1"/>
  <c r="C37" i="25"/>
  <c r="E38" i="13"/>
  <c r="F38" i="13" s="1"/>
  <c r="C35" i="25"/>
  <c r="E36" i="13"/>
  <c r="F36" i="13" s="1"/>
  <c r="C33" i="25"/>
  <c r="E34" i="13"/>
  <c r="F34" i="13" s="1"/>
  <c r="C31" i="25"/>
  <c r="E32" i="13"/>
  <c r="F32" i="13" s="1"/>
  <c r="C29" i="25"/>
  <c r="E30" i="13"/>
  <c r="F30" i="13" s="1"/>
  <c r="C27" i="25"/>
  <c r="E28" i="13"/>
  <c r="F28" i="13" s="1"/>
  <c r="C25" i="25"/>
  <c r="E26" i="13"/>
  <c r="F26" i="13" s="1"/>
  <c r="C23" i="25"/>
  <c r="E24" i="13"/>
  <c r="F24" i="13" s="1"/>
  <c r="C21" i="25"/>
  <c r="E22" i="13"/>
  <c r="F22" i="13" s="1"/>
  <c r="C19" i="25"/>
  <c r="E20" i="13"/>
  <c r="F20" i="13" s="1"/>
  <c r="C17" i="25"/>
  <c r="E18" i="13"/>
  <c r="F18" i="13" s="1"/>
  <c r="C15" i="25"/>
  <c r="E16" i="13"/>
  <c r="F16" i="13" s="1"/>
  <c r="C13" i="25"/>
  <c r="E14" i="13"/>
  <c r="F14" i="13" s="1"/>
  <c r="C11" i="25"/>
  <c r="E12" i="13"/>
  <c r="F12" i="13" s="1"/>
  <c r="C9" i="25"/>
  <c r="E10" i="13"/>
  <c r="F10" i="13" s="1"/>
  <c r="C7" i="25"/>
  <c r="E8" i="13"/>
  <c r="F8" i="13" s="1"/>
  <c r="C303" i="25"/>
  <c r="E304" i="13"/>
  <c r="F304" i="13" s="1"/>
  <c r="L293" i="19"/>
  <c r="C288" i="25"/>
  <c r="E289" i="13"/>
  <c r="F289" i="13" s="1"/>
  <c r="L286" i="19"/>
  <c r="L285" i="19"/>
  <c r="L282" i="19"/>
  <c r="C280" i="25"/>
  <c r="E281" i="13"/>
  <c r="F281" i="13" s="1"/>
  <c r="L278" i="19"/>
  <c r="L277" i="19"/>
  <c r="C272" i="25"/>
  <c r="E273" i="13"/>
  <c r="F273" i="13" s="1"/>
  <c r="L269" i="19"/>
  <c r="C263" i="25"/>
  <c r="E264" i="13"/>
  <c r="F264" i="13" s="1"/>
  <c r="C255" i="25"/>
  <c r="E256" i="13"/>
  <c r="F256" i="13" s="1"/>
  <c r="L253" i="19"/>
  <c r="C247" i="25"/>
  <c r="E248" i="13"/>
  <c r="F248" i="13" s="1"/>
  <c r="C239" i="25"/>
  <c r="E240" i="13"/>
  <c r="F240" i="13" s="1"/>
  <c r="C231" i="25"/>
  <c r="E232" i="13"/>
  <c r="F232" i="13" s="1"/>
  <c r="C223" i="25"/>
  <c r="E224" i="13"/>
  <c r="F224" i="13" s="1"/>
  <c r="C215" i="25"/>
  <c r="E216" i="13"/>
  <c r="F216" i="13" s="1"/>
  <c r="C185" i="25"/>
  <c r="E186" i="13"/>
  <c r="F186" i="13" s="1"/>
  <c r="C183" i="25"/>
  <c r="E184" i="13"/>
  <c r="F184" i="13" s="1"/>
  <c r="C181" i="25"/>
  <c r="E182" i="13"/>
  <c r="F182" i="13" s="1"/>
  <c r="C179" i="25"/>
  <c r="E180" i="13"/>
  <c r="F180" i="13" s="1"/>
  <c r="C120" i="25"/>
  <c r="E121" i="13"/>
  <c r="F121" i="13" s="1"/>
  <c r="C118" i="25"/>
  <c r="E119" i="13"/>
  <c r="F119" i="13" s="1"/>
  <c r="C116" i="25"/>
  <c r="E117" i="13"/>
  <c r="F117" i="13" s="1"/>
  <c r="C114" i="25"/>
  <c r="E115" i="13"/>
  <c r="F115" i="13" s="1"/>
  <c r="C112" i="25"/>
  <c r="E113" i="13"/>
  <c r="F113" i="13" s="1"/>
  <c r="C110" i="25"/>
  <c r="E111" i="13"/>
  <c r="F111" i="13" s="1"/>
  <c r="C108" i="25"/>
  <c r="E109" i="13"/>
  <c r="F109" i="13" s="1"/>
  <c r="C98" i="25"/>
  <c r="E99" i="13"/>
  <c r="F99" i="13" s="1"/>
  <c r="C90" i="25"/>
  <c r="E91" i="13"/>
  <c r="F91" i="13" s="1"/>
  <c r="C82" i="25"/>
  <c r="E83" i="13"/>
  <c r="F83" i="13" s="1"/>
  <c r="C74" i="25"/>
  <c r="E75" i="13"/>
  <c r="F75" i="13" s="1"/>
  <c r="C66" i="25"/>
  <c r="E67" i="13"/>
  <c r="F67" i="13" s="1"/>
  <c r="L297" i="19"/>
  <c r="C281" i="25"/>
  <c r="E282" i="13"/>
  <c r="F282" i="13" s="1"/>
  <c r="C273" i="25"/>
  <c r="E274" i="13"/>
  <c r="F274" i="13" s="1"/>
  <c r="C264" i="25"/>
  <c r="E265" i="13"/>
  <c r="F265" i="13" s="1"/>
  <c r="C256" i="25"/>
  <c r="E257" i="13"/>
  <c r="F257" i="13" s="1"/>
  <c r="C248" i="25"/>
  <c r="E249" i="13"/>
  <c r="F249" i="13" s="1"/>
  <c r="C240" i="25"/>
  <c r="E241" i="13"/>
  <c r="F241" i="13" s="1"/>
  <c r="C232" i="25"/>
  <c r="E233" i="13"/>
  <c r="F233" i="13" s="1"/>
  <c r="L229" i="19"/>
  <c r="C224" i="25"/>
  <c r="E225" i="13"/>
  <c r="F225" i="13" s="1"/>
  <c r="L221" i="19"/>
  <c r="C216" i="25"/>
  <c r="E217" i="13"/>
  <c r="F217" i="13" s="1"/>
  <c r="L215" i="19"/>
  <c r="C206" i="25"/>
  <c r="E207" i="13"/>
  <c r="F207" i="13" s="1"/>
  <c r="C204" i="25"/>
  <c r="E205" i="13"/>
  <c r="F205" i="13" s="1"/>
  <c r="C202" i="25"/>
  <c r="E203" i="13"/>
  <c r="F203" i="13" s="1"/>
  <c r="C200" i="25"/>
  <c r="E201" i="13"/>
  <c r="F201" i="13" s="1"/>
  <c r="E199" i="13"/>
  <c r="F199" i="13" s="1"/>
  <c r="C198" i="25"/>
  <c r="C196" i="25"/>
  <c r="E197" i="13"/>
  <c r="F197" i="13" s="1"/>
  <c r="C194" i="25"/>
  <c r="E195" i="13"/>
  <c r="F195" i="13" s="1"/>
  <c r="C192" i="25"/>
  <c r="E193" i="13"/>
  <c r="F193" i="13" s="1"/>
  <c r="C190" i="25"/>
  <c r="E191" i="13"/>
  <c r="F191" i="13" s="1"/>
  <c r="C188" i="25"/>
  <c r="E189" i="13"/>
  <c r="F189" i="13" s="1"/>
  <c r="C186" i="25"/>
  <c r="E187" i="13"/>
  <c r="F187" i="13" s="1"/>
  <c r="L155" i="19"/>
  <c r="L152" i="19"/>
  <c r="F152" i="49" s="1"/>
  <c r="G152" i="49" s="1"/>
  <c r="L148" i="19"/>
  <c r="C121" i="25"/>
  <c r="E122" i="13"/>
  <c r="F122" i="13" s="1"/>
  <c r="C119" i="25"/>
  <c r="E120" i="13"/>
  <c r="F120" i="13" s="1"/>
  <c r="C117" i="25"/>
  <c r="E118" i="13"/>
  <c r="F118" i="13" s="1"/>
  <c r="C115" i="25"/>
  <c r="E116" i="13"/>
  <c r="F116" i="13" s="1"/>
  <c r="C113" i="25"/>
  <c r="E114" i="13"/>
  <c r="F114" i="13" s="1"/>
  <c r="C111" i="25"/>
  <c r="E112" i="13"/>
  <c r="F112" i="13" s="1"/>
  <c r="L106" i="19"/>
  <c r="C101" i="25"/>
  <c r="E102" i="13"/>
  <c r="F102" i="13" s="1"/>
  <c r="C99" i="25"/>
  <c r="E100" i="13"/>
  <c r="F100" i="13" s="1"/>
  <c r="C91" i="25"/>
  <c r="E92" i="13"/>
  <c r="F92" i="13" s="1"/>
  <c r="C83" i="25"/>
  <c r="E84" i="13"/>
  <c r="F84" i="13" s="1"/>
  <c r="C75" i="25"/>
  <c r="E76" i="13"/>
  <c r="F76" i="13" s="1"/>
  <c r="C67" i="25"/>
  <c r="E68" i="13"/>
  <c r="F68" i="13" s="1"/>
  <c r="C302" i="25"/>
  <c r="E303" i="13"/>
  <c r="F303" i="13" s="1"/>
  <c r="C304" i="25"/>
  <c r="E305" i="13"/>
  <c r="F305" i="13" s="1"/>
  <c r="L295" i="19"/>
  <c r="C289" i="25"/>
  <c r="E290" i="13"/>
  <c r="F290" i="13" s="1"/>
  <c r="L301" i="19"/>
  <c r="L299" i="19"/>
  <c r="C290" i="25"/>
  <c r="E291" i="13"/>
  <c r="F291" i="13" s="1"/>
  <c r="L288" i="19"/>
  <c r="L287" i="19"/>
  <c r="C282" i="25"/>
  <c r="E283" i="13"/>
  <c r="F283" i="13" s="1"/>
  <c r="L280" i="19"/>
  <c r="L279" i="19"/>
  <c r="C274" i="25"/>
  <c r="E275" i="13"/>
  <c r="F275" i="13" s="1"/>
  <c r="C265" i="25"/>
  <c r="E266" i="13"/>
  <c r="F266" i="13" s="1"/>
  <c r="L263" i="19"/>
  <c r="C257" i="25"/>
  <c r="E258" i="13"/>
  <c r="F258" i="13" s="1"/>
  <c r="L255" i="19"/>
  <c r="C249" i="25"/>
  <c r="E250" i="13"/>
  <c r="F250" i="13" s="1"/>
  <c r="L246" i="19"/>
  <c r="F246" i="49" s="1"/>
  <c r="G246" i="49" s="1"/>
  <c r="C241" i="25"/>
  <c r="E242" i="13"/>
  <c r="F242" i="13" s="1"/>
  <c r="L238" i="19"/>
  <c r="F238" i="49" s="1"/>
  <c r="G238" i="49" s="1"/>
  <c r="C233" i="25"/>
  <c r="E234" i="13"/>
  <c r="F234" i="13" s="1"/>
  <c r="L230" i="19"/>
  <c r="F230" i="49" s="1"/>
  <c r="G230" i="49" s="1"/>
  <c r="C225" i="25"/>
  <c r="E226" i="13"/>
  <c r="F226" i="13" s="1"/>
  <c r="C217" i="25"/>
  <c r="E218" i="13"/>
  <c r="F218" i="13" s="1"/>
  <c r="L214" i="19"/>
  <c r="C207" i="25"/>
  <c r="E208" i="13"/>
  <c r="F208" i="13" s="1"/>
  <c r="C205" i="25"/>
  <c r="E206" i="13"/>
  <c r="F206" i="13" s="1"/>
  <c r="C203" i="25"/>
  <c r="E204" i="13"/>
  <c r="F204" i="13" s="1"/>
  <c r="C201" i="25"/>
  <c r="E202" i="13"/>
  <c r="F202" i="13" s="1"/>
  <c r="C199" i="25"/>
  <c r="E200" i="13"/>
  <c r="F200" i="13" s="1"/>
  <c r="C197" i="25"/>
  <c r="E198" i="13"/>
  <c r="F198" i="13" s="1"/>
  <c r="C195" i="25"/>
  <c r="E196" i="13"/>
  <c r="F196" i="13" s="1"/>
  <c r="C193" i="25"/>
  <c r="E194" i="13"/>
  <c r="F194" i="13" s="1"/>
  <c r="C191" i="25"/>
  <c r="E192" i="13"/>
  <c r="F192" i="13" s="1"/>
  <c r="C189" i="25"/>
  <c r="E190" i="13"/>
  <c r="F190" i="13" s="1"/>
  <c r="C187" i="25"/>
  <c r="E188" i="13"/>
  <c r="F188" i="13" s="1"/>
  <c r="C144" i="25"/>
  <c r="E145" i="13"/>
  <c r="F145" i="13" s="1"/>
  <c r="C142" i="25"/>
  <c r="E143" i="13"/>
  <c r="F143" i="13" s="1"/>
  <c r="C140" i="25"/>
  <c r="E141" i="13"/>
  <c r="F141" i="13" s="1"/>
  <c r="C138" i="25"/>
  <c r="E139" i="13"/>
  <c r="F139" i="13" s="1"/>
  <c r="C136" i="25"/>
  <c r="E137" i="13"/>
  <c r="F137" i="13" s="1"/>
  <c r="C134" i="25"/>
  <c r="E135" i="13"/>
  <c r="F135" i="13" s="1"/>
  <c r="C132" i="25"/>
  <c r="E133" i="13"/>
  <c r="F133" i="13" s="1"/>
  <c r="C130" i="25"/>
  <c r="E131" i="13"/>
  <c r="F131" i="13" s="1"/>
  <c r="C128" i="25"/>
  <c r="E129" i="13"/>
  <c r="F129" i="13" s="1"/>
  <c r="C126" i="25"/>
  <c r="E127" i="13"/>
  <c r="F127" i="13" s="1"/>
  <c r="C124" i="25"/>
  <c r="E125" i="13"/>
  <c r="F125" i="13" s="1"/>
  <c r="C122" i="25"/>
  <c r="E123" i="13"/>
  <c r="F123" i="13" s="1"/>
  <c r="E103" i="13"/>
  <c r="F103" i="13" s="1"/>
  <c r="C102" i="25"/>
  <c r="C100" i="25"/>
  <c r="E101" i="13"/>
  <c r="F101" i="13" s="1"/>
  <c r="C92" i="25"/>
  <c r="E93" i="13"/>
  <c r="F93" i="13" s="1"/>
  <c r="C84" i="25"/>
  <c r="E85" i="13"/>
  <c r="F85" i="13" s="1"/>
  <c r="C76" i="25"/>
  <c r="E77" i="13"/>
  <c r="F77" i="13" s="1"/>
  <c r="C68" i="25"/>
  <c r="E69" i="13"/>
  <c r="F69" i="13" s="1"/>
  <c r="L304" i="19"/>
  <c r="C283" i="25"/>
  <c r="E284" i="13"/>
  <c r="F284" i="13" s="1"/>
  <c r="C275" i="25"/>
  <c r="E276" i="13"/>
  <c r="F276" i="13" s="1"/>
  <c r="C266" i="25"/>
  <c r="E267" i="13"/>
  <c r="F267" i="13" s="1"/>
  <c r="C258" i="25"/>
  <c r="E259" i="13"/>
  <c r="F259" i="13" s="1"/>
  <c r="C250" i="25"/>
  <c r="E251" i="13"/>
  <c r="F251" i="13" s="1"/>
  <c r="C242" i="25"/>
  <c r="E243" i="13"/>
  <c r="F243" i="13" s="1"/>
  <c r="C234" i="25"/>
  <c r="E235" i="13"/>
  <c r="F235" i="13" s="1"/>
  <c r="C226" i="25"/>
  <c r="E227" i="13"/>
  <c r="F227" i="13" s="1"/>
  <c r="C218" i="25"/>
  <c r="E219" i="13"/>
  <c r="F219" i="13" s="1"/>
  <c r="C210" i="25"/>
  <c r="E211" i="13"/>
  <c r="F211" i="13" s="1"/>
  <c r="C208" i="25"/>
  <c r="E209" i="13"/>
  <c r="F209" i="13" s="1"/>
  <c r="L176" i="19"/>
  <c r="F176" i="49" s="1"/>
  <c r="G176" i="49" s="1"/>
  <c r="L172" i="19"/>
  <c r="L168" i="19"/>
  <c r="F168" i="49" s="1"/>
  <c r="G168" i="49" s="1"/>
  <c r="L164" i="19"/>
  <c r="L160" i="19"/>
  <c r="F160" i="49" s="1"/>
  <c r="G160" i="49" s="1"/>
  <c r="L156" i="19"/>
  <c r="C145" i="25"/>
  <c r="E146" i="13"/>
  <c r="F146" i="13" s="1"/>
  <c r="C143" i="25"/>
  <c r="E144" i="13"/>
  <c r="F144" i="13" s="1"/>
  <c r="C141" i="25"/>
  <c r="E142" i="13"/>
  <c r="F142" i="13" s="1"/>
  <c r="C139" i="25"/>
  <c r="E140" i="13"/>
  <c r="F140" i="13" s="1"/>
  <c r="C137" i="25"/>
  <c r="E138" i="13"/>
  <c r="F138" i="13" s="1"/>
  <c r="C135" i="25"/>
  <c r="E136" i="13"/>
  <c r="F136" i="13" s="1"/>
  <c r="C133" i="25"/>
  <c r="E134" i="13"/>
  <c r="F134" i="13" s="1"/>
  <c r="C131" i="25"/>
  <c r="E132" i="13"/>
  <c r="F132" i="13" s="1"/>
  <c r="C129" i="25"/>
  <c r="E130" i="13"/>
  <c r="F130" i="13" s="1"/>
  <c r="C127" i="25"/>
  <c r="E128" i="13"/>
  <c r="F128" i="13" s="1"/>
  <c r="C125" i="25"/>
  <c r="E126" i="13"/>
  <c r="F126" i="13" s="1"/>
  <c r="C123" i="25"/>
  <c r="E124" i="13"/>
  <c r="F124" i="13" s="1"/>
  <c r="C103" i="25"/>
  <c r="E104" i="13"/>
  <c r="F104" i="13" s="1"/>
  <c r="C93" i="25"/>
  <c r="E94" i="13"/>
  <c r="F94" i="13" s="1"/>
  <c r="C85" i="25"/>
  <c r="E86" i="13"/>
  <c r="F86" i="13" s="1"/>
  <c r="C77" i="25"/>
  <c r="E78" i="13"/>
  <c r="F78" i="13" s="1"/>
  <c r="C69" i="25"/>
  <c r="E70" i="13"/>
  <c r="F70" i="13" s="1"/>
  <c r="L303" i="19"/>
  <c r="C291" i="25"/>
  <c r="E292" i="13"/>
  <c r="F292" i="13" s="1"/>
  <c r="C295" i="25"/>
  <c r="E296" i="13"/>
  <c r="F296" i="13" s="1"/>
  <c r="C293" i="25"/>
  <c r="E294" i="13"/>
  <c r="F294" i="13" s="1"/>
  <c r="C292" i="25"/>
  <c r="E293" i="13"/>
  <c r="F293" i="13" s="1"/>
  <c r="L290" i="19"/>
  <c r="L289" i="19"/>
  <c r="C284" i="25"/>
  <c r="E285" i="13"/>
  <c r="F285" i="13" s="1"/>
  <c r="L281" i="19"/>
  <c r="C276" i="25"/>
  <c r="E277" i="13"/>
  <c r="F277" i="13" s="1"/>
  <c r="L273" i="19"/>
  <c r="C267" i="25"/>
  <c r="E268" i="13"/>
  <c r="F268" i="13" s="1"/>
  <c r="C259" i="25"/>
  <c r="E260" i="13"/>
  <c r="F260" i="13" s="1"/>
  <c r="L256" i="19"/>
  <c r="C251" i="25"/>
  <c r="E252" i="13"/>
  <c r="F252" i="13" s="1"/>
  <c r="C243" i="25"/>
  <c r="E244" i="13"/>
  <c r="F244" i="13" s="1"/>
  <c r="C235" i="25"/>
  <c r="E236" i="13"/>
  <c r="F236" i="13" s="1"/>
  <c r="C227" i="25"/>
  <c r="E228" i="13"/>
  <c r="F228" i="13" s="1"/>
  <c r="C219" i="25"/>
  <c r="E220" i="13"/>
  <c r="F220" i="13" s="1"/>
  <c r="L216" i="19"/>
  <c r="C211" i="25"/>
  <c r="E212" i="13"/>
  <c r="F212" i="13" s="1"/>
  <c r="C209" i="25"/>
  <c r="E210" i="13"/>
  <c r="F210" i="13" s="1"/>
  <c r="L187" i="19"/>
  <c r="L184" i="19"/>
  <c r="F184" i="49" s="1"/>
  <c r="G184" i="49" s="1"/>
  <c r="L180" i="19"/>
  <c r="C152" i="25"/>
  <c r="E153" i="13"/>
  <c r="F153" i="13" s="1"/>
  <c r="E151" i="13"/>
  <c r="F151" i="13" s="1"/>
  <c r="C150" i="25"/>
  <c r="C148" i="25"/>
  <c r="E149" i="13"/>
  <c r="F149" i="13" s="1"/>
  <c r="C146" i="25"/>
  <c r="E147" i="13"/>
  <c r="F147" i="13" s="1"/>
  <c r="C104" i="25"/>
  <c r="E105" i="13"/>
  <c r="F105" i="13" s="1"/>
  <c r="C94" i="25"/>
  <c r="E95" i="13"/>
  <c r="F95" i="13" s="1"/>
  <c r="E87" i="13"/>
  <c r="F87" i="13" s="1"/>
  <c r="C86" i="25"/>
  <c r="C78" i="25"/>
  <c r="E79" i="13"/>
  <c r="F79" i="13" s="1"/>
  <c r="E71" i="13"/>
  <c r="F71" i="13" s="1"/>
  <c r="C70" i="25"/>
  <c r="L305" i="19"/>
  <c r="C299" i="25"/>
  <c r="E300" i="13"/>
  <c r="F300" i="13" s="1"/>
  <c r="C297" i="25"/>
  <c r="E298" i="13"/>
  <c r="F298" i="13" s="1"/>
  <c r="C296" i="25"/>
  <c r="E297" i="13"/>
  <c r="F297" i="13" s="1"/>
  <c r="C294" i="25"/>
  <c r="E295" i="13"/>
  <c r="F295" i="13" s="1"/>
  <c r="C285" i="25"/>
  <c r="E286" i="13"/>
  <c r="F286" i="13" s="1"/>
  <c r="C277" i="25"/>
  <c r="E278" i="13"/>
  <c r="F278" i="13" s="1"/>
  <c r="C268" i="25"/>
  <c r="E269" i="13"/>
  <c r="F269" i="13" s="1"/>
  <c r="L265" i="19"/>
  <c r="C260" i="25"/>
  <c r="E261" i="13"/>
  <c r="F261" i="13" s="1"/>
  <c r="L257" i="19"/>
  <c r="C252" i="25"/>
  <c r="E253" i="13"/>
  <c r="F253" i="13" s="1"/>
  <c r="C244" i="25"/>
  <c r="E245" i="13"/>
  <c r="F245" i="13" s="1"/>
  <c r="C236" i="25"/>
  <c r="E237" i="13"/>
  <c r="F237" i="13" s="1"/>
  <c r="C228" i="25"/>
  <c r="E229" i="13"/>
  <c r="F229" i="13" s="1"/>
  <c r="L225" i="19"/>
  <c r="C220" i="25"/>
  <c r="E221" i="13"/>
  <c r="F221" i="13" s="1"/>
  <c r="C212" i="25"/>
  <c r="E213" i="13"/>
  <c r="F213" i="13" s="1"/>
  <c r="L209" i="19"/>
  <c r="C153" i="25"/>
  <c r="E154" i="13"/>
  <c r="F154" i="13" s="1"/>
  <c r="C151" i="25"/>
  <c r="E152" i="13"/>
  <c r="F152" i="13" s="1"/>
  <c r="C149" i="25"/>
  <c r="E150" i="13"/>
  <c r="F150" i="13" s="1"/>
  <c r="C147" i="25"/>
  <c r="E148" i="13"/>
  <c r="F148" i="13" s="1"/>
  <c r="L123" i="19"/>
  <c r="L116" i="19"/>
  <c r="L112" i="19"/>
  <c r="F112" i="49" s="1"/>
  <c r="G112" i="49" s="1"/>
  <c r="C105" i="25"/>
  <c r="E106" i="13"/>
  <c r="F106" i="13" s="1"/>
  <c r="L100" i="19"/>
  <c r="C95" i="25"/>
  <c r="E96" i="13"/>
  <c r="F96" i="13" s="1"/>
  <c r="C87" i="25"/>
  <c r="E88" i="13"/>
  <c r="F88" i="13" s="1"/>
  <c r="C79" i="25"/>
  <c r="E80" i="13"/>
  <c r="F80" i="13" s="1"/>
  <c r="C71" i="25"/>
  <c r="E72" i="13"/>
  <c r="F72" i="13" s="1"/>
  <c r="C63" i="25"/>
  <c r="E64" i="13"/>
  <c r="F64" i="13" s="1"/>
  <c r="F37" i="13"/>
  <c r="F21" i="13"/>
  <c r="F23" i="13"/>
  <c r="L272" i="19"/>
  <c r="L249" i="19"/>
  <c r="L245" i="19"/>
  <c r="L237" i="19"/>
  <c r="L233" i="19"/>
  <c r="L270" i="19"/>
  <c r="L242" i="19"/>
  <c r="L50" i="19"/>
  <c r="L222" i="19"/>
  <c r="L268" i="19"/>
  <c r="L260" i="19"/>
  <c r="L252" i="19"/>
  <c r="L251" i="19"/>
  <c r="L247" i="19"/>
  <c r="L243" i="19"/>
  <c r="L239" i="19"/>
  <c r="L235" i="19"/>
  <c r="L231" i="19"/>
  <c r="L227" i="19"/>
  <c r="L223" i="19"/>
  <c r="L219" i="19"/>
  <c r="L217" i="19"/>
  <c r="L264" i="19"/>
  <c r="L241" i="19"/>
  <c r="L262" i="19"/>
  <c r="L254" i="19"/>
  <c r="L274" i="19"/>
  <c r="L266" i="19"/>
  <c r="L258" i="19"/>
  <c r="L248" i="19"/>
  <c r="L244" i="19"/>
  <c r="L240" i="19"/>
  <c r="L236" i="19"/>
  <c r="L232" i="19"/>
  <c r="L224" i="19"/>
  <c r="L220" i="19"/>
  <c r="L212" i="19"/>
  <c r="L210" i="19"/>
  <c r="L202" i="19"/>
  <c r="L194" i="19"/>
  <c r="L186" i="19"/>
  <c r="L178" i="19"/>
  <c r="L170" i="19"/>
  <c r="L162" i="19"/>
  <c r="L154" i="19"/>
  <c r="L146" i="19"/>
  <c r="L138" i="19"/>
  <c r="L130" i="19"/>
  <c r="L122" i="19"/>
  <c r="L114" i="19"/>
  <c r="L18" i="19"/>
  <c r="L208" i="19"/>
  <c r="L104" i="19"/>
  <c r="L99" i="19"/>
  <c r="L95" i="19"/>
  <c r="L91" i="19"/>
  <c r="L87" i="19"/>
  <c r="L83" i="19"/>
  <c r="L79" i="19"/>
  <c r="L75" i="19"/>
  <c r="L71" i="19"/>
  <c r="L67" i="19"/>
  <c r="L206" i="19"/>
  <c r="L198" i="19"/>
  <c r="L190" i="19"/>
  <c r="L182" i="19"/>
  <c r="L174" i="19"/>
  <c r="L166" i="19"/>
  <c r="L158" i="19"/>
  <c r="L150" i="19"/>
  <c r="L142" i="19"/>
  <c r="L134" i="19"/>
  <c r="L126" i="19"/>
  <c r="L118" i="19"/>
  <c r="L107" i="19"/>
  <c r="L105" i="19"/>
  <c r="L98" i="19"/>
  <c r="L94" i="19"/>
  <c r="L90" i="19"/>
  <c r="L86" i="19"/>
  <c r="L82" i="19"/>
  <c r="L78" i="19"/>
  <c r="L74" i="19"/>
  <c r="L70" i="19"/>
  <c r="L66" i="19"/>
  <c r="L42" i="19"/>
  <c r="L10" i="19"/>
  <c r="L111" i="19"/>
  <c r="L103" i="19"/>
  <c r="L97" i="19"/>
  <c r="L93" i="19"/>
  <c r="L89" i="19"/>
  <c r="L85" i="19"/>
  <c r="L81" i="19"/>
  <c r="L77" i="19"/>
  <c r="L73" i="19"/>
  <c r="L69" i="19"/>
  <c r="L65" i="19"/>
  <c r="L34" i="19"/>
  <c r="L109" i="19"/>
  <c r="L101" i="19"/>
  <c r="L96" i="19"/>
  <c r="L92" i="19"/>
  <c r="L88" i="19"/>
  <c r="L84" i="19"/>
  <c r="L80" i="19"/>
  <c r="L76" i="19"/>
  <c r="L72" i="19"/>
  <c r="L68" i="19"/>
  <c r="L58" i="19"/>
  <c r="L26" i="19"/>
  <c r="L56" i="19"/>
  <c r="L48" i="19"/>
  <c r="L40" i="19"/>
  <c r="L32" i="19"/>
  <c r="L24" i="19"/>
  <c r="L16" i="19"/>
  <c r="L8" i="19"/>
  <c r="L62" i="19"/>
  <c r="L54" i="19"/>
  <c r="L46" i="19"/>
  <c r="L38" i="19"/>
  <c r="L30" i="19"/>
  <c r="L22" i="19"/>
  <c r="L14" i="19"/>
  <c r="L60" i="19"/>
  <c r="L52" i="19"/>
  <c r="L44" i="19"/>
  <c r="L36" i="19"/>
  <c r="L28" i="19"/>
  <c r="L20" i="19"/>
  <c r="L12" i="19"/>
  <c r="P176" i="19" l="1"/>
  <c r="R176" i="19" s="1"/>
  <c r="C176" i="39" s="1"/>
  <c r="P144" i="19"/>
  <c r="R144" i="19" s="1"/>
  <c r="E143" i="25" s="1"/>
  <c r="P234" i="19"/>
  <c r="R234" i="19" s="1"/>
  <c r="C234" i="12" s="1"/>
  <c r="P250" i="19"/>
  <c r="R250" i="19" s="1"/>
  <c r="C250" i="12" s="1"/>
  <c r="P191" i="19"/>
  <c r="R191" i="19" s="1"/>
  <c r="C191" i="13" s="1"/>
  <c r="P183" i="19"/>
  <c r="R183" i="19" s="1"/>
  <c r="E182" i="25" s="1"/>
  <c r="P136" i="19"/>
  <c r="R136" i="19" s="1"/>
  <c r="J136" i="49" s="1"/>
  <c r="F102" i="49"/>
  <c r="G102" i="49" s="1"/>
  <c r="P205" i="19"/>
  <c r="R205" i="19" s="1"/>
  <c r="C205" i="39" s="1"/>
  <c r="P218" i="19"/>
  <c r="R218" i="19" s="1"/>
  <c r="C218" i="12" s="1"/>
  <c r="P185" i="19"/>
  <c r="R185" i="19" s="1"/>
  <c r="P152" i="19"/>
  <c r="R152" i="19" s="1"/>
  <c r="C152" i="12" s="1"/>
  <c r="F59" i="49"/>
  <c r="G59" i="49" s="1"/>
  <c r="F145" i="49"/>
  <c r="G145" i="49" s="1"/>
  <c r="P160" i="19"/>
  <c r="R160" i="19" s="1"/>
  <c r="C160" i="33" s="1"/>
  <c r="F35" i="49"/>
  <c r="G35" i="49" s="1"/>
  <c r="P11" i="19"/>
  <c r="R11" i="19" s="1"/>
  <c r="C11" i="33" s="1"/>
  <c r="F181" i="49"/>
  <c r="G181" i="49" s="1"/>
  <c r="F13" i="49"/>
  <c r="G13" i="49" s="1"/>
  <c r="P192" i="19"/>
  <c r="R192" i="19" s="1"/>
  <c r="E191" i="25" s="1"/>
  <c r="P230" i="19"/>
  <c r="R230" i="19" s="1"/>
  <c r="C230" i="12" s="1"/>
  <c r="F161" i="49"/>
  <c r="G161" i="49" s="1"/>
  <c r="P57" i="19"/>
  <c r="R57" i="19" s="1"/>
  <c r="C57" i="13" s="1"/>
  <c r="P128" i="19"/>
  <c r="R128" i="19" s="1"/>
  <c r="J128" i="49" s="1"/>
  <c r="P294" i="19"/>
  <c r="R294" i="19" s="1"/>
  <c r="C300" i="9" s="1"/>
  <c r="P238" i="19"/>
  <c r="R238" i="19" s="1"/>
  <c r="C244" i="9" s="1"/>
  <c r="F207" i="49"/>
  <c r="G207" i="49" s="1"/>
  <c r="F163" i="49"/>
  <c r="G163" i="49" s="1"/>
  <c r="F110" i="49"/>
  <c r="G110" i="49" s="1"/>
  <c r="F51" i="49"/>
  <c r="G51" i="49" s="1"/>
  <c r="P199" i="19"/>
  <c r="R199" i="19" s="1"/>
  <c r="C199" i="12" s="1"/>
  <c r="F125" i="49"/>
  <c r="G125" i="49" s="1"/>
  <c r="P133" i="19"/>
  <c r="R133" i="19" s="1"/>
  <c r="C133" i="33" s="1"/>
  <c r="P200" i="19"/>
  <c r="R200" i="19" s="1"/>
  <c r="C206" i="9" s="1"/>
  <c r="P179" i="19"/>
  <c r="R179" i="19" s="1"/>
  <c r="J179" i="49" s="1"/>
  <c r="F276" i="49"/>
  <c r="G276" i="49" s="1"/>
  <c r="P197" i="19"/>
  <c r="R197" i="19" s="1"/>
  <c r="C203" i="9" s="1"/>
  <c r="F139" i="49"/>
  <c r="G139" i="49" s="1"/>
  <c r="P27" i="19"/>
  <c r="R27" i="19" s="1"/>
  <c r="C27" i="39" s="1"/>
  <c r="P153" i="19"/>
  <c r="R153" i="19" s="1"/>
  <c r="C153" i="33" s="1"/>
  <c r="P43" i="19"/>
  <c r="R43" i="19" s="1"/>
  <c r="C43" i="12" s="1"/>
  <c r="P211" i="19"/>
  <c r="R211" i="19" s="1"/>
  <c r="C217" i="9" s="1"/>
  <c r="F296" i="49"/>
  <c r="G296" i="49" s="1"/>
  <c r="P184" i="19"/>
  <c r="R184" i="19" s="1"/>
  <c r="E183" i="25" s="1"/>
  <c r="P193" i="19"/>
  <c r="R193" i="19" s="1"/>
  <c r="C193" i="12" s="1"/>
  <c r="P19" i="19"/>
  <c r="R19" i="19" s="1"/>
  <c r="C25" i="9" s="1"/>
  <c r="P157" i="19"/>
  <c r="R157" i="19" s="1"/>
  <c r="E156" i="25" s="1"/>
  <c r="P203" i="19"/>
  <c r="R203" i="19" s="1"/>
  <c r="J203" i="49" s="1"/>
  <c r="P141" i="19"/>
  <c r="R141" i="19" s="1"/>
  <c r="E140" i="25" s="1"/>
  <c r="P129" i="19"/>
  <c r="R129" i="19" s="1"/>
  <c r="C135" i="9" s="1"/>
  <c r="P177" i="19"/>
  <c r="R177" i="19" s="1"/>
  <c r="J177" i="49" s="1"/>
  <c r="P131" i="19"/>
  <c r="R131" i="19" s="1"/>
  <c r="C131" i="33" s="1"/>
  <c r="F292" i="49"/>
  <c r="G292" i="49" s="1"/>
  <c r="P165" i="19"/>
  <c r="R165" i="19" s="1"/>
  <c r="C171" i="9" s="1"/>
  <c r="P284" i="19"/>
  <c r="R284" i="19" s="1"/>
  <c r="J284" i="49" s="1"/>
  <c r="P171" i="19"/>
  <c r="R171" i="19" s="1"/>
  <c r="E170" i="25" s="1"/>
  <c r="P41" i="19"/>
  <c r="R41" i="19" s="1"/>
  <c r="C41" i="33" s="1"/>
  <c r="P246" i="19"/>
  <c r="R246" i="19" s="1"/>
  <c r="C246" i="13" s="1"/>
  <c r="F291" i="49"/>
  <c r="G291" i="49" s="1"/>
  <c r="P127" i="19"/>
  <c r="R127" i="19" s="1"/>
  <c r="J127" i="49" s="1"/>
  <c r="P149" i="19"/>
  <c r="R149" i="19" s="1"/>
  <c r="C149" i="33" s="1"/>
  <c r="P135" i="19"/>
  <c r="R135" i="19" s="1"/>
  <c r="C141" i="9" s="1"/>
  <c r="P112" i="19"/>
  <c r="R112" i="19" s="1"/>
  <c r="C118" i="9" s="1"/>
  <c r="F283" i="49"/>
  <c r="G283" i="49" s="1"/>
  <c r="P173" i="19"/>
  <c r="R173" i="19" s="1"/>
  <c r="C173" i="39" s="1"/>
  <c r="P115" i="19"/>
  <c r="R115" i="19" s="1"/>
  <c r="E114" i="25" s="1"/>
  <c r="P189" i="19"/>
  <c r="R189" i="19" s="1"/>
  <c r="C189" i="13" s="1"/>
  <c r="P15" i="19"/>
  <c r="R15" i="19" s="1"/>
  <c r="J15" i="49" s="1"/>
  <c r="P201" i="19"/>
  <c r="R201" i="19" s="1"/>
  <c r="J201" i="49" s="1"/>
  <c r="P168" i="19"/>
  <c r="R168" i="19" s="1"/>
  <c r="C174" i="9" s="1"/>
  <c r="P226" i="19"/>
  <c r="R226" i="19" s="1"/>
  <c r="E225" i="25" s="1"/>
  <c r="P25" i="19"/>
  <c r="R25" i="19" s="1"/>
  <c r="J25" i="49" s="1"/>
  <c r="P33" i="19"/>
  <c r="R33" i="19" s="1"/>
  <c r="C39" i="9" s="1"/>
  <c r="P49" i="19"/>
  <c r="R49" i="19" s="1"/>
  <c r="C49" i="39" s="1"/>
  <c r="P195" i="19"/>
  <c r="R195" i="19" s="1"/>
  <c r="E194" i="25" s="1"/>
  <c r="P109" i="19"/>
  <c r="R109" i="19" s="1"/>
  <c r="F109" i="49"/>
  <c r="G109" i="49" s="1"/>
  <c r="P28" i="19"/>
  <c r="R28" i="19" s="1"/>
  <c r="F28" i="49"/>
  <c r="G28" i="49" s="1"/>
  <c r="P38" i="19"/>
  <c r="R38" i="19" s="1"/>
  <c r="F38" i="49"/>
  <c r="G38" i="49" s="1"/>
  <c r="P40" i="19"/>
  <c r="R40" i="19" s="1"/>
  <c r="F40" i="49"/>
  <c r="G40" i="49" s="1"/>
  <c r="P80" i="19"/>
  <c r="R80" i="19" s="1"/>
  <c r="F80" i="49"/>
  <c r="G80" i="49" s="1"/>
  <c r="P65" i="19"/>
  <c r="R65" i="19" s="1"/>
  <c r="F65" i="49"/>
  <c r="G65" i="49" s="1"/>
  <c r="P97" i="19"/>
  <c r="R97" i="19" s="1"/>
  <c r="F97" i="49"/>
  <c r="G97" i="49" s="1"/>
  <c r="P78" i="19"/>
  <c r="R78" i="19" s="1"/>
  <c r="F78" i="49"/>
  <c r="G78" i="49" s="1"/>
  <c r="P118" i="19"/>
  <c r="R118" i="19" s="1"/>
  <c r="F118" i="49"/>
  <c r="G118" i="49" s="1"/>
  <c r="P182" i="19"/>
  <c r="R182" i="19" s="1"/>
  <c r="F182" i="49"/>
  <c r="G182" i="49" s="1"/>
  <c r="P83" i="19"/>
  <c r="R83" i="19" s="1"/>
  <c r="F83" i="49"/>
  <c r="G83" i="49" s="1"/>
  <c r="P146" i="19"/>
  <c r="R146" i="19" s="1"/>
  <c r="F146" i="49"/>
  <c r="G146" i="49" s="1"/>
  <c r="P210" i="19"/>
  <c r="R210" i="19" s="1"/>
  <c r="F210" i="49"/>
  <c r="G210" i="49" s="1"/>
  <c r="P244" i="19"/>
  <c r="R244" i="19" s="1"/>
  <c r="F244" i="49"/>
  <c r="G244" i="49" s="1"/>
  <c r="P227" i="19"/>
  <c r="R227" i="19" s="1"/>
  <c r="F227" i="49"/>
  <c r="G227" i="49" s="1"/>
  <c r="P260" i="19"/>
  <c r="R260" i="19" s="1"/>
  <c r="F260" i="49"/>
  <c r="G260" i="49" s="1"/>
  <c r="P270" i="19"/>
  <c r="R270" i="19" s="1"/>
  <c r="F270" i="49"/>
  <c r="G270" i="49" s="1"/>
  <c r="P116" i="19"/>
  <c r="R116" i="19" s="1"/>
  <c r="F116" i="49"/>
  <c r="G116" i="49" s="1"/>
  <c r="P225" i="19"/>
  <c r="R225" i="19" s="1"/>
  <c r="F225" i="49"/>
  <c r="G225" i="49" s="1"/>
  <c r="P280" i="19"/>
  <c r="R280" i="19" s="1"/>
  <c r="F280" i="49"/>
  <c r="G280" i="49" s="1"/>
  <c r="P301" i="19"/>
  <c r="R301" i="19" s="1"/>
  <c r="F301" i="49"/>
  <c r="G301" i="49" s="1"/>
  <c r="P253" i="19"/>
  <c r="R253" i="19" s="1"/>
  <c r="F253" i="49"/>
  <c r="G253" i="49" s="1"/>
  <c r="P277" i="19"/>
  <c r="R277" i="19" s="1"/>
  <c r="F277" i="49"/>
  <c r="G277" i="49" s="1"/>
  <c r="P108" i="19"/>
  <c r="R108" i="19" s="1"/>
  <c r="F108" i="49"/>
  <c r="G108" i="49" s="1"/>
  <c r="F169" i="49"/>
  <c r="G169" i="49" s="1"/>
  <c r="P169" i="19"/>
  <c r="R169" i="19" s="1"/>
  <c r="E290" i="25"/>
  <c r="J291" i="49"/>
  <c r="C291" i="39"/>
  <c r="C291" i="12"/>
  <c r="C291" i="13"/>
  <c r="C291" i="33"/>
  <c r="C297" i="9"/>
  <c r="F167" i="49"/>
  <c r="G167" i="49" s="1"/>
  <c r="P167" i="19"/>
  <c r="R167" i="19" s="1"/>
  <c r="E34" i="25"/>
  <c r="J35" i="49"/>
  <c r="C35" i="39"/>
  <c r="C35" i="13"/>
  <c r="C35" i="12"/>
  <c r="C35" i="33"/>
  <c r="C41" i="9"/>
  <c r="E50" i="25"/>
  <c r="J51" i="49"/>
  <c r="C51" i="13"/>
  <c r="C51" i="39"/>
  <c r="C51" i="12"/>
  <c r="C51" i="33"/>
  <c r="C57" i="9"/>
  <c r="F117" i="49"/>
  <c r="G117" i="49" s="1"/>
  <c r="P117" i="19"/>
  <c r="R117" i="19" s="1"/>
  <c r="P12" i="19"/>
  <c r="R12" i="19" s="1"/>
  <c r="F12" i="49"/>
  <c r="G12" i="49" s="1"/>
  <c r="P48" i="19"/>
  <c r="R48" i="19" s="1"/>
  <c r="F48" i="49"/>
  <c r="G48" i="49" s="1"/>
  <c r="P69" i="19"/>
  <c r="R69" i="19" s="1"/>
  <c r="F69" i="49"/>
  <c r="G69" i="49" s="1"/>
  <c r="P103" i="19"/>
  <c r="R103" i="19" s="1"/>
  <c r="F103" i="49"/>
  <c r="G103" i="49" s="1"/>
  <c r="P82" i="19"/>
  <c r="R82" i="19" s="1"/>
  <c r="F82" i="49"/>
  <c r="G82" i="49" s="1"/>
  <c r="P126" i="19"/>
  <c r="R126" i="19" s="1"/>
  <c r="F126" i="49"/>
  <c r="G126" i="49" s="1"/>
  <c r="P190" i="19"/>
  <c r="R190" i="19" s="1"/>
  <c r="F190" i="49"/>
  <c r="G190" i="49" s="1"/>
  <c r="P87" i="19"/>
  <c r="R87" i="19" s="1"/>
  <c r="F87" i="49"/>
  <c r="G87" i="49" s="1"/>
  <c r="P154" i="19"/>
  <c r="R154" i="19" s="1"/>
  <c r="F154" i="49"/>
  <c r="G154" i="49" s="1"/>
  <c r="P212" i="19"/>
  <c r="R212" i="19" s="1"/>
  <c r="F212" i="49"/>
  <c r="G212" i="49" s="1"/>
  <c r="P248" i="19"/>
  <c r="R248" i="19" s="1"/>
  <c r="F248" i="49"/>
  <c r="G248" i="49" s="1"/>
  <c r="P254" i="19"/>
  <c r="R254" i="19" s="1"/>
  <c r="F254" i="49"/>
  <c r="G254" i="49" s="1"/>
  <c r="P231" i="19"/>
  <c r="R231" i="19" s="1"/>
  <c r="F231" i="49"/>
  <c r="G231" i="49" s="1"/>
  <c r="P268" i="19"/>
  <c r="R268" i="19" s="1"/>
  <c r="F268" i="49"/>
  <c r="G268" i="49" s="1"/>
  <c r="P233" i="19"/>
  <c r="R233" i="19" s="1"/>
  <c r="F233" i="49"/>
  <c r="G233" i="49" s="1"/>
  <c r="P257" i="19"/>
  <c r="R257" i="19" s="1"/>
  <c r="F257" i="49"/>
  <c r="G257" i="49" s="1"/>
  <c r="P289" i="19"/>
  <c r="R289" i="19" s="1"/>
  <c r="F289" i="49"/>
  <c r="G289" i="49" s="1"/>
  <c r="P172" i="19"/>
  <c r="R172" i="19" s="1"/>
  <c r="F172" i="49"/>
  <c r="G172" i="49" s="1"/>
  <c r="P304" i="19"/>
  <c r="R304" i="19" s="1"/>
  <c r="F304" i="49"/>
  <c r="G304" i="49" s="1"/>
  <c r="P214" i="19"/>
  <c r="R214" i="19" s="1"/>
  <c r="F214" i="49"/>
  <c r="G214" i="49" s="1"/>
  <c r="P297" i="19"/>
  <c r="R297" i="19" s="1"/>
  <c r="F297" i="49"/>
  <c r="G297" i="49" s="1"/>
  <c r="P278" i="19"/>
  <c r="R278" i="19" s="1"/>
  <c r="F278" i="49"/>
  <c r="G278" i="49" s="1"/>
  <c r="P293" i="19"/>
  <c r="R293" i="19" s="1"/>
  <c r="F293" i="49"/>
  <c r="G293" i="49" s="1"/>
  <c r="P140" i="19"/>
  <c r="R140" i="19" s="1"/>
  <c r="F140" i="49"/>
  <c r="G140" i="49" s="1"/>
  <c r="E291" i="25"/>
  <c r="J292" i="49"/>
  <c r="C292" i="39"/>
  <c r="C292" i="12"/>
  <c r="C292" i="13"/>
  <c r="C298" i="9"/>
  <c r="C292" i="33"/>
  <c r="F31" i="49"/>
  <c r="G31" i="49" s="1"/>
  <c r="P31" i="19"/>
  <c r="R31" i="19" s="1"/>
  <c r="J207" i="49"/>
  <c r="E206" i="25"/>
  <c r="C207" i="13"/>
  <c r="C207" i="39"/>
  <c r="C207" i="12"/>
  <c r="C213" i="9"/>
  <c r="C207" i="33"/>
  <c r="F37" i="49"/>
  <c r="G37" i="49" s="1"/>
  <c r="P37" i="19"/>
  <c r="R37" i="19" s="1"/>
  <c r="E162" i="25"/>
  <c r="J163" i="49"/>
  <c r="C163" i="39"/>
  <c r="C163" i="12"/>
  <c r="C163" i="13"/>
  <c r="C163" i="33"/>
  <c r="C169" i="9"/>
  <c r="P7" i="19"/>
  <c r="R7" i="19" s="1"/>
  <c r="F7" i="49"/>
  <c r="G7" i="49" s="1"/>
  <c r="P72" i="19"/>
  <c r="R72" i="19" s="1"/>
  <c r="F72" i="49"/>
  <c r="G72" i="49" s="1"/>
  <c r="P46" i="19"/>
  <c r="R46" i="19" s="1"/>
  <c r="F46" i="49"/>
  <c r="G46" i="49" s="1"/>
  <c r="P56" i="19"/>
  <c r="R56" i="19" s="1"/>
  <c r="F56" i="49"/>
  <c r="G56" i="49" s="1"/>
  <c r="P73" i="19"/>
  <c r="R73" i="19" s="1"/>
  <c r="F73" i="49"/>
  <c r="G73" i="49" s="1"/>
  <c r="P86" i="19"/>
  <c r="R86" i="19" s="1"/>
  <c r="F86" i="49"/>
  <c r="G86" i="49" s="1"/>
  <c r="P198" i="19"/>
  <c r="R198" i="19" s="1"/>
  <c r="F198" i="49"/>
  <c r="G198" i="49" s="1"/>
  <c r="P162" i="19"/>
  <c r="R162" i="19" s="1"/>
  <c r="F162" i="49"/>
  <c r="G162" i="49" s="1"/>
  <c r="P220" i="19"/>
  <c r="R220" i="19" s="1"/>
  <c r="F220" i="49"/>
  <c r="G220" i="49" s="1"/>
  <c r="P258" i="19"/>
  <c r="R258" i="19" s="1"/>
  <c r="F258" i="49"/>
  <c r="G258" i="49" s="1"/>
  <c r="P262" i="19"/>
  <c r="R262" i="19" s="1"/>
  <c r="F262" i="49"/>
  <c r="G262" i="49" s="1"/>
  <c r="P235" i="19"/>
  <c r="R235" i="19" s="1"/>
  <c r="F235" i="49"/>
  <c r="G235" i="49" s="1"/>
  <c r="P237" i="19"/>
  <c r="R237" i="19" s="1"/>
  <c r="F237" i="49"/>
  <c r="G237" i="49" s="1"/>
  <c r="P123" i="19"/>
  <c r="R123" i="19" s="1"/>
  <c r="F123" i="49"/>
  <c r="G123" i="49" s="1"/>
  <c r="P290" i="19"/>
  <c r="R290" i="19" s="1"/>
  <c r="F290" i="49"/>
  <c r="G290" i="49" s="1"/>
  <c r="P263" i="19"/>
  <c r="R263" i="19" s="1"/>
  <c r="F263" i="49"/>
  <c r="G263" i="49" s="1"/>
  <c r="P229" i="19"/>
  <c r="R229" i="19" s="1"/>
  <c r="F229" i="49"/>
  <c r="G229" i="49" s="1"/>
  <c r="P213" i="19"/>
  <c r="R213" i="19" s="1"/>
  <c r="F213" i="49"/>
  <c r="G213" i="49" s="1"/>
  <c r="P267" i="19"/>
  <c r="R267" i="19" s="1"/>
  <c r="F267" i="49"/>
  <c r="G267" i="49" s="1"/>
  <c r="E144" i="25"/>
  <c r="J145" i="49"/>
  <c r="C145" i="39"/>
  <c r="C145" i="12"/>
  <c r="C145" i="13"/>
  <c r="C145" i="33"/>
  <c r="C151" i="9"/>
  <c r="F55" i="49"/>
  <c r="G55" i="49" s="1"/>
  <c r="P55" i="19"/>
  <c r="R55" i="19" s="1"/>
  <c r="F61" i="49"/>
  <c r="G61" i="49" s="1"/>
  <c r="P61" i="19"/>
  <c r="R61" i="19" s="1"/>
  <c r="P22" i="19"/>
  <c r="R22" i="19" s="1"/>
  <c r="F22" i="49"/>
  <c r="G22" i="49" s="1"/>
  <c r="P84" i="19"/>
  <c r="R84" i="19" s="1"/>
  <c r="F84" i="49"/>
  <c r="G84" i="49" s="1"/>
  <c r="P44" i="19"/>
  <c r="R44" i="19" s="1"/>
  <c r="F44" i="49"/>
  <c r="G44" i="49" s="1"/>
  <c r="P54" i="19"/>
  <c r="R54" i="19" s="1"/>
  <c r="F54" i="49"/>
  <c r="G54" i="49" s="1"/>
  <c r="P88" i="19"/>
  <c r="R88" i="19" s="1"/>
  <c r="F88" i="49"/>
  <c r="G88" i="49" s="1"/>
  <c r="P111" i="19"/>
  <c r="R111" i="19" s="1"/>
  <c r="F111" i="49"/>
  <c r="G111" i="49" s="1"/>
  <c r="P134" i="19"/>
  <c r="R134" i="19" s="1"/>
  <c r="F134" i="49"/>
  <c r="G134" i="49" s="1"/>
  <c r="P91" i="19"/>
  <c r="R91" i="19" s="1"/>
  <c r="F91" i="49"/>
  <c r="G91" i="49" s="1"/>
  <c r="P208" i="19"/>
  <c r="R208" i="19" s="1"/>
  <c r="F208" i="49"/>
  <c r="G208" i="49" s="1"/>
  <c r="P52" i="19"/>
  <c r="R52" i="19" s="1"/>
  <c r="F52" i="49"/>
  <c r="G52" i="49" s="1"/>
  <c r="P62" i="19"/>
  <c r="R62" i="19" s="1"/>
  <c r="F62" i="49"/>
  <c r="G62" i="49" s="1"/>
  <c r="P26" i="19"/>
  <c r="R26" i="19" s="1"/>
  <c r="F26" i="49"/>
  <c r="G26" i="49" s="1"/>
  <c r="P92" i="19"/>
  <c r="R92" i="19" s="1"/>
  <c r="F92" i="49"/>
  <c r="G92" i="49" s="1"/>
  <c r="P77" i="19"/>
  <c r="R77" i="19" s="1"/>
  <c r="F77" i="49"/>
  <c r="G77" i="49" s="1"/>
  <c r="P10" i="19"/>
  <c r="R10" i="19" s="1"/>
  <c r="F10" i="49"/>
  <c r="G10" i="49" s="1"/>
  <c r="P90" i="19"/>
  <c r="R90" i="19" s="1"/>
  <c r="F90" i="49"/>
  <c r="G90" i="49" s="1"/>
  <c r="P142" i="19"/>
  <c r="R142" i="19" s="1"/>
  <c r="F142" i="49"/>
  <c r="G142" i="49" s="1"/>
  <c r="P206" i="19"/>
  <c r="R206" i="19" s="1"/>
  <c r="F206" i="49"/>
  <c r="G206" i="49" s="1"/>
  <c r="P95" i="19"/>
  <c r="R95" i="19" s="1"/>
  <c r="F95" i="49"/>
  <c r="G95" i="49" s="1"/>
  <c r="P18" i="19"/>
  <c r="R18" i="19" s="1"/>
  <c r="F18" i="49"/>
  <c r="G18" i="49" s="1"/>
  <c r="P170" i="19"/>
  <c r="R170" i="19" s="1"/>
  <c r="F170" i="49"/>
  <c r="G170" i="49" s="1"/>
  <c r="P224" i="19"/>
  <c r="R224" i="19" s="1"/>
  <c r="F224" i="49"/>
  <c r="G224" i="49" s="1"/>
  <c r="P266" i="19"/>
  <c r="R266" i="19" s="1"/>
  <c r="F266" i="49"/>
  <c r="G266" i="49" s="1"/>
  <c r="P241" i="19"/>
  <c r="R241" i="19" s="1"/>
  <c r="F241" i="49"/>
  <c r="G241" i="49" s="1"/>
  <c r="P239" i="19"/>
  <c r="R239" i="19" s="1"/>
  <c r="F239" i="49"/>
  <c r="G239" i="49" s="1"/>
  <c r="P222" i="19"/>
  <c r="R222" i="19" s="1"/>
  <c r="F222" i="49"/>
  <c r="G222" i="49" s="1"/>
  <c r="P245" i="19"/>
  <c r="R245" i="19" s="1"/>
  <c r="F245" i="49"/>
  <c r="G245" i="49" s="1"/>
  <c r="P209" i="19"/>
  <c r="R209" i="19" s="1"/>
  <c r="F209" i="49"/>
  <c r="G209" i="49" s="1"/>
  <c r="P305" i="19"/>
  <c r="R305" i="19" s="1"/>
  <c r="F305" i="49"/>
  <c r="G305" i="49" s="1"/>
  <c r="P216" i="19"/>
  <c r="R216" i="19" s="1"/>
  <c r="F216" i="49"/>
  <c r="G216" i="49" s="1"/>
  <c r="P273" i="19"/>
  <c r="R273" i="19" s="1"/>
  <c r="F273" i="49"/>
  <c r="G273" i="49" s="1"/>
  <c r="P303" i="19"/>
  <c r="R303" i="19" s="1"/>
  <c r="F303" i="49"/>
  <c r="G303" i="49" s="1"/>
  <c r="P287" i="19"/>
  <c r="R287" i="19" s="1"/>
  <c r="F287" i="49"/>
  <c r="G287" i="49" s="1"/>
  <c r="P295" i="19"/>
  <c r="R295" i="19" s="1"/>
  <c r="F295" i="49"/>
  <c r="G295" i="49" s="1"/>
  <c r="P148" i="19"/>
  <c r="R148" i="19" s="1"/>
  <c r="F148" i="49"/>
  <c r="G148" i="49" s="1"/>
  <c r="P147" i="19"/>
  <c r="R147" i="19" s="1"/>
  <c r="F147" i="49"/>
  <c r="G147" i="49" s="1"/>
  <c r="F9" i="49"/>
  <c r="G9" i="49" s="1"/>
  <c r="P9" i="19"/>
  <c r="R9" i="19" s="1"/>
  <c r="P188" i="19"/>
  <c r="R188" i="19" s="1"/>
  <c r="F188" i="49"/>
  <c r="G188" i="49" s="1"/>
  <c r="P275" i="19"/>
  <c r="R275" i="19" s="1"/>
  <c r="F275" i="49"/>
  <c r="G275" i="49" s="1"/>
  <c r="F64" i="49"/>
  <c r="G64" i="49" s="1"/>
  <c r="P64" i="19"/>
  <c r="R64" i="19" s="1"/>
  <c r="P196" i="19"/>
  <c r="R196" i="19" s="1"/>
  <c r="F196" i="49"/>
  <c r="G196" i="49" s="1"/>
  <c r="P36" i="19"/>
  <c r="R36" i="19" s="1"/>
  <c r="F36" i="49"/>
  <c r="G36" i="49" s="1"/>
  <c r="P60" i="19"/>
  <c r="R60" i="19" s="1"/>
  <c r="F60" i="49"/>
  <c r="G60" i="49" s="1"/>
  <c r="P8" i="19"/>
  <c r="R8" i="19" s="1"/>
  <c r="F8" i="49"/>
  <c r="G8" i="49" s="1"/>
  <c r="P58" i="19"/>
  <c r="R58" i="19" s="1"/>
  <c r="F58" i="49"/>
  <c r="G58" i="49" s="1"/>
  <c r="P96" i="19"/>
  <c r="R96" i="19" s="1"/>
  <c r="F96" i="49"/>
  <c r="G96" i="49" s="1"/>
  <c r="P81" i="19"/>
  <c r="R81" i="19" s="1"/>
  <c r="F81" i="49"/>
  <c r="G81" i="49" s="1"/>
  <c r="P42" i="19"/>
  <c r="R42" i="19" s="1"/>
  <c r="F42" i="49"/>
  <c r="G42" i="49" s="1"/>
  <c r="P94" i="19"/>
  <c r="R94" i="19" s="1"/>
  <c r="F94" i="49"/>
  <c r="G94" i="49" s="1"/>
  <c r="P150" i="19"/>
  <c r="R150" i="19" s="1"/>
  <c r="F150" i="49"/>
  <c r="G150" i="49" s="1"/>
  <c r="P67" i="19"/>
  <c r="R67" i="19" s="1"/>
  <c r="F67" i="49"/>
  <c r="G67" i="49" s="1"/>
  <c r="P99" i="19"/>
  <c r="R99" i="19" s="1"/>
  <c r="F99" i="49"/>
  <c r="G99" i="49" s="1"/>
  <c r="P114" i="19"/>
  <c r="R114" i="19" s="1"/>
  <c r="F114" i="49"/>
  <c r="G114" i="49" s="1"/>
  <c r="P178" i="19"/>
  <c r="R178" i="19" s="1"/>
  <c r="F178" i="49"/>
  <c r="G178" i="49" s="1"/>
  <c r="P274" i="19"/>
  <c r="R274" i="19" s="1"/>
  <c r="F274" i="49"/>
  <c r="G274" i="49" s="1"/>
  <c r="P264" i="19"/>
  <c r="R264" i="19" s="1"/>
  <c r="F264" i="49"/>
  <c r="G264" i="49" s="1"/>
  <c r="P243" i="19"/>
  <c r="R243" i="19" s="1"/>
  <c r="F243" i="49"/>
  <c r="G243" i="49" s="1"/>
  <c r="P249" i="19"/>
  <c r="R249" i="19" s="1"/>
  <c r="F249" i="49"/>
  <c r="G249" i="49" s="1"/>
  <c r="P100" i="19"/>
  <c r="R100" i="19" s="1"/>
  <c r="F100" i="49"/>
  <c r="G100" i="49" s="1"/>
  <c r="P265" i="19"/>
  <c r="R265" i="19" s="1"/>
  <c r="F265" i="49"/>
  <c r="G265" i="49" s="1"/>
  <c r="P180" i="19"/>
  <c r="R180" i="19" s="1"/>
  <c r="F180" i="49"/>
  <c r="G180" i="49" s="1"/>
  <c r="P288" i="19"/>
  <c r="R288" i="19" s="1"/>
  <c r="F288" i="49"/>
  <c r="G288" i="49" s="1"/>
  <c r="P215" i="19"/>
  <c r="R215" i="19" s="1"/>
  <c r="F215" i="49"/>
  <c r="G215" i="49" s="1"/>
  <c r="P282" i="19"/>
  <c r="R282" i="19" s="1"/>
  <c r="F282" i="49"/>
  <c r="G282" i="49" s="1"/>
  <c r="F39" i="49"/>
  <c r="G39" i="49" s="1"/>
  <c r="P39" i="19"/>
  <c r="R39" i="19" s="1"/>
  <c r="E282" i="25"/>
  <c r="J283" i="49"/>
  <c r="C283" i="39"/>
  <c r="C283" i="12"/>
  <c r="C283" i="13"/>
  <c r="C283" i="33"/>
  <c r="C289" i="9"/>
  <c r="F45" i="49"/>
  <c r="G45" i="49" s="1"/>
  <c r="P45" i="19"/>
  <c r="R45" i="19" s="1"/>
  <c r="E58" i="25"/>
  <c r="J59" i="49"/>
  <c r="C59" i="39"/>
  <c r="C59" i="12"/>
  <c r="C59" i="13"/>
  <c r="C59" i="33"/>
  <c r="C65" i="9"/>
  <c r="E295" i="25"/>
  <c r="J296" i="49"/>
  <c r="C296" i="39"/>
  <c r="C296" i="12"/>
  <c r="C296" i="13"/>
  <c r="C302" i="9"/>
  <c r="C296" i="33"/>
  <c r="P14" i="19"/>
  <c r="R14" i="19" s="1"/>
  <c r="F14" i="49"/>
  <c r="G14" i="49" s="1"/>
  <c r="P16" i="19"/>
  <c r="R16" i="19" s="1"/>
  <c r="F16" i="49"/>
  <c r="G16" i="49" s="1"/>
  <c r="P68" i="19"/>
  <c r="R68" i="19" s="1"/>
  <c r="F68" i="49"/>
  <c r="G68" i="49" s="1"/>
  <c r="P101" i="19"/>
  <c r="R101" i="19" s="1"/>
  <c r="F101" i="49"/>
  <c r="G101" i="49" s="1"/>
  <c r="P85" i="19"/>
  <c r="R85" i="19" s="1"/>
  <c r="F85" i="49"/>
  <c r="G85" i="49" s="1"/>
  <c r="P66" i="19"/>
  <c r="R66" i="19" s="1"/>
  <c r="F66" i="49"/>
  <c r="G66" i="49" s="1"/>
  <c r="P98" i="19"/>
  <c r="R98" i="19" s="1"/>
  <c r="F98" i="49"/>
  <c r="G98" i="49" s="1"/>
  <c r="P158" i="19"/>
  <c r="R158" i="19" s="1"/>
  <c r="F158" i="49"/>
  <c r="G158" i="49" s="1"/>
  <c r="P71" i="19"/>
  <c r="R71" i="19" s="1"/>
  <c r="F71" i="49"/>
  <c r="G71" i="49" s="1"/>
  <c r="P104" i="19"/>
  <c r="R104" i="19" s="1"/>
  <c r="F104" i="49"/>
  <c r="G104" i="49" s="1"/>
  <c r="P122" i="19"/>
  <c r="R122" i="19" s="1"/>
  <c r="F122" i="49"/>
  <c r="G122" i="49" s="1"/>
  <c r="P186" i="19"/>
  <c r="R186" i="19" s="1"/>
  <c r="F186" i="49"/>
  <c r="G186" i="49" s="1"/>
  <c r="P232" i="19"/>
  <c r="R232" i="19" s="1"/>
  <c r="F232" i="49"/>
  <c r="G232" i="49" s="1"/>
  <c r="E233" i="25"/>
  <c r="P217" i="19"/>
  <c r="R217" i="19" s="1"/>
  <c r="F217" i="49"/>
  <c r="G217" i="49" s="1"/>
  <c r="P247" i="19"/>
  <c r="R247" i="19" s="1"/>
  <c r="F247" i="49"/>
  <c r="G247" i="49" s="1"/>
  <c r="P50" i="19"/>
  <c r="R50" i="19" s="1"/>
  <c r="F50" i="49"/>
  <c r="G50" i="49" s="1"/>
  <c r="P272" i="19"/>
  <c r="R272" i="19" s="1"/>
  <c r="F272" i="49"/>
  <c r="G272" i="49" s="1"/>
  <c r="P156" i="19"/>
  <c r="R156" i="19" s="1"/>
  <c r="F156" i="49"/>
  <c r="G156" i="49" s="1"/>
  <c r="P155" i="19"/>
  <c r="R155" i="19" s="1"/>
  <c r="F155" i="49"/>
  <c r="G155" i="49" s="1"/>
  <c r="P269" i="19"/>
  <c r="R269" i="19" s="1"/>
  <c r="F269" i="49"/>
  <c r="G269" i="49" s="1"/>
  <c r="P285" i="19"/>
  <c r="R285" i="19" s="1"/>
  <c r="F285" i="49"/>
  <c r="G285" i="49" s="1"/>
  <c r="P124" i="19"/>
  <c r="R124" i="19" s="1"/>
  <c r="F124" i="49"/>
  <c r="G124" i="49" s="1"/>
  <c r="F63" i="49"/>
  <c r="G63" i="49" s="1"/>
  <c r="P63" i="19"/>
  <c r="R63" i="19" s="1"/>
  <c r="E180" i="25"/>
  <c r="J181" i="49"/>
  <c r="C181" i="39"/>
  <c r="C181" i="12"/>
  <c r="C181" i="13"/>
  <c r="C187" i="9"/>
  <c r="C181" i="33"/>
  <c r="E275" i="25"/>
  <c r="C276" i="39"/>
  <c r="C276" i="12"/>
  <c r="J276" i="49"/>
  <c r="C276" i="13"/>
  <c r="C282" i="9"/>
  <c r="C276" i="33"/>
  <c r="E101" i="25"/>
  <c r="J102" i="49"/>
  <c r="C102" i="13"/>
  <c r="C102" i="39"/>
  <c r="C102" i="12"/>
  <c r="C102" i="33"/>
  <c r="C108" i="9"/>
  <c r="E160" i="25"/>
  <c r="J161" i="49"/>
  <c r="C161" i="13"/>
  <c r="C161" i="39"/>
  <c r="C161" i="12"/>
  <c r="C161" i="33"/>
  <c r="C167" i="9"/>
  <c r="P219" i="19"/>
  <c r="R219" i="19" s="1"/>
  <c r="F219" i="49"/>
  <c r="G219" i="49" s="1"/>
  <c r="P251" i="19"/>
  <c r="R251" i="19" s="1"/>
  <c r="F251" i="49"/>
  <c r="G251" i="49" s="1"/>
  <c r="P187" i="19"/>
  <c r="R187" i="19" s="1"/>
  <c r="F187" i="49"/>
  <c r="G187" i="49" s="1"/>
  <c r="P256" i="19"/>
  <c r="R256" i="19" s="1"/>
  <c r="F256" i="49"/>
  <c r="G256" i="49" s="1"/>
  <c r="P281" i="19"/>
  <c r="R281" i="19" s="1"/>
  <c r="F281" i="49"/>
  <c r="G281" i="49" s="1"/>
  <c r="P106" i="19"/>
  <c r="R106" i="19" s="1"/>
  <c r="F106" i="49"/>
  <c r="G106" i="49" s="1"/>
  <c r="P286" i="19"/>
  <c r="R286" i="19" s="1"/>
  <c r="F286" i="49"/>
  <c r="G286" i="49" s="1"/>
  <c r="F17" i="49"/>
  <c r="G17" i="49" s="1"/>
  <c r="P17" i="19"/>
  <c r="R17" i="19" s="1"/>
  <c r="F159" i="49"/>
  <c r="G159" i="49" s="1"/>
  <c r="P159" i="19"/>
  <c r="R159" i="19" s="1"/>
  <c r="P302" i="19"/>
  <c r="R302" i="19" s="1"/>
  <c r="F302" i="49"/>
  <c r="G302" i="49" s="1"/>
  <c r="F23" i="49"/>
  <c r="G23" i="49" s="1"/>
  <c r="P23" i="19"/>
  <c r="R23" i="19" s="1"/>
  <c r="P204" i="19"/>
  <c r="R204" i="19" s="1"/>
  <c r="F204" i="49"/>
  <c r="G204" i="49" s="1"/>
  <c r="E138" i="25"/>
  <c r="J139" i="49"/>
  <c r="C139" i="39"/>
  <c r="C139" i="12"/>
  <c r="C139" i="13"/>
  <c r="C139" i="33"/>
  <c r="C145" i="9"/>
  <c r="F29" i="49"/>
  <c r="G29" i="49" s="1"/>
  <c r="P29" i="19"/>
  <c r="R29" i="19" s="1"/>
  <c r="F119" i="49"/>
  <c r="G119" i="49" s="1"/>
  <c r="P119" i="19"/>
  <c r="R119" i="19" s="1"/>
  <c r="J13" i="49"/>
  <c r="E12" i="25"/>
  <c r="C13" i="13"/>
  <c r="C13" i="39"/>
  <c r="C13" i="12"/>
  <c r="C13" i="33"/>
  <c r="C19" i="9"/>
  <c r="P24" i="19"/>
  <c r="R24" i="19" s="1"/>
  <c r="F24" i="49"/>
  <c r="G24" i="49" s="1"/>
  <c r="P89" i="19"/>
  <c r="R89" i="19" s="1"/>
  <c r="F89" i="49"/>
  <c r="G89" i="49" s="1"/>
  <c r="P70" i="19"/>
  <c r="R70" i="19" s="1"/>
  <c r="F70" i="49"/>
  <c r="G70" i="49" s="1"/>
  <c r="P105" i="19"/>
  <c r="R105" i="19" s="1"/>
  <c r="F105" i="49"/>
  <c r="G105" i="49" s="1"/>
  <c r="P166" i="19"/>
  <c r="R166" i="19" s="1"/>
  <c r="F166" i="49"/>
  <c r="G166" i="49" s="1"/>
  <c r="P75" i="19"/>
  <c r="R75" i="19" s="1"/>
  <c r="F75" i="49"/>
  <c r="G75" i="49" s="1"/>
  <c r="J176" i="49"/>
  <c r="C176" i="13"/>
  <c r="C182" i="9"/>
  <c r="P130" i="19"/>
  <c r="R130" i="19" s="1"/>
  <c r="F130" i="49"/>
  <c r="G130" i="49" s="1"/>
  <c r="P194" i="19"/>
  <c r="R194" i="19" s="1"/>
  <c r="F194" i="49"/>
  <c r="G194" i="49" s="1"/>
  <c r="P236" i="19"/>
  <c r="R236" i="19" s="1"/>
  <c r="F236" i="49"/>
  <c r="G236" i="49" s="1"/>
  <c r="P20" i="19"/>
  <c r="R20" i="19" s="1"/>
  <c r="F20" i="49"/>
  <c r="G20" i="49" s="1"/>
  <c r="P30" i="19"/>
  <c r="R30" i="19" s="1"/>
  <c r="F30" i="49"/>
  <c r="G30" i="49" s="1"/>
  <c r="P32" i="19"/>
  <c r="R32" i="19" s="1"/>
  <c r="F32" i="49"/>
  <c r="G32" i="49" s="1"/>
  <c r="P76" i="19"/>
  <c r="R76" i="19" s="1"/>
  <c r="F76" i="49"/>
  <c r="G76" i="49" s="1"/>
  <c r="P34" i="19"/>
  <c r="R34" i="19" s="1"/>
  <c r="F34" i="49"/>
  <c r="G34" i="49" s="1"/>
  <c r="P93" i="19"/>
  <c r="R93" i="19" s="1"/>
  <c r="F93" i="49"/>
  <c r="G93" i="49" s="1"/>
  <c r="P74" i="19"/>
  <c r="R74" i="19" s="1"/>
  <c r="F74" i="49"/>
  <c r="G74" i="49" s="1"/>
  <c r="P107" i="19"/>
  <c r="R107" i="19" s="1"/>
  <c r="F107" i="49"/>
  <c r="G107" i="49" s="1"/>
  <c r="P174" i="19"/>
  <c r="R174" i="19" s="1"/>
  <c r="F174" i="49"/>
  <c r="G174" i="49" s="1"/>
  <c r="P79" i="19"/>
  <c r="R79" i="19" s="1"/>
  <c r="F79" i="49"/>
  <c r="G79" i="49" s="1"/>
  <c r="C184" i="13"/>
  <c r="P138" i="19"/>
  <c r="R138" i="19" s="1"/>
  <c r="F138" i="49"/>
  <c r="G138" i="49" s="1"/>
  <c r="P202" i="19"/>
  <c r="R202" i="19" s="1"/>
  <c r="F202" i="49"/>
  <c r="G202" i="49" s="1"/>
  <c r="P240" i="19"/>
  <c r="R240" i="19" s="1"/>
  <c r="F240" i="49"/>
  <c r="G240" i="49" s="1"/>
  <c r="P223" i="19"/>
  <c r="R223" i="19" s="1"/>
  <c r="F223" i="49"/>
  <c r="G223" i="49" s="1"/>
  <c r="P252" i="19"/>
  <c r="R252" i="19" s="1"/>
  <c r="F252" i="49"/>
  <c r="G252" i="49" s="1"/>
  <c r="P242" i="19"/>
  <c r="R242" i="19" s="1"/>
  <c r="F242" i="49"/>
  <c r="G242" i="49" s="1"/>
  <c r="P164" i="19"/>
  <c r="R164" i="19" s="1"/>
  <c r="F164" i="49"/>
  <c r="G164" i="49" s="1"/>
  <c r="P255" i="19"/>
  <c r="R255" i="19" s="1"/>
  <c r="F255" i="49"/>
  <c r="G255" i="49" s="1"/>
  <c r="P279" i="19"/>
  <c r="R279" i="19" s="1"/>
  <c r="F279" i="49"/>
  <c r="G279" i="49" s="1"/>
  <c r="P299" i="19"/>
  <c r="R299" i="19" s="1"/>
  <c r="F299" i="49"/>
  <c r="G299" i="49" s="1"/>
  <c r="P221" i="19"/>
  <c r="R221" i="19" s="1"/>
  <c r="F221" i="49"/>
  <c r="G221" i="49" s="1"/>
  <c r="P132" i="19"/>
  <c r="R132" i="19" s="1"/>
  <c r="F132" i="49"/>
  <c r="G132" i="49" s="1"/>
  <c r="P259" i="19"/>
  <c r="R259" i="19" s="1"/>
  <c r="F259" i="49"/>
  <c r="G259" i="49" s="1"/>
  <c r="F121" i="49"/>
  <c r="G121" i="49" s="1"/>
  <c r="P121" i="19"/>
  <c r="R121" i="19" s="1"/>
  <c r="F300" i="49"/>
  <c r="G300" i="49" s="1"/>
  <c r="P300" i="19"/>
  <c r="R300" i="19" s="1"/>
  <c r="F47" i="49"/>
  <c r="G47" i="49" s="1"/>
  <c r="P47" i="19"/>
  <c r="R47" i="19" s="1"/>
  <c r="C191" i="33"/>
  <c r="C165" i="39"/>
  <c r="F53" i="49"/>
  <c r="G53" i="49" s="1"/>
  <c r="P53" i="19"/>
  <c r="R53" i="19" s="1"/>
  <c r="F151" i="49"/>
  <c r="G151" i="49" s="1"/>
  <c r="P151" i="19"/>
  <c r="R151" i="19" s="1"/>
  <c r="P298" i="19"/>
  <c r="R298" i="19" s="1"/>
  <c r="F298" i="49"/>
  <c r="G298" i="49" s="1"/>
  <c r="E109" i="25"/>
  <c r="J110" i="49"/>
  <c r="C110" i="39"/>
  <c r="C110" i="12"/>
  <c r="C110" i="13"/>
  <c r="C110" i="33"/>
  <c r="C116" i="9"/>
  <c r="E184" i="25"/>
  <c r="J185" i="49"/>
  <c r="C185" i="39"/>
  <c r="C185" i="13"/>
  <c r="C185" i="12"/>
  <c r="C191" i="9"/>
  <c r="C185" i="33"/>
  <c r="J125" i="49"/>
  <c r="E124" i="25"/>
  <c r="C125" i="39"/>
  <c r="C125" i="12"/>
  <c r="C125" i="13"/>
  <c r="C131" i="9"/>
  <c r="C125" i="33"/>
  <c r="C197" i="9" l="1"/>
  <c r="C191" i="39"/>
  <c r="E190" i="25"/>
  <c r="J191" i="49"/>
  <c r="C191" i="12"/>
  <c r="C183" i="9"/>
  <c r="J230" i="49"/>
  <c r="C165" i="33"/>
  <c r="C165" i="11" s="1"/>
  <c r="C165" i="12"/>
  <c r="C179" i="13"/>
  <c r="C19" i="33"/>
  <c r="E19" i="33" s="1"/>
  <c r="D19" i="37" s="1"/>
  <c r="C19" i="12"/>
  <c r="C168" i="12"/>
  <c r="C165" i="13"/>
  <c r="C19" i="13"/>
  <c r="C19" i="39"/>
  <c r="C189" i="9"/>
  <c r="J165" i="49"/>
  <c r="J19" i="49"/>
  <c r="E164" i="25"/>
  <c r="E18" i="25"/>
  <c r="E175" i="25"/>
  <c r="C176" i="33"/>
  <c r="C182" i="34" s="1"/>
  <c r="C176" i="12"/>
  <c r="C240" i="9"/>
  <c r="E178" i="25"/>
  <c r="C150" i="9"/>
  <c r="C234" i="33"/>
  <c r="C234" i="11" s="1"/>
  <c r="E152" i="25"/>
  <c r="C234" i="39"/>
  <c r="C234" i="13"/>
  <c r="C144" i="13"/>
  <c r="E249" i="25"/>
  <c r="J234" i="49"/>
  <c r="C15" i="39"/>
  <c r="C144" i="33"/>
  <c r="E144" i="33" s="1"/>
  <c r="D144" i="37" s="1"/>
  <c r="C135" i="39"/>
  <c r="C250" i="39"/>
  <c r="E196" i="25"/>
  <c r="C183" i="13"/>
  <c r="C112" i="33"/>
  <c r="C112" i="11" s="1"/>
  <c r="C57" i="33"/>
  <c r="C63" i="34" s="1"/>
  <c r="C193" i="39"/>
  <c r="C197" i="12"/>
  <c r="C195" i="33"/>
  <c r="C201" i="34" s="1"/>
  <c r="C153" i="12"/>
  <c r="C112" i="12"/>
  <c r="C33" i="9"/>
  <c r="E26" i="25"/>
  <c r="J160" i="49"/>
  <c r="E135" i="25"/>
  <c r="C185" i="9"/>
  <c r="C179" i="33"/>
  <c r="C179" i="11" s="1"/>
  <c r="C177" i="33"/>
  <c r="E177" i="33" s="1"/>
  <c r="D177" i="37" s="1"/>
  <c r="C232" i="9"/>
  <c r="C27" i="33"/>
  <c r="C27" i="11" s="1"/>
  <c r="C179" i="12"/>
  <c r="C160" i="12"/>
  <c r="C177" i="12"/>
  <c r="C27" i="13"/>
  <c r="C179" i="39"/>
  <c r="C160" i="39"/>
  <c r="C177" i="13"/>
  <c r="C142" i="9"/>
  <c r="J27" i="49"/>
  <c r="C160" i="13"/>
  <c r="E176" i="25"/>
  <c r="C136" i="39"/>
  <c r="E159" i="25"/>
  <c r="C205" i="13"/>
  <c r="J57" i="49"/>
  <c r="C136" i="33"/>
  <c r="C136" i="11" s="1"/>
  <c r="C177" i="39"/>
  <c r="C136" i="13"/>
  <c r="E198" i="25"/>
  <c r="C136" i="12"/>
  <c r="C163" i="9"/>
  <c r="E188" i="25"/>
  <c r="E204" i="25"/>
  <c r="C33" i="33"/>
  <c r="C39" i="34" s="1"/>
  <c r="C294" i="13"/>
  <c r="C144" i="39"/>
  <c r="C33" i="39"/>
  <c r="C197" i="13"/>
  <c r="C144" i="12"/>
  <c r="C11" i="39"/>
  <c r="C294" i="12"/>
  <c r="C31" i="9"/>
  <c r="C211" i="9"/>
  <c r="C49" i="9"/>
  <c r="J144" i="49"/>
  <c r="J205" i="49"/>
  <c r="C205" i="33"/>
  <c r="C205" i="11" s="1"/>
  <c r="C205" i="12"/>
  <c r="C203" i="12"/>
  <c r="E42" i="25"/>
  <c r="C230" i="33"/>
  <c r="C230" i="11" s="1"/>
  <c r="C218" i="39"/>
  <c r="E217" i="25"/>
  <c r="C49" i="13"/>
  <c r="C238" i="33"/>
  <c r="C238" i="11" s="1"/>
  <c r="C250" i="13"/>
  <c r="J250" i="49"/>
  <c r="C256" i="9"/>
  <c r="C250" i="33"/>
  <c r="C256" i="34" s="1"/>
  <c r="C209" i="9"/>
  <c r="C236" i="9"/>
  <c r="E24" i="25"/>
  <c r="C184" i="33"/>
  <c r="C184" i="11" s="1"/>
  <c r="C197" i="39"/>
  <c r="C230" i="13"/>
  <c r="E293" i="25"/>
  <c r="C190" i="9"/>
  <c r="J197" i="49"/>
  <c r="C230" i="39"/>
  <c r="C192" i="39"/>
  <c r="C127" i="12"/>
  <c r="C184" i="39"/>
  <c r="C43" i="39"/>
  <c r="E229" i="25"/>
  <c r="C184" i="12"/>
  <c r="C197" i="33"/>
  <c r="C197" i="11" s="1"/>
  <c r="C43" i="13"/>
  <c r="C152" i="39"/>
  <c r="J184" i="49"/>
  <c r="E172" i="25"/>
  <c r="E200" i="25"/>
  <c r="J43" i="49"/>
  <c r="C294" i="33"/>
  <c r="C294" i="11" s="1"/>
  <c r="C133" i="39"/>
  <c r="E134" i="25"/>
  <c r="J218" i="49"/>
  <c r="J135" i="49"/>
  <c r="C218" i="13"/>
  <c r="C183" i="33"/>
  <c r="C183" i="11" s="1"/>
  <c r="C211" i="33"/>
  <c r="E211" i="33" s="1"/>
  <c r="D211" i="37" s="1"/>
  <c r="C183" i="12"/>
  <c r="C135" i="33"/>
  <c r="C141" i="34" s="1"/>
  <c r="C224" i="9"/>
  <c r="J183" i="49"/>
  <c r="C135" i="12"/>
  <c r="C218" i="33"/>
  <c r="C224" i="34" s="1"/>
  <c r="C183" i="39"/>
  <c r="C135" i="13"/>
  <c r="J200" i="49"/>
  <c r="C153" i="39"/>
  <c r="C203" i="39"/>
  <c r="C152" i="13"/>
  <c r="C177" i="9"/>
  <c r="C127" i="39"/>
  <c r="J192" i="49"/>
  <c r="C153" i="13"/>
  <c r="E202" i="25"/>
  <c r="C21" i="9"/>
  <c r="J152" i="49"/>
  <c r="C171" i="12"/>
  <c r="C127" i="13"/>
  <c r="C134" i="9"/>
  <c r="J153" i="49"/>
  <c r="C15" i="33"/>
  <c r="C15" i="11" s="1"/>
  <c r="E151" i="25"/>
  <c r="C171" i="39"/>
  <c r="E126" i="25"/>
  <c r="C203" i="33"/>
  <c r="E203" i="33" s="1"/>
  <c r="D203" i="37" s="1"/>
  <c r="C158" i="9"/>
  <c r="C25" i="33"/>
  <c r="C31" i="34" s="1"/>
  <c r="C159" i="9"/>
  <c r="C203" i="13"/>
  <c r="C152" i="33"/>
  <c r="E152" i="33" s="1"/>
  <c r="D152" i="37" s="1"/>
  <c r="C25" i="12"/>
  <c r="C127" i="33"/>
  <c r="E127" i="33" s="1"/>
  <c r="D127" i="37" s="1"/>
  <c r="C25" i="39"/>
  <c r="C133" i="9"/>
  <c r="C131" i="13"/>
  <c r="C131" i="12"/>
  <c r="J131" i="49"/>
  <c r="C192" i="33"/>
  <c r="C192" i="11" s="1"/>
  <c r="C192" i="12"/>
  <c r="C198" i="9"/>
  <c r="C128" i="12"/>
  <c r="E132" i="25"/>
  <c r="J133" i="49"/>
  <c r="C11" i="12"/>
  <c r="C294" i="39"/>
  <c r="C139" i="9"/>
  <c r="C11" i="13"/>
  <c r="J294" i="49"/>
  <c r="C133" i="13"/>
  <c r="E10" i="25"/>
  <c r="C133" i="12"/>
  <c r="J11" i="49"/>
  <c r="E127" i="25"/>
  <c r="C43" i="33"/>
  <c r="C43" i="11" s="1"/>
  <c r="C27" i="12"/>
  <c r="C166" i="9"/>
  <c r="C155" i="9"/>
  <c r="E56" i="25"/>
  <c r="C171" i="33"/>
  <c r="C171" i="11" s="1"/>
  <c r="C17" i="9"/>
  <c r="C141" i="33"/>
  <c r="C141" i="11" s="1"/>
  <c r="C128" i="33"/>
  <c r="C128" i="11" s="1"/>
  <c r="C252" i="9"/>
  <c r="C41" i="13"/>
  <c r="C171" i="13"/>
  <c r="J141" i="49"/>
  <c r="C128" i="13"/>
  <c r="C199" i="39"/>
  <c r="C199" i="13"/>
  <c r="C63" i="9"/>
  <c r="J199" i="49"/>
  <c r="C57" i="12"/>
  <c r="C57" i="39"/>
  <c r="C199" i="33"/>
  <c r="C199" i="11" s="1"/>
  <c r="E283" i="25"/>
  <c r="C128" i="39"/>
  <c r="C246" i="33"/>
  <c r="C246" i="11" s="1"/>
  <c r="J49" i="49"/>
  <c r="C238" i="13"/>
  <c r="C121" i="9"/>
  <c r="C211" i="13"/>
  <c r="C246" i="12"/>
  <c r="E48" i="25"/>
  <c r="C238" i="12"/>
  <c r="C115" i="33"/>
  <c r="C115" i="11" s="1"/>
  <c r="C211" i="12"/>
  <c r="C129" i="33"/>
  <c r="C129" i="11" s="1"/>
  <c r="C238" i="39"/>
  <c r="C115" i="12"/>
  <c r="C211" i="39"/>
  <c r="C129" i="12"/>
  <c r="C246" i="39"/>
  <c r="C55" i="9"/>
  <c r="J238" i="49"/>
  <c r="C115" i="13"/>
  <c r="J211" i="49"/>
  <c r="C129" i="39"/>
  <c r="J246" i="49"/>
  <c r="C49" i="33"/>
  <c r="E49" i="33" s="1"/>
  <c r="D49" i="37" s="1"/>
  <c r="E237" i="25"/>
  <c r="C115" i="39"/>
  <c r="E210" i="25"/>
  <c r="C129" i="13"/>
  <c r="E245" i="25"/>
  <c r="C49" i="12"/>
  <c r="J115" i="49"/>
  <c r="E128" i="25"/>
  <c r="C200" i="13"/>
  <c r="C205" i="9"/>
  <c r="J129" i="49"/>
  <c r="C131" i="39"/>
  <c r="C192" i="13"/>
  <c r="C200" i="39"/>
  <c r="E130" i="25"/>
  <c r="C200" i="12"/>
  <c r="E199" i="25"/>
  <c r="C25" i="13"/>
  <c r="J171" i="49"/>
  <c r="C200" i="33"/>
  <c r="E200" i="33" s="1"/>
  <c r="D200" i="37" s="1"/>
  <c r="J193" i="49"/>
  <c r="C149" i="12"/>
  <c r="C207" i="9"/>
  <c r="E192" i="25"/>
  <c r="C149" i="39"/>
  <c r="C201" i="33"/>
  <c r="C207" i="34" s="1"/>
  <c r="C149" i="13"/>
  <c r="C201" i="12"/>
  <c r="C193" i="33"/>
  <c r="C193" i="11" s="1"/>
  <c r="J149" i="49"/>
  <c r="C201" i="13"/>
  <c r="C199" i="9"/>
  <c r="C201" i="39"/>
  <c r="C193" i="13"/>
  <c r="C137" i="9"/>
  <c r="C112" i="39"/>
  <c r="C226" i="33"/>
  <c r="C232" i="34" s="1"/>
  <c r="C157" i="33"/>
  <c r="E157" i="33" s="1"/>
  <c r="D157" i="37" s="1"/>
  <c r="C147" i="9"/>
  <c r="C226" i="39"/>
  <c r="C157" i="13"/>
  <c r="C290" i="9"/>
  <c r="C112" i="13"/>
  <c r="C226" i="12"/>
  <c r="E148" i="25"/>
  <c r="C157" i="12"/>
  <c r="C141" i="12"/>
  <c r="C284" i="33"/>
  <c r="E284" i="33" s="1"/>
  <c r="D284" i="37" s="1"/>
  <c r="J112" i="49"/>
  <c r="E111" i="25"/>
  <c r="C226" i="13"/>
  <c r="C157" i="39"/>
  <c r="C141" i="39"/>
  <c r="C284" i="12"/>
  <c r="J226" i="49"/>
  <c r="J157" i="49"/>
  <c r="C141" i="13"/>
  <c r="C284" i="39"/>
  <c r="C284" i="13"/>
  <c r="C41" i="12"/>
  <c r="C201" i="9"/>
  <c r="C33" i="12"/>
  <c r="J173" i="49"/>
  <c r="J189" i="49"/>
  <c r="C41" i="39"/>
  <c r="C195" i="13"/>
  <c r="C33" i="13"/>
  <c r="C179" i="9"/>
  <c r="C189" i="33"/>
  <c r="C189" i="11" s="1"/>
  <c r="J41" i="49"/>
  <c r="C195" i="12"/>
  <c r="E32" i="25"/>
  <c r="C173" i="12"/>
  <c r="C195" i="9"/>
  <c r="E40" i="25"/>
  <c r="C195" i="39"/>
  <c r="J33" i="49"/>
  <c r="C173" i="33"/>
  <c r="C173" i="11" s="1"/>
  <c r="C189" i="12"/>
  <c r="J195" i="49"/>
  <c r="C173" i="13"/>
  <c r="C189" i="39"/>
  <c r="C47" i="9"/>
  <c r="C15" i="12"/>
  <c r="C168" i="39"/>
  <c r="C15" i="13"/>
  <c r="J168" i="49"/>
  <c r="E14" i="25"/>
  <c r="E167" i="25"/>
  <c r="C168" i="33"/>
  <c r="C168" i="11" s="1"/>
  <c r="C168" i="13"/>
  <c r="J221" i="49"/>
  <c r="E220" i="25"/>
  <c r="C221" i="13"/>
  <c r="C221" i="39"/>
  <c r="C221" i="12"/>
  <c r="C227" i="9"/>
  <c r="C221" i="33"/>
  <c r="E163" i="25"/>
  <c r="J164" i="49"/>
  <c r="C164" i="13"/>
  <c r="C164" i="39"/>
  <c r="C164" i="12"/>
  <c r="C164" i="33"/>
  <c r="C170" i="9"/>
  <c r="E106" i="25"/>
  <c r="J107" i="49"/>
  <c r="C107" i="39"/>
  <c r="C107" i="12"/>
  <c r="C107" i="13"/>
  <c r="C107" i="33"/>
  <c r="C113" i="9"/>
  <c r="E75" i="25"/>
  <c r="C76" i="13"/>
  <c r="J76" i="49"/>
  <c r="C76" i="39"/>
  <c r="C76" i="12"/>
  <c r="C76" i="33"/>
  <c r="C82" i="9"/>
  <c r="E235" i="25"/>
  <c r="J236" i="49"/>
  <c r="C236" i="13"/>
  <c r="C236" i="39"/>
  <c r="C236" i="12"/>
  <c r="C236" i="33"/>
  <c r="C242" i="9"/>
  <c r="E104" i="25"/>
  <c r="J105" i="49"/>
  <c r="C105" i="39"/>
  <c r="C105" i="12"/>
  <c r="C105" i="13"/>
  <c r="C105" i="33"/>
  <c r="C111" i="9"/>
  <c r="C139" i="11"/>
  <c r="C145" i="34"/>
  <c r="E139" i="33"/>
  <c r="D139" i="37" s="1"/>
  <c r="E285" i="25"/>
  <c r="J286" i="49"/>
  <c r="C286" i="39"/>
  <c r="C286" i="12"/>
  <c r="C286" i="13"/>
  <c r="C286" i="33"/>
  <c r="C292" i="9"/>
  <c r="E186" i="25"/>
  <c r="J187" i="49"/>
  <c r="C187" i="39"/>
  <c r="C187" i="12"/>
  <c r="C187" i="13"/>
  <c r="C187" i="33"/>
  <c r="C193" i="9"/>
  <c r="E185" i="25"/>
  <c r="J186" i="49"/>
  <c r="C186" i="13"/>
  <c r="C186" i="12"/>
  <c r="C186" i="39"/>
  <c r="C186" i="33"/>
  <c r="C192" i="9"/>
  <c r="J39" i="49"/>
  <c r="E38" i="25"/>
  <c r="C39" i="13"/>
  <c r="C39" i="39"/>
  <c r="C39" i="12"/>
  <c r="C39" i="33"/>
  <c r="C45" i="9"/>
  <c r="E263" i="25"/>
  <c r="J264" i="49"/>
  <c r="C264" i="12"/>
  <c r="C264" i="13"/>
  <c r="C264" i="39"/>
  <c r="C270" i="9"/>
  <c r="C264" i="33"/>
  <c r="C160" i="11"/>
  <c r="C166" i="34"/>
  <c r="E160" i="33"/>
  <c r="D160" i="37" s="1"/>
  <c r="E89" i="25"/>
  <c r="J90" i="49"/>
  <c r="C90" i="12"/>
  <c r="C90" i="13"/>
  <c r="C90" i="39"/>
  <c r="C90" i="33"/>
  <c r="C96" i="9"/>
  <c r="J26" i="49"/>
  <c r="E25" i="25"/>
  <c r="C26" i="13"/>
  <c r="C26" i="12"/>
  <c r="C26" i="39"/>
  <c r="C26" i="33"/>
  <c r="C32" i="9"/>
  <c r="E90" i="25"/>
  <c r="J91" i="49"/>
  <c r="C91" i="39"/>
  <c r="C91" i="12"/>
  <c r="C91" i="13"/>
  <c r="C91" i="33"/>
  <c r="C97" i="9"/>
  <c r="E53" i="25"/>
  <c r="C54" i="13"/>
  <c r="C54" i="39"/>
  <c r="J54" i="49"/>
  <c r="C54" i="12"/>
  <c r="C54" i="33"/>
  <c r="C60" i="9"/>
  <c r="C145" i="11"/>
  <c r="C151" i="34"/>
  <c r="E145" i="33"/>
  <c r="D145" i="37" s="1"/>
  <c r="E257" i="25"/>
  <c r="J258" i="49"/>
  <c r="C258" i="13"/>
  <c r="C258" i="12"/>
  <c r="C258" i="39"/>
  <c r="C264" i="9"/>
  <c r="C258" i="33"/>
  <c r="E133" i="33"/>
  <c r="D133" i="37" s="1"/>
  <c r="C133" i="11"/>
  <c r="C139" i="34"/>
  <c r="C11" i="11"/>
  <c r="C17" i="34"/>
  <c r="E11" i="33"/>
  <c r="D11" i="37" s="1"/>
  <c r="E252" i="25"/>
  <c r="J253" i="49"/>
  <c r="C253" i="13"/>
  <c r="C253" i="39"/>
  <c r="C253" i="12"/>
  <c r="C259" i="9"/>
  <c r="C253" i="33"/>
  <c r="E115" i="25"/>
  <c r="J116" i="49"/>
  <c r="C116" i="39"/>
  <c r="C116" i="12"/>
  <c r="C116" i="13"/>
  <c r="C116" i="33"/>
  <c r="C122" i="9"/>
  <c r="E120" i="25"/>
  <c r="C121" i="13"/>
  <c r="C121" i="39"/>
  <c r="C121" i="12"/>
  <c r="C121" i="33"/>
  <c r="J121" i="49"/>
  <c r="C127" i="9"/>
  <c r="E201" i="25"/>
  <c r="J202" i="49"/>
  <c r="C202" i="13"/>
  <c r="C202" i="12"/>
  <c r="C202" i="39"/>
  <c r="C202" i="33"/>
  <c r="C208" i="9"/>
  <c r="C153" i="11"/>
  <c r="C159" i="34"/>
  <c r="E153" i="33"/>
  <c r="D153" i="37" s="1"/>
  <c r="E250" i="25"/>
  <c r="C251" i="39"/>
  <c r="C251" i="12"/>
  <c r="J251" i="49"/>
  <c r="C251" i="13"/>
  <c r="C251" i="33"/>
  <c r="C257" i="9"/>
  <c r="C102" i="11"/>
  <c r="C108" i="34"/>
  <c r="E102" i="33"/>
  <c r="D102" i="37" s="1"/>
  <c r="E268" i="25"/>
  <c r="J269" i="49"/>
  <c r="C269" i="13"/>
  <c r="C269" i="39"/>
  <c r="C269" i="12"/>
  <c r="C275" i="9"/>
  <c r="C269" i="33"/>
  <c r="E49" i="25"/>
  <c r="J50" i="49"/>
  <c r="C50" i="13"/>
  <c r="C50" i="12"/>
  <c r="C50" i="39"/>
  <c r="C50" i="33"/>
  <c r="C56" i="9"/>
  <c r="E97" i="25"/>
  <c r="C98" i="13"/>
  <c r="J98" i="49"/>
  <c r="C98" i="12"/>
  <c r="C98" i="39"/>
  <c r="C98" i="33"/>
  <c r="C104" i="9"/>
  <c r="E67" i="25"/>
  <c r="J68" i="49"/>
  <c r="C68" i="13"/>
  <c r="C68" i="39"/>
  <c r="C68" i="12"/>
  <c r="C68" i="33"/>
  <c r="C74" i="9"/>
  <c r="E44" i="25"/>
  <c r="J45" i="49"/>
  <c r="C45" i="13"/>
  <c r="C45" i="39"/>
  <c r="C45" i="12"/>
  <c r="C45" i="33"/>
  <c r="C51" i="9"/>
  <c r="E281" i="25"/>
  <c r="J282" i="49"/>
  <c r="C282" i="13"/>
  <c r="C282" i="12"/>
  <c r="C282" i="39"/>
  <c r="C282" i="33"/>
  <c r="C288" i="9"/>
  <c r="E264" i="25"/>
  <c r="J265" i="49"/>
  <c r="C265" i="39"/>
  <c r="C265" i="13"/>
  <c r="C265" i="12"/>
  <c r="C265" i="33"/>
  <c r="C271" i="9"/>
  <c r="E66" i="25"/>
  <c r="C67" i="13"/>
  <c r="J67" i="49"/>
  <c r="C67" i="39"/>
  <c r="C67" i="12"/>
  <c r="C67" i="33"/>
  <c r="C73" i="9"/>
  <c r="E80" i="25"/>
  <c r="J81" i="49"/>
  <c r="C81" i="39"/>
  <c r="C81" i="12"/>
  <c r="C81" i="13"/>
  <c r="C81" i="33"/>
  <c r="C87" i="9"/>
  <c r="E59" i="25"/>
  <c r="J60" i="49"/>
  <c r="C60" i="13"/>
  <c r="C60" i="39"/>
  <c r="C60" i="12"/>
  <c r="C60" i="33"/>
  <c r="C66" i="9"/>
  <c r="E146" i="25"/>
  <c r="J147" i="49"/>
  <c r="C147" i="39"/>
  <c r="C147" i="13"/>
  <c r="C147" i="12"/>
  <c r="C147" i="33"/>
  <c r="C153" i="9"/>
  <c r="E302" i="25"/>
  <c r="J303" i="49"/>
  <c r="C303" i="13"/>
  <c r="C303" i="39"/>
  <c r="C303" i="12"/>
  <c r="C309" i="9"/>
  <c r="C303" i="33"/>
  <c r="E208" i="25"/>
  <c r="J209" i="49"/>
  <c r="C209" i="39"/>
  <c r="C209" i="12"/>
  <c r="C209" i="13"/>
  <c r="C215" i="9"/>
  <c r="C209" i="33"/>
  <c r="E240" i="25"/>
  <c r="J241" i="49"/>
  <c r="C241" i="39"/>
  <c r="C241" i="12"/>
  <c r="C241" i="13"/>
  <c r="C241" i="33"/>
  <c r="C247" i="9"/>
  <c r="J18" i="49"/>
  <c r="E17" i="25"/>
  <c r="C18" i="13"/>
  <c r="C18" i="12"/>
  <c r="C18" i="39"/>
  <c r="C24" i="9"/>
  <c r="C18" i="33"/>
  <c r="J213" i="49"/>
  <c r="E212" i="25"/>
  <c r="C213" i="39"/>
  <c r="C213" i="12"/>
  <c r="C213" i="13"/>
  <c r="C219" i="9"/>
  <c r="C213" i="33"/>
  <c r="E122" i="25"/>
  <c r="J123" i="49"/>
  <c r="C123" i="39"/>
  <c r="C123" i="12"/>
  <c r="C123" i="13"/>
  <c r="C123" i="33"/>
  <c r="C129" i="9"/>
  <c r="E72" i="25"/>
  <c r="C73" i="13"/>
  <c r="J73" i="49"/>
  <c r="C73" i="39"/>
  <c r="C73" i="12"/>
  <c r="C73" i="33"/>
  <c r="C79" i="9"/>
  <c r="E277" i="25"/>
  <c r="C278" i="39"/>
  <c r="C278" i="13"/>
  <c r="C278" i="12"/>
  <c r="J278" i="49"/>
  <c r="C278" i="33"/>
  <c r="C284" i="9"/>
  <c r="E171" i="25"/>
  <c r="C172" i="13"/>
  <c r="C172" i="39"/>
  <c r="C172" i="12"/>
  <c r="J172" i="49"/>
  <c r="C172" i="33"/>
  <c r="C178" i="9"/>
  <c r="E267" i="25"/>
  <c r="J268" i="49"/>
  <c r="C268" i="13"/>
  <c r="C268" i="39"/>
  <c r="C268" i="12"/>
  <c r="C268" i="33"/>
  <c r="C274" i="9"/>
  <c r="E211" i="25"/>
  <c r="J212" i="49"/>
  <c r="C212" i="39"/>
  <c r="C212" i="12"/>
  <c r="C212" i="13"/>
  <c r="C212" i="33"/>
  <c r="C218" i="9"/>
  <c r="E81" i="25"/>
  <c r="C82" i="13"/>
  <c r="J82" i="49"/>
  <c r="C82" i="12"/>
  <c r="C82" i="39"/>
  <c r="C82" i="33"/>
  <c r="C88" i="9"/>
  <c r="E11" i="25"/>
  <c r="J12" i="49"/>
  <c r="C12" i="13"/>
  <c r="C12" i="39"/>
  <c r="C12" i="12"/>
  <c r="C12" i="33"/>
  <c r="C18" i="9"/>
  <c r="E209" i="25"/>
  <c r="J210" i="49"/>
  <c r="C210" i="13"/>
  <c r="C210" i="12"/>
  <c r="C210" i="39"/>
  <c r="C210" i="33"/>
  <c r="C216" i="9"/>
  <c r="E77" i="25"/>
  <c r="J78" i="49"/>
  <c r="C78" i="39"/>
  <c r="C78" i="13"/>
  <c r="C78" i="12"/>
  <c r="C78" i="33"/>
  <c r="C84" i="9"/>
  <c r="E39" i="25"/>
  <c r="J40" i="49"/>
  <c r="C40" i="13"/>
  <c r="C40" i="12"/>
  <c r="C40" i="39"/>
  <c r="C46" i="9"/>
  <c r="C40" i="33"/>
  <c r="E298" i="25"/>
  <c r="J299" i="49"/>
  <c r="C299" i="39"/>
  <c r="C299" i="12"/>
  <c r="C299" i="13"/>
  <c r="C299" i="33"/>
  <c r="C305" i="9"/>
  <c r="J242" i="49"/>
  <c r="E241" i="25"/>
  <c r="C242" i="13"/>
  <c r="C242" i="12"/>
  <c r="C242" i="39"/>
  <c r="C242" i="33"/>
  <c r="C248" i="9"/>
  <c r="E73" i="25"/>
  <c r="J74" i="49"/>
  <c r="C74" i="13"/>
  <c r="C74" i="12"/>
  <c r="C74" i="39"/>
  <c r="C80" i="9"/>
  <c r="C74" i="33"/>
  <c r="E31" i="25"/>
  <c r="J32" i="49"/>
  <c r="C32" i="13"/>
  <c r="C32" i="12"/>
  <c r="C32" i="39"/>
  <c r="C32" i="33"/>
  <c r="C38" i="9"/>
  <c r="E193" i="25"/>
  <c r="J194" i="49"/>
  <c r="C194" i="13"/>
  <c r="C194" i="12"/>
  <c r="C194" i="39"/>
  <c r="C200" i="9"/>
  <c r="C194" i="33"/>
  <c r="E69" i="25"/>
  <c r="J70" i="49"/>
  <c r="C70" i="13"/>
  <c r="C70" i="39"/>
  <c r="C70" i="12"/>
  <c r="C70" i="33"/>
  <c r="C76" i="9"/>
  <c r="E301" i="25"/>
  <c r="J302" i="49"/>
  <c r="C302" i="39"/>
  <c r="C302" i="12"/>
  <c r="C302" i="13"/>
  <c r="C302" i="33"/>
  <c r="C308" i="9"/>
  <c r="E105" i="25"/>
  <c r="C106" i="13"/>
  <c r="C106" i="12"/>
  <c r="J106" i="49"/>
  <c r="C106" i="39"/>
  <c r="C106" i="33"/>
  <c r="C112" i="9"/>
  <c r="E62" i="25"/>
  <c r="J63" i="49"/>
  <c r="C63" i="13"/>
  <c r="C63" i="39"/>
  <c r="C63" i="33"/>
  <c r="C63" i="12"/>
  <c r="C69" i="9"/>
  <c r="E121" i="25"/>
  <c r="J122" i="49"/>
  <c r="C122" i="13"/>
  <c r="C122" i="12"/>
  <c r="C122" i="39"/>
  <c r="C122" i="33"/>
  <c r="C128" i="9"/>
  <c r="J274" i="49"/>
  <c r="E273" i="25"/>
  <c r="C274" i="13"/>
  <c r="C274" i="12"/>
  <c r="C274" i="39"/>
  <c r="C280" i="9"/>
  <c r="C274" i="33"/>
  <c r="E63" i="25"/>
  <c r="J64" i="49"/>
  <c r="C64" i="13"/>
  <c r="C64" i="12"/>
  <c r="C64" i="39"/>
  <c r="C70" i="9"/>
  <c r="C64" i="33"/>
  <c r="J95" i="49"/>
  <c r="E94" i="25"/>
  <c r="C95" i="13"/>
  <c r="C95" i="39"/>
  <c r="C95" i="12"/>
  <c r="C95" i="33"/>
  <c r="C101" i="9"/>
  <c r="J10" i="49"/>
  <c r="E9" i="25"/>
  <c r="C10" i="13"/>
  <c r="C10" i="12"/>
  <c r="C10" i="39"/>
  <c r="C10" i="33"/>
  <c r="C16" i="9"/>
  <c r="E61" i="25"/>
  <c r="J62" i="49"/>
  <c r="C62" i="13"/>
  <c r="C62" i="39"/>
  <c r="C62" i="12"/>
  <c r="C62" i="33"/>
  <c r="C68" i="9"/>
  <c r="E133" i="25"/>
  <c r="J134" i="49"/>
  <c r="C134" i="39"/>
  <c r="C134" i="12"/>
  <c r="C134" i="13"/>
  <c r="C134" i="33"/>
  <c r="C140" i="9"/>
  <c r="E43" i="25"/>
  <c r="J44" i="49"/>
  <c r="C44" i="13"/>
  <c r="C44" i="39"/>
  <c r="C44" i="12"/>
  <c r="C44" i="33"/>
  <c r="C50" i="9"/>
  <c r="E219" i="25"/>
  <c r="J220" i="49"/>
  <c r="C220" i="13"/>
  <c r="C220" i="39"/>
  <c r="C220" i="12"/>
  <c r="C220" i="33"/>
  <c r="C226" i="9"/>
  <c r="J117" i="49"/>
  <c r="E116" i="25"/>
  <c r="C117" i="13"/>
  <c r="C117" i="39"/>
  <c r="C117" i="12"/>
  <c r="C117" i="33"/>
  <c r="C123" i="9"/>
  <c r="J167" i="49"/>
  <c r="E166" i="25"/>
  <c r="C167" i="39"/>
  <c r="C167" i="12"/>
  <c r="C167" i="13"/>
  <c r="C167" i="33"/>
  <c r="C173" i="9"/>
  <c r="E168" i="25"/>
  <c r="J169" i="49"/>
  <c r="C169" i="13"/>
  <c r="C169" i="39"/>
  <c r="C169" i="12"/>
  <c r="C175" i="9"/>
  <c r="C169" i="33"/>
  <c r="E300" i="25"/>
  <c r="J301" i="49"/>
  <c r="C301" i="13"/>
  <c r="C301" i="39"/>
  <c r="C301" i="12"/>
  <c r="C307" i="9"/>
  <c r="C301" i="33"/>
  <c r="E269" i="25"/>
  <c r="C270" i="39"/>
  <c r="C270" i="12"/>
  <c r="C270" i="13"/>
  <c r="J270" i="49"/>
  <c r="C270" i="33"/>
  <c r="C276" i="9"/>
  <c r="E297" i="25"/>
  <c r="J298" i="49"/>
  <c r="C298" i="13"/>
  <c r="C298" i="12"/>
  <c r="C298" i="39"/>
  <c r="C298" i="33"/>
  <c r="C304" i="9"/>
  <c r="E137" i="25"/>
  <c r="C138" i="13"/>
  <c r="C138" i="12"/>
  <c r="J138" i="49"/>
  <c r="C138" i="39"/>
  <c r="C144" i="9"/>
  <c r="C138" i="33"/>
  <c r="J119" i="49"/>
  <c r="E118" i="25"/>
  <c r="C119" i="39"/>
  <c r="C119" i="13"/>
  <c r="C119" i="33"/>
  <c r="C125" i="9"/>
  <c r="C119" i="12"/>
  <c r="E158" i="25"/>
  <c r="J159" i="49"/>
  <c r="C159" i="39"/>
  <c r="C159" i="12"/>
  <c r="C159" i="13"/>
  <c r="C159" i="33"/>
  <c r="C165" i="9"/>
  <c r="E218" i="25"/>
  <c r="J219" i="49"/>
  <c r="C219" i="39"/>
  <c r="C219" i="12"/>
  <c r="C219" i="13"/>
  <c r="C219" i="33"/>
  <c r="C225" i="9"/>
  <c r="C19" i="11"/>
  <c r="C181" i="11"/>
  <c r="C187" i="34"/>
  <c r="E181" i="33"/>
  <c r="D181" i="37" s="1"/>
  <c r="E154" i="25"/>
  <c r="J155" i="49"/>
  <c r="C155" i="39"/>
  <c r="C155" i="12"/>
  <c r="C155" i="13"/>
  <c r="C155" i="33"/>
  <c r="C161" i="9"/>
  <c r="J247" i="49"/>
  <c r="E246" i="25"/>
  <c r="C247" i="13"/>
  <c r="C247" i="39"/>
  <c r="C247" i="12"/>
  <c r="C253" i="9"/>
  <c r="C247" i="33"/>
  <c r="E103" i="25"/>
  <c r="J104" i="49"/>
  <c r="C104" i="13"/>
  <c r="C104" i="39"/>
  <c r="C104" i="12"/>
  <c r="C104" i="33"/>
  <c r="C110" i="9"/>
  <c r="E65" i="25"/>
  <c r="J66" i="49"/>
  <c r="C66" i="13"/>
  <c r="C66" i="12"/>
  <c r="C66" i="33"/>
  <c r="C66" i="39"/>
  <c r="C72" i="9"/>
  <c r="J16" i="49"/>
  <c r="E15" i="25"/>
  <c r="C16" i="13"/>
  <c r="C16" i="12"/>
  <c r="C16" i="39"/>
  <c r="C16" i="33"/>
  <c r="C22" i="9"/>
  <c r="C283" i="11"/>
  <c r="C289" i="34"/>
  <c r="E283" i="33"/>
  <c r="D283" i="37" s="1"/>
  <c r="J215" i="49"/>
  <c r="E214" i="25"/>
  <c r="C215" i="13"/>
  <c r="C215" i="39"/>
  <c r="C215" i="12"/>
  <c r="C221" i="9"/>
  <c r="C215" i="33"/>
  <c r="E99" i="25"/>
  <c r="J100" i="49"/>
  <c r="C100" i="13"/>
  <c r="C100" i="39"/>
  <c r="C100" i="12"/>
  <c r="C100" i="33"/>
  <c r="C106" i="9"/>
  <c r="E149" i="25"/>
  <c r="J150" i="49"/>
  <c r="C150" i="13"/>
  <c r="C150" i="39"/>
  <c r="C150" i="12"/>
  <c r="C150" i="33"/>
  <c r="C156" i="9"/>
  <c r="E95" i="25"/>
  <c r="J96" i="49"/>
  <c r="C96" i="13"/>
  <c r="C96" i="12"/>
  <c r="C96" i="39"/>
  <c r="C96" i="33"/>
  <c r="C102" i="9"/>
  <c r="E35" i="25"/>
  <c r="J36" i="49"/>
  <c r="C36" i="13"/>
  <c r="C36" i="39"/>
  <c r="C36" i="12"/>
  <c r="C36" i="33"/>
  <c r="C42" i="9"/>
  <c r="E147" i="25"/>
  <c r="J148" i="49"/>
  <c r="C148" i="39"/>
  <c r="C148" i="12"/>
  <c r="C148" i="13"/>
  <c r="C148" i="33"/>
  <c r="C154" i="9"/>
  <c r="E272" i="25"/>
  <c r="J273" i="49"/>
  <c r="C273" i="39"/>
  <c r="C273" i="12"/>
  <c r="C273" i="13"/>
  <c r="C279" i="9"/>
  <c r="C273" i="33"/>
  <c r="E244" i="25"/>
  <c r="J245" i="49"/>
  <c r="C245" i="39"/>
  <c r="C245" i="12"/>
  <c r="C245" i="13"/>
  <c r="C251" i="9"/>
  <c r="C245" i="33"/>
  <c r="E265" i="25"/>
  <c r="C266" i="13"/>
  <c r="J266" i="49"/>
  <c r="C266" i="12"/>
  <c r="C266" i="39"/>
  <c r="C272" i="9"/>
  <c r="C266" i="33"/>
  <c r="J61" i="49"/>
  <c r="E60" i="25"/>
  <c r="C61" i="13"/>
  <c r="C61" i="39"/>
  <c r="C61" i="12"/>
  <c r="C67" i="9"/>
  <c r="C61" i="33"/>
  <c r="E228" i="25"/>
  <c r="J229" i="49"/>
  <c r="C229" i="39"/>
  <c r="C229" i="13"/>
  <c r="C229" i="12"/>
  <c r="C235" i="9"/>
  <c r="C229" i="33"/>
  <c r="E236" i="25"/>
  <c r="J237" i="49"/>
  <c r="C237" i="13"/>
  <c r="C237" i="39"/>
  <c r="C243" i="9"/>
  <c r="C237" i="12"/>
  <c r="C237" i="33"/>
  <c r="E55" i="25"/>
  <c r="J56" i="49"/>
  <c r="C56" i="13"/>
  <c r="C56" i="12"/>
  <c r="C56" i="39"/>
  <c r="C56" i="33"/>
  <c r="C62" i="9"/>
  <c r="J31" i="49"/>
  <c r="E30" i="25"/>
  <c r="C31" i="13"/>
  <c r="C31" i="39"/>
  <c r="C31" i="12"/>
  <c r="C31" i="33"/>
  <c r="C37" i="9"/>
  <c r="E296" i="25"/>
  <c r="J297" i="49"/>
  <c r="C297" i="39"/>
  <c r="C297" i="13"/>
  <c r="C297" i="12"/>
  <c r="C297" i="33"/>
  <c r="C303" i="9"/>
  <c r="E288" i="25"/>
  <c r="J289" i="49"/>
  <c r="C289" i="39"/>
  <c r="C289" i="12"/>
  <c r="C289" i="13"/>
  <c r="C289" i="33"/>
  <c r="C295" i="9"/>
  <c r="E230" i="25"/>
  <c r="J231" i="49"/>
  <c r="C231" i="13"/>
  <c r="C231" i="39"/>
  <c r="C231" i="12"/>
  <c r="C237" i="9"/>
  <c r="C231" i="33"/>
  <c r="E153" i="25"/>
  <c r="J154" i="49"/>
  <c r="C154" i="13"/>
  <c r="C154" i="12"/>
  <c r="C154" i="39"/>
  <c r="C154" i="33"/>
  <c r="C160" i="9"/>
  <c r="J87" i="49"/>
  <c r="E86" i="25"/>
  <c r="C87" i="13"/>
  <c r="C87" i="39"/>
  <c r="C87" i="12"/>
  <c r="C93" i="9"/>
  <c r="C87" i="33"/>
  <c r="J103" i="49"/>
  <c r="E102" i="25"/>
  <c r="C103" i="13"/>
  <c r="C103" i="39"/>
  <c r="C103" i="12"/>
  <c r="C109" i="9"/>
  <c r="C103" i="33"/>
  <c r="E145" i="25"/>
  <c r="J146" i="49"/>
  <c r="C146" i="13"/>
  <c r="C146" i="12"/>
  <c r="C146" i="39"/>
  <c r="C146" i="33"/>
  <c r="C152" i="9"/>
  <c r="E82" i="25"/>
  <c r="C83" i="13"/>
  <c r="J83" i="49"/>
  <c r="C83" i="39"/>
  <c r="C83" i="12"/>
  <c r="C83" i="33"/>
  <c r="C89" i="9"/>
  <c r="E96" i="25"/>
  <c r="J97" i="49"/>
  <c r="C97" i="39"/>
  <c r="C97" i="12"/>
  <c r="C97" i="13"/>
  <c r="C97" i="33"/>
  <c r="C103" i="9"/>
  <c r="E37" i="25"/>
  <c r="J38" i="49"/>
  <c r="C38" i="39"/>
  <c r="C38" i="12"/>
  <c r="C38" i="13"/>
  <c r="C38" i="33"/>
  <c r="C44" i="9"/>
  <c r="C185" i="11"/>
  <c r="C191" i="34"/>
  <c r="E185" i="33"/>
  <c r="D185" i="37" s="1"/>
  <c r="E110" i="33"/>
  <c r="D110" i="37" s="1"/>
  <c r="C110" i="11"/>
  <c r="C116" i="34"/>
  <c r="E150" i="25"/>
  <c r="J151" i="49"/>
  <c r="C151" i="39"/>
  <c r="C151" i="13"/>
  <c r="C151" i="12"/>
  <c r="C151" i="33"/>
  <c r="C157" i="9"/>
  <c r="E258" i="25"/>
  <c r="J259" i="49"/>
  <c r="C259" i="39"/>
  <c r="C259" i="12"/>
  <c r="C259" i="13"/>
  <c r="C259" i="33"/>
  <c r="C265" i="9"/>
  <c r="E278" i="25"/>
  <c r="J279" i="49"/>
  <c r="C279" i="13"/>
  <c r="C279" i="39"/>
  <c r="C279" i="12"/>
  <c r="C279" i="33"/>
  <c r="C285" i="9"/>
  <c r="E251" i="25"/>
  <c r="J252" i="49"/>
  <c r="C252" i="13"/>
  <c r="C252" i="39"/>
  <c r="C252" i="12"/>
  <c r="C252" i="33"/>
  <c r="C258" i="9"/>
  <c r="J79" i="49"/>
  <c r="E78" i="25"/>
  <c r="C79" i="13"/>
  <c r="C79" i="39"/>
  <c r="C79" i="12"/>
  <c r="C79" i="33"/>
  <c r="C85" i="9"/>
  <c r="J93" i="49"/>
  <c r="E92" i="25"/>
  <c r="C93" i="13"/>
  <c r="C93" i="39"/>
  <c r="C93" i="12"/>
  <c r="C93" i="33"/>
  <c r="C99" i="9"/>
  <c r="E29" i="25"/>
  <c r="J30" i="49"/>
  <c r="C30" i="13"/>
  <c r="C30" i="39"/>
  <c r="C30" i="12"/>
  <c r="C30" i="33"/>
  <c r="C36" i="9"/>
  <c r="E129" i="25"/>
  <c r="J130" i="49"/>
  <c r="C130" i="13"/>
  <c r="C130" i="12"/>
  <c r="C130" i="33"/>
  <c r="C130" i="39"/>
  <c r="C136" i="9"/>
  <c r="E112" i="33"/>
  <c r="D112" i="37" s="1"/>
  <c r="E74" i="25"/>
  <c r="J75" i="49"/>
  <c r="C75" i="13"/>
  <c r="C75" i="39"/>
  <c r="C75" i="12"/>
  <c r="C75" i="33"/>
  <c r="C81" i="9"/>
  <c r="E88" i="25"/>
  <c r="J89" i="49"/>
  <c r="C89" i="13"/>
  <c r="C89" i="39"/>
  <c r="C89" i="12"/>
  <c r="C95" i="9"/>
  <c r="C89" i="33"/>
  <c r="E280" i="25"/>
  <c r="C281" i="39"/>
  <c r="C281" i="13"/>
  <c r="C281" i="12"/>
  <c r="J281" i="49"/>
  <c r="C281" i="33"/>
  <c r="C287" i="9"/>
  <c r="C161" i="11"/>
  <c r="C167" i="34"/>
  <c r="E161" i="33"/>
  <c r="D161" i="37" s="1"/>
  <c r="E177" i="25"/>
  <c r="J178" i="49"/>
  <c r="C178" i="13"/>
  <c r="C178" i="12"/>
  <c r="C178" i="39"/>
  <c r="C178" i="33"/>
  <c r="C184" i="9"/>
  <c r="E274" i="25"/>
  <c r="J275" i="49"/>
  <c r="C275" i="39"/>
  <c r="C275" i="12"/>
  <c r="C275" i="13"/>
  <c r="C275" i="33"/>
  <c r="C281" i="9"/>
  <c r="E205" i="25"/>
  <c r="J206" i="49"/>
  <c r="C206" i="39"/>
  <c r="C206" i="12"/>
  <c r="C206" i="13"/>
  <c r="C206" i="33"/>
  <c r="C212" i="9"/>
  <c r="J77" i="49"/>
  <c r="E76" i="25"/>
  <c r="C77" i="13"/>
  <c r="C77" i="39"/>
  <c r="C77" i="12"/>
  <c r="C77" i="33"/>
  <c r="C83" i="9"/>
  <c r="E51" i="25"/>
  <c r="C52" i="13"/>
  <c r="C52" i="39"/>
  <c r="C52" i="12"/>
  <c r="C52" i="33"/>
  <c r="J52" i="49"/>
  <c r="C58" i="9"/>
  <c r="E110" i="25"/>
  <c r="J111" i="49"/>
  <c r="C111" i="13"/>
  <c r="C111" i="39"/>
  <c r="C111" i="12"/>
  <c r="C111" i="33"/>
  <c r="C117" i="9"/>
  <c r="E83" i="25"/>
  <c r="J84" i="49"/>
  <c r="C84" i="13"/>
  <c r="C84" i="39"/>
  <c r="C84" i="12"/>
  <c r="C84" i="33"/>
  <c r="C90" i="9"/>
  <c r="E234" i="25"/>
  <c r="J235" i="49"/>
  <c r="C235" i="39"/>
  <c r="C235" i="12"/>
  <c r="C235" i="13"/>
  <c r="C235" i="33"/>
  <c r="C241" i="9"/>
  <c r="E161" i="25"/>
  <c r="J162" i="49"/>
  <c r="C162" i="13"/>
  <c r="C162" i="12"/>
  <c r="C162" i="39"/>
  <c r="C162" i="33"/>
  <c r="C168" i="9"/>
  <c r="J37" i="49"/>
  <c r="E36" i="25"/>
  <c r="C37" i="13"/>
  <c r="C37" i="39"/>
  <c r="C37" i="12"/>
  <c r="C37" i="33"/>
  <c r="C43" i="9"/>
  <c r="C207" i="11"/>
  <c r="C213" i="34"/>
  <c r="E207" i="33"/>
  <c r="D207" i="37" s="1"/>
  <c r="C35" i="11"/>
  <c r="C41" i="34"/>
  <c r="E35" i="33"/>
  <c r="D35" i="37" s="1"/>
  <c r="C291" i="11"/>
  <c r="C297" i="34"/>
  <c r="E291" i="33"/>
  <c r="D291" i="37" s="1"/>
  <c r="E107" i="25"/>
  <c r="J108" i="49"/>
  <c r="C108" i="13"/>
  <c r="C108" i="39"/>
  <c r="C108" i="12"/>
  <c r="C108" i="33"/>
  <c r="C114" i="9"/>
  <c r="E279" i="25"/>
  <c r="J280" i="49"/>
  <c r="C280" i="13"/>
  <c r="C280" i="39"/>
  <c r="C280" i="12"/>
  <c r="C286" i="9"/>
  <c r="C280" i="33"/>
  <c r="E259" i="25"/>
  <c r="J260" i="49"/>
  <c r="C260" i="39"/>
  <c r="C260" i="12"/>
  <c r="C260" i="13"/>
  <c r="C266" i="9"/>
  <c r="C260" i="33"/>
  <c r="C271" i="19"/>
  <c r="L271" i="19" s="1"/>
  <c r="C125" i="11"/>
  <c r="C131" i="34"/>
  <c r="E125" i="33"/>
  <c r="D125" i="37" s="1"/>
  <c r="E46" i="25"/>
  <c r="J47" i="49"/>
  <c r="C47" i="13"/>
  <c r="C47" i="39"/>
  <c r="C47" i="12"/>
  <c r="C47" i="33"/>
  <c r="C53" i="9"/>
  <c r="C13" i="11"/>
  <c r="C19" i="34"/>
  <c r="E13" i="33"/>
  <c r="D13" i="37" s="1"/>
  <c r="E28" i="25"/>
  <c r="J29" i="49"/>
  <c r="C29" i="13"/>
  <c r="C29" i="39"/>
  <c r="C29" i="12"/>
  <c r="C29" i="33"/>
  <c r="C35" i="9"/>
  <c r="E16" i="25"/>
  <c r="J17" i="49"/>
  <c r="C17" i="13"/>
  <c r="C17" i="39"/>
  <c r="C17" i="12"/>
  <c r="C17" i="33"/>
  <c r="C23" i="9"/>
  <c r="E276" i="33"/>
  <c r="D276" i="37" s="1"/>
  <c r="C276" i="11"/>
  <c r="C282" i="34"/>
  <c r="E123" i="25"/>
  <c r="J124" i="49"/>
  <c r="C124" i="13"/>
  <c r="C124" i="39"/>
  <c r="C124" i="12"/>
  <c r="C124" i="33"/>
  <c r="C130" i="9"/>
  <c r="E155" i="25"/>
  <c r="J156" i="49"/>
  <c r="C156" i="13"/>
  <c r="C156" i="39"/>
  <c r="C156" i="12"/>
  <c r="C156" i="33"/>
  <c r="C162" i="9"/>
  <c r="E216" i="25"/>
  <c r="J217" i="49"/>
  <c r="C217" i="39"/>
  <c r="C217" i="13"/>
  <c r="C217" i="12"/>
  <c r="C223" i="9"/>
  <c r="C217" i="33"/>
  <c r="J71" i="49"/>
  <c r="E70" i="25"/>
  <c r="C71" i="13"/>
  <c r="C71" i="39"/>
  <c r="C71" i="12"/>
  <c r="C71" i="33"/>
  <c r="C77" i="9"/>
  <c r="E84" i="25"/>
  <c r="C85" i="13"/>
  <c r="J85" i="49"/>
  <c r="C85" i="39"/>
  <c r="C85" i="12"/>
  <c r="C85" i="33"/>
  <c r="C91" i="9"/>
  <c r="E13" i="25"/>
  <c r="J14" i="49"/>
  <c r="C14" i="13"/>
  <c r="C14" i="39"/>
  <c r="C14" i="12"/>
  <c r="C14" i="33"/>
  <c r="C20" i="9"/>
  <c r="C59" i="11"/>
  <c r="C65" i="34"/>
  <c r="E59" i="33"/>
  <c r="D59" i="37" s="1"/>
  <c r="E287" i="25"/>
  <c r="C288" i="13"/>
  <c r="C288" i="39"/>
  <c r="C288" i="12"/>
  <c r="J288" i="49"/>
  <c r="C294" i="9"/>
  <c r="C288" i="33"/>
  <c r="E248" i="25"/>
  <c r="J249" i="49"/>
  <c r="C249" i="39"/>
  <c r="C249" i="13"/>
  <c r="C249" i="12"/>
  <c r="C249" i="33"/>
  <c r="C255" i="9"/>
  <c r="E93" i="25"/>
  <c r="J94" i="49"/>
  <c r="C94" i="13"/>
  <c r="C94" i="39"/>
  <c r="C94" i="12"/>
  <c r="C94" i="33"/>
  <c r="C100" i="9"/>
  <c r="E57" i="25"/>
  <c r="C58" i="13"/>
  <c r="J58" i="49"/>
  <c r="C58" i="12"/>
  <c r="C58" i="39"/>
  <c r="C58" i="33"/>
  <c r="C64" i="9"/>
  <c r="E195" i="25"/>
  <c r="J196" i="49"/>
  <c r="C196" i="39"/>
  <c r="C196" i="12"/>
  <c r="C196" i="13"/>
  <c r="C196" i="33"/>
  <c r="C202" i="9"/>
  <c r="E294" i="25"/>
  <c r="C295" i="13"/>
  <c r="J295" i="49"/>
  <c r="C295" i="39"/>
  <c r="C295" i="12"/>
  <c r="C295" i="33"/>
  <c r="C301" i="9"/>
  <c r="E215" i="25"/>
  <c r="J216" i="49"/>
  <c r="C216" i="13"/>
  <c r="C216" i="39"/>
  <c r="C216" i="12"/>
  <c r="C216" i="33"/>
  <c r="C222" i="9"/>
  <c r="E221" i="25"/>
  <c r="J222" i="49"/>
  <c r="C222" i="39"/>
  <c r="C222" i="12"/>
  <c r="C222" i="13"/>
  <c r="C222" i="33"/>
  <c r="C228" i="9"/>
  <c r="E223" i="25"/>
  <c r="J224" i="49"/>
  <c r="C224" i="13"/>
  <c r="C224" i="39"/>
  <c r="C224" i="12"/>
  <c r="C230" i="9"/>
  <c r="C224" i="33"/>
  <c r="J55" i="49"/>
  <c r="E54" i="25"/>
  <c r="C55" i="13"/>
  <c r="C55" i="39"/>
  <c r="C55" i="12"/>
  <c r="C55" i="33"/>
  <c r="C61" i="9"/>
  <c r="J263" i="49"/>
  <c r="E262" i="25"/>
  <c r="C263" i="13"/>
  <c r="C263" i="39"/>
  <c r="C263" i="12"/>
  <c r="C263" i="33"/>
  <c r="C269" i="9"/>
  <c r="E197" i="25"/>
  <c r="J198" i="49"/>
  <c r="C198" i="39"/>
  <c r="C198" i="13"/>
  <c r="C198" i="12"/>
  <c r="C198" i="33"/>
  <c r="C204" i="9"/>
  <c r="E45" i="25"/>
  <c r="J46" i="49"/>
  <c r="C46" i="13"/>
  <c r="C46" i="39"/>
  <c r="C46" i="12"/>
  <c r="C46" i="33"/>
  <c r="C52" i="9"/>
  <c r="E6" i="25"/>
  <c r="J7" i="49"/>
  <c r="C7" i="13"/>
  <c r="C7" i="39"/>
  <c r="C7" i="12"/>
  <c r="C7" i="33"/>
  <c r="C13" i="9"/>
  <c r="E292" i="33"/>
  <c r="D292" i="37" s="1"/>
  <c r="C292" i="11"/>
  <c r="C298" i="34"/>
  <c r="E139" i="25"/>
  <c r="J140" i="49"/>
  <c r="C140" i="39"/>
  <c r="C140" i="13"/>
  <c r="C140" i="12"/>
  <c r="C140" i="33"/>
  <c r="C146" i="9"/>
  <c r="E213" i="25"/>
  <c r="J214" i="49"/>
  <c r="C214" i="39"/>
  <c r="C214" i="13"/>
  <c r="C214" i="12"/>
  <c r="C214" i="33"/>
  <c r="C220" i="9"/>
  <c r="E256" i="25"/>
  <c r="J257" i="49"/>
  <c r="C257" i="39"/>
  <c r="C257" i="12"/>
  <c r="C257" i="13"/>
  <c r="C257" i="33"/>
  <c r="C263" i="9"/>
  <c r="E253" i="25"/>
  <c r="J254" i="49"/>
  <c r="C254" i="39"/>
  <c r="C254" i="12"/>
  <c r="C254" i="13"/>
  <c r="C254" i="33"/>
  <c r="C260" i="9"/>
  <c r="E189" i="25"/>
  <c r="J190" i="49"/>
  <c r="C190" i="39"/>
  <c r="C190" i="12"/>
  <c r="C190" i="13"/>
  <c r="C190" i="33"/>
  <c r="C196" i="9"/>
  <c r="E68" i="25"/>
  <c r="J69" i="49"/>
  <c r="C69" i="13"/>
  <c r="C69" i="39"/>
  <c r="C69" i="12"/>
  <c r="C69" i="33"/>
  <c r="C75" i="9"/>
  <c r="E51" i="33"/>
  <c r="D51" i="37" s="1"/>
  <c r="C51" i="11"/>
  <c r="C57" i="34"/>
  <c r="C131" i="11"/>
  <c r="C137" i="34"/>
  <c r="E131" i="33"/>
  <c r="D131" i="37" s="1"/>
  <c r="E181" i="25"/>
  <c r="J182" i="49"/>
  <c r="C182" i="39"/>
  <c r="C182" i="13"/>
  <c r="C182" i="12"/>
  <c r="C182" i="33"/>
  <c r="C188" i="9"/>
  <c r="E64" i="25"/>
  <c r="J65" i="49"/>
  <c r="C65" i="39"/>
  <c r="C65" i="12"/>
  <c r="C65" i="13"/>
  <c r="C65" i="33"/>
  <c r="C71" i="9"/>
  <c r="E27" i="25"/>
  <c r="J28" i="49"/>
  <c r="C28" i="13"/>
  <c r="C28" i="39"/>
  <c r="C28" i="12"/>
  <c r="C28" i="33"/>
  <c r="C34" i="9"/>
  <c r="C191" i="11"/>
  <c r="C197" i="34"/>
  <c r="E191" i="33"/>
  <c r="D191" i="37" s="1"/>
  <c r="E131" i="25"/>
  <c r="J132" i="49"/>
  <c r="C132" i="13"/>
  <c r="C132" i="39"/>
  <c r="C132" i="12"/>
  <c r="C132" i="33"/>
  <c r="C138" i="9"/>
  <c r="E222" i="25"/>
  <c r="J223" i="49"/>
  <c r="C223" i="13"/>
  <c r="C223" i="39"/>
  <c r="C223" i="12"/>
  <c r="C229" i="9"/>
  <c r="C223" i="33"/>
  <c r="E173" i="25"/>
  <c r="J174" i="49"/>
  <c r="C174" i="39"/>
  <c r="C174" i="13"/>
  <c r="C174" i="12"/>
  <c r="C174" i="33"/>
  <c r="C180" i="9"/>
  <c r="E33" i="25"/>
  <c r="J34" i="49"/>
  <c r="C34" i="12"/>
  <c r="C34" i="13"/>
  <c r="C34" i="33"/>
  <c r="C34" i="39"/>
  <c r="C40" i="9"/>
  <c r="E19" i="25"/>
  <c r="J20" i="49"/>
  <c r="C20" i="13"/>
  <c r="C20" i="39"/>
  <c r="C20" i="12"/>
  <c r="C20" i="33"/>
  <c r="C26" i="9"/>
  <c r="E165" i="25"/>
  <c r="J166" i="49"/>
  <c r="C166" i="39"/>
  <c r="C166" i="13"/>
  <c r="C166" i="12"/>
  <c r="C166" i="33"/>
  <c r="C172" i="9"/>
  <c r="J24" i="49"/>
  <c r="E23" i="25"/>
  <c r="C24" i="13"/>
  <c r="C24" i="12"/>
  <c r="C24" i="39"/>
  <c r="C24" i="33"/>
  <c r="C30" i="9"/>
  <c r="E255" i="25"/>
  <c r="C256" i="13"/>
  <c r="C256" i="39"/>
  <c r="J256" i="49"/>
  <c r="C256" i="12"/>
  <c r="C262" i="9"/>
  <c r="C256" i="33"/>
  <c r="E231" i="25"/>
  <c r="J232" i="49"/>
  <c r="C232" i="39"/>
  <c r="C232" i="12"/>
  <c r="C232" i="13"/>
  <c r="C238" i="9"/>
  <c r="C232" i="33"/>
  <c r="C296" i="11"/>
  <c r="C302" i="34"/>
  <c r="E296" i="33"/>
  <c r="D296" i="37" s="1"/>
  <c r="E242" i="25"/>
  <c r="J243" i="49"/>
  <c r="C243" i="39"/>
  <c r="C243" i="12"/>
  <c r="C243" i="13"/>
  <c r="C243" i="33"/>
  <c r="C249" i="9"/>
  <c r="E113" i="25"/>
  <c r="J114" i="49"/>
  <c r="C114" i="13"/>
  <c r="C114" i="12"/>
  <c r="C114" i="39"/>
  <c r="C120" i="9"/>
  <c r="C114" i="33"/>
  <c r="E149" i="33"/>
  <c r="D149" i="37" s="1"/>
  <c r="C149" i="11"/>
  <c r="C155" i="34"/>
  <c r="E187" i="25"/>
  <c r="J188" i="49"/>
  <c r="C188" i="13"/>
  <c r="C188" i="39"/>
  <c r="C188" i="12"/>
  <c r="C188" i="33"/>
  <c r="C194" i="9"/>
  <c r="E8" i="25"/>
  <c r="J9" i="49"/>
  <c r="C9" i="13"/>
  <c r="C9" i="39"/>
  <c r="C9" i="12"/>
  <c r="C15" i="9"/>
  <c r="C9" i="33"/>
  <c r="E141" i="25"/>
  <c r="J142" i="49"/>
  <c r="C142" i="39"/>
  <c r="C142" i="12"/>
  <c r="C142" i="13"/>
  <c r="C142" i="33"/>
  <c r="C148" i="9"/>
  <c r="E91" i="25"/>
  <c r="C92" i="13"/>
  <c r="J92" i="49"/>
  <c r="C92" i="39"/>
  <c r="C92" i="12"/>
  <c r="C92" i="33"/>
  <c r="C98" i="9"/>
  <c r="E207" i="25"/>
  <c r="J208" i="49"/>
  <c r="C208" i="13"/>
  <c r="C208" i="12"/>
  <c r="C208" i="39"/>
  <c r="C208" i="33"/>
  <c r="C214" i="9"/>
  <c r="E87" i="25"/>
  <c r="J88" i="49"/>
  <c r="C88" i="12"/>
  <c r="C88" i="13"/>
  <c r="C88" i="39"/>
  <c r="C94" i="9"/>
  <c r="C88" i="33"/>
  <c r="J22" i="49"/>
  <c r="E21" i="25"/>
  <c r="C22" i="39"/>
  <c r="C22" i="12"/>
  <c r="C22" i="13"/>
  <c r="C22" i="33"/>
  <c r="C28" i="9"/>
  <c r="E261" i="25"/>
  <c r="C262" i="39"/>
  <c r="C262" i="13"/>
  <c r="C262" i="12"/>
  <c r="J262" i="49"/>
  <c r="C262" i="33"/>
  <c r="C268" i="9"/>
  <c r="C144" i="11"/>
  <c r="C150" i="34"/>
  <c r="E163" i="33"/>
  <c r="D163" i="37" s="1"/>
  <c r="C163" i="11"/>
  <c r="C169" i="34"/>
  <c r="E276" i="25"/>
  <c r="J277" i="49"/>
  <c r="C277" i="39"/>
  <c r="C277" i="12"/>
  <c r="C277" i="13"/>
  <c r="C277" i="33"/>
  <c r="C283" i="9"/>
  <c r="E224" i="25"/>
  <c r="J225" i="49"/>
  <c r="C225" i="39"/>
  <c r="C225" i="12"/>
  <c r="C225" i="13"/>
  <c r="C225" i="33"/>
  <c r="C231" i="9"/>
  <c r="E226" i="25"/>
  <c r="J227" i="49"/>
  <c r="C227" i="39"/>
  <c r="C227" i="12"/>
  <c r="C227" i="13"/>
  <c r="C227" i="33"/>
  <c r="C233" i="9"/>
  <c r="J53" i="49"/>
  <c r="E52" i="25"/>
  <c r="C53" i="13"/>
  <c r="C53" i="39"/>
  <c r="C53" i="12"/>
  <c r="C53" i="33"/>
  <c r="C59" i="9"/>
  <c r="E254" i="25"/>
  <c r="J255" i="49"/>
  <c r="C255" i="13"/>
  <c r="C255" i="39"/>
  <c r="C255" i="12"/>
  <c r="C261" i="9"/>
  <c r="C255" i="33"/>
  <c r="C171" i="34"/>
  <c r="E299" i="25"/>
  <c r="J300" i="49"/>
  <c r="C300" i="13"/>
  <c r="C300" i="39"/>
  <c r="C300" i="12"/>
  <c r="C300" i="33"/>
  <c r="C306" i="9"/>
  <c r="E239" i="25"/>
  <c r="J240" i="49"/>
  <c r="C240" i="13"/>
  <c r="C240" i="39"/>
  <c r="C240" i="12"/>
  <c r="C240" i="33"/>
  <c r="C246" i="9"/>
  <c r="E203" i="25"/>
  <c r="J204" i="49"/>
  <c r="C204" i="13"/>
  <c r="C204" i="39"/>
  <c r="C204" i="12"/>
  <c r="C204" i="33"/>
  <c r="C210" i="9"/>
  <c r="J23" i="49"/>
  <c r="E22" i="25"/>
  <c r="C23" i="13"/>
  <c r="C23" i="39"/>
  <c r="C29" i="9"/>
  <c r="C23" i="33"/>
  <c r="C23" i="12"/>
  <c r="E284" i="25"/>
  <c r="J285" i="49"/>
  <c r="C285" i="13"/>
  <c r="C285" i="39"/>
  <c r="C285" i="12"/>
  <c r="C291" i="9"/>
  <c r="C285" i="33"/>
  <c r="E271" i="25"/>
  <c r="J272" i="49"/>
  <c r="C272" i="13"/>
  <c r="C272" i="12"/>
  <c r="C272" i="39"/>
  <c r="C278" i="9"/>
  <c r="C272" i="33"/>
  <c r="E157" i="25"/>
  <c r="J158" i="49"/>
  <c r="C158" i="39"/>
  <c r="C158" i="13"/>
  <c r="C158" i="12"/>
  <c r="C158" i="33"/>
  <c r="C164" i="9"/>
  <c r="E100" i="25"/>
  <c r="C101" i="13"/>
  <c r="J101" i="49"/>
  <c r="C101" i="39"/>
  <c r="C101" i="12"/>
  <c r="C101" i="33"/>
  <c r="C107" i="9"/>
  <c r="E179" i="25"/>
  <c r="J180" i="49"/>
  <c r="C180" i="13"/>
  <c r="C180" i="39"/>
  <c r="C180" i="12"/>
  <c r="C180" i="33"/>
  <c r="C186" i="9"/>
  <c r="E98" i="25"/>
  <c r="J99" i="49"/>
  <c r="C99" i="13"/>
  <c r="C99" i="39"/>
  <c r="C99" i="12"/>
  <c r="C99" i="33"/>
  <c r="C105" i="9"/>
  <c r="E41" i="25"/>
  <c r="J42" i="49"/>
  <c r="C42" i="13"/>
  <c r="C42" i="12"/>
  <c r="C42" i="39"/>
  <c r="C42" i="33"/>
  <c r="C48" i="9"/>
  <c r="J8" i="49"/>
  <c r="E7" i="25"/>
  <c r="C8" i="13"/>
  <c r="C8" i="12"/>
  <c r="C8" i="39"/>
  <c r="C8" i="33"/>
  <c r="C14" i="9"/>
  <c r="J287" i="49"/>
  <c r="C287" i="13"/>
  <c r="C287" i="39"/>
  <c r="E286" i="25"/>
  <c r="C287" i="12"/>
  <c r="C293" i="9"/>
  <c r="C287" i="33"/>
  <c r="E304" i="25"/>
  <c r="J305" i="49"/>
  <c r="C305" i="39"/>
  <c r="C305" i="12"/>
  <c r="C305" i="13"/>
  <c r="C305" i="33"/>
  <c r="C311" i="9"/>
  <c r="J239" i="49"/>
  <c r="E238" i="25"/>
  <c r="C239" i="13"/>
  <c r="C239" i="39"/>
  <c r="C239" i="12"/>
  <c r="C245" i="9"/>
  <c r="C239" i="33"/>
  <c r="E169" i="25"/>
  <c r="J170" i="49"/>
  <c r="C170" i="13"/>
  <c r="C170" i="12"/>
  <c r="C170" i="39"/>
  <c r="C170" i="33"/>
  <c r="C176" i="9"/>
  <c r="E41" i="33"/>
  <c r="D41" i="37" s="1"/>
  <c r="C41" i="11"/>
  <c r="C47" i="34"/>
  <c r="E266" i="25"/>
  <c r="J267" i="49"/>
  <c r="C267" i="39"/>
  <c r="C267" i="12"/>
  <c r="C267" i="13"/>
  <c r="C267" i="33"/>
  <c r="C273" i="9"/>
  <c r="E289" i="25"/>
  <c r="J290" i="49"/>
  <c r="C290" i="13"/>
  <c r="C290" i="12"/>
  <c r="C290" i="39"/>
  <c r="C296" i="9"/>
  <c r="C290" i="33"/>
  <c r="E85" i="25"/>
  <c r="J86" i="49"/>
  <c r="C86" i="13"/>
  <c r="C86" i="39"/>
  <c r="C86" i="12"/>
  <c r="C86" i="33"/>
  <c r="C92" i="9"/>
  <c r="E71" i="25"/>
  <c r="J72" i="49"/>
  <c r="C72" i="13"/>
  <c r="C72" i="12"/>
  <c r="C72" i="39"/>
  <c r="C78" i="9"/>
  <c r="C72" i="33"/>
  <c r="E292" i="25"/>
  <c r="J293" i="49"/>
  <c r="C293" i="39"/>
  <c r="C293" i="13"/>
  <c r="C293" i="12"/>
  <c r="C293" i="33"/>
  <c r="C299" i="9"/>
  <c r="E303" i="25"/>
  <c r="J304" i="49"/>
  <c r="C304" i="13"/>
  <c r="C304" i="39"/>
  <c r="C304" i="12"/>
  <c r="C310" i="9"/>
  <c r="C304" i="33"/>
  <c r="E232" i="25"/>
  <c r="J233" i="49"/>
  <c r="C233" i="39"/>
  <c r="C233" i="13"/>
  <c r="C233" i="12"/>
  <c r="C233" i="33"/>
  <c r="C239" i="9"/>
  <c r="E247" i="25"/>
  <c r="J248" i="49"/>
  <c r="C248" i="12"/>
  <c r="C248" i="39"/>
  <c r="C248" i="13"/>
  <c r="C248" i="33"/>
  <c r="C254" i="9"/>
  <c r="E125" i="25"/>
  <c r="J126" i="49"/>
  <c r="C126" i="39"/>
  <c r="C126" i="12"/>
  <c r="C126" i="13"/>
  <c r="C126" i="33"/>
  <c r="C132" i="9"/>
  <c r="E47" i="25"/>
  <c r="J48" i="49"/>
  <c r="C48" i="13"/>
  <c r="C48" i="12"/>
  <c r="C48" i="39"/>
  <c r="C48" i="33"/>
  <c r="C54" i="9"/>
  <c r="E243" i="25"/>
  <c r="J244" i="49"/>
  <c r="C244" i="39"/>
  <c r="C244" i="12"/>
  <c r="C244" i="13"/>
  <c r="C244" i="33"/>
  <c r="C250" i="9"/>
  <c r="E117" i="25"/>
  <c r="J118" i="49"/>
  <c r="C118" i="13"/>
  <c r="C118" i="39"/>
  <c r="C118" i="12"/>
  <c r="C118" i="33"/>
  <c r="C124" i="9"/>
  <c r="E79" i="25"/>
  <c r="J80" i="49"/>
  <c r="C80" i="13"/>
  <c r="C80" i="12"/>
  <c r="C80" i="39"/>
  <c r="C80" i="33"/>
  <c r="C86" i="9"/>
  <c r="J109" i="49"/>
  <c r="E108" i="25"/>
  <c r="C109" i="13"/>
  <c r="C109" i="39"/>
  <c r="C109" i="12"/>
  <c r="C109" i="33"/>
  <c r="C115" i="9"/>
  <c r="E267" i="9"/>
  <c r="E146" i="9"/>
  <c r="E117" i="9"/>
  <c r="E31" i="9"/>
  <c r="E72" i="9"/>
  <c r="E126" i="9"/>
  <c r="E277" i="9"/>
  <c r="A7" i="54"/>
  <c r="B7" i="54"/>
  <c r="A8" i="54"/>
  <c r="B8" i="54"/>
  <c r="A9" i="54"/>
  <c r="B9" i="54"/>
  <c r="A10" i="54"/>
  <c r="B10" i="54"/>
  <c r="A11" i="54"/>
  <c r="B11" i="54"/>
  <c r="A12" i="54"/>
  <c r="B12" i="54"/>
  <c r="A13" i="54"/>
  <c r="B13" i="54"/>
  <c r="A14" i="54"/>
  <c r="B14" i="54"/>
  <c r="A15" i="54"/>
  <c r="B15" i="54"/>
  <c r="A16" i="54"/>
  <c r="B16" i="54"/>
  <c r="A17" i="54"/>
  <c r="B17" i="54"/>
  <c r="A18" i="54"/>
  <c r="B18" i="54"/>
  <c r="A19" i="54"/>
  <c r="B19" i="54"/>
  <c r="A20" i="54"/>
  <c r="B20" i="54"/>
  <c r="A21" i="54"/>
  <c r="B21" i="54"/>
  <c r="A22" i="54"/>
  <c r="B22" i="54"/>
  <c r="A23" i="54"/>
  <c r="B23" i="54"/>
  <c r="A24" i="54"/>
  <c r="B24" i="54"/>
  <c r="A25" i="54"/>
  <c r="B25" i="54"/>
  <c r="A26" i="54"/>
  <c r="B26" i="54"/>
  <c r="A27" i="54"/>
  <c r="B27" i="54"/>
  <c r="A28" i="54"/>
  <c r="B28" i="54"/>
  <c r="A29" i="54"/>
  <c r="B29" i="54"/>
  <c r="A30" i="54"/>
  <c r="B30" i="54"/>
  <c r="A31" i="54"/>
  <c r="B31" i="54"/>
  <c r="A32" i="54"/>
  <c r="B32" i="54"/>
  <c r="A33" i="54"/>
  <c r="B33" i="54"/>
  <c r="A34" i="54"/>
  <c r="B34" i="54"/>
  <c r="A35" i="54"/>
  <c r="B35" i="54"/>
  <c r="A36" i="54"/>
  <c r="B36" i="54"/>
  <c r="A37" i="54"/>
  <c r="B37" i="54"/>
  <c r="A38" i="54"/>
  <c r="B38" i="54"/>
  <c r="A39" i="54"/>
  <c r="B39" i="54"/>
  <c r="A40" i="54"/>
  <c r="B40" i="54"/>
  <c r="A41" i="54"/>
  <c r="B41" i="54"/>
  <c r="A42" i="54"/>
  <c r="B42" i="54"/>
  <c r="A43" i="54"/>
  <c r="B43" i="54"/>
  <c r="A44" i="54"/>
  <c r="B44" i="54"/>
  <c r="A45" i="54"/>
  <c r="B45" i="54"/>
  <c r="A46" i="54"/>
  <c r="B46" i="54"/>
  <c r="A47" i="54"/>
  <c r="B47" i="54"/>
  <c r="A48" i="54"/>
  <c r="B48" i="54"/>
  <c r="A49" i="54"/>
  <c r="B49" i="54"/>
  <c r="A50" i="54"/>
  <c r="B50" i="54"/>
  <c r="A51" i="54"/>
  <c r="B51" i="54"/>
  <c r="A52" i="54"/>
  <c r="B52" i="54"/>
  <c r="A53" i="54"/>
  <c r="B53" i="54"/>
  <c r="A54" i="54"/>
  <c r="B54" i="54"/>
  <c r="A55" i="54"/>
  <c r="B55" i="54"/>
  <c r="A56" i="54"/>
  <c r="B56" i="54"/>
  <c r="A57" i="54"/>
  <c r="B57" i="54"/>
  <c r="A58" i="54"/>
  <c r="B58" i="54"/>
  <c r="A59" i="54"/>
  <c r="B59" i="54"/>
  <c r="A60" i="54"/>
  <c r="B60" i="54"/>
  <c r="A61" i="54"/>
  <c r="B61" i="54"/>
  <c r="A62" i="54"/>
  <c r="B62" i="54"/>
  <c r="A63" i="54"/>
  <c r="B63" i="54"/>
  <c r="A64" i="54"/>
  <c r="B64" i="54"/>
  <c r="A65" i="54"/>
  <c r="B65" i="54"/>
  <c r="A66" i="54"/>
  <c r="B66" i="54"/>
  <c r="A67" i="54"/>
  <c r="B67" i="54"/>
  <c r="A68" i="54"/>
  <c r="B68" i="54"/>
  <c r="A69" i="54"/>
  <c r="B69" i="54"/>
  <c r="A70" i="54"/>
  <c r="B70" i="54"/>
  <c r="A71" i="54"/>
  <c r="B71" i="54"/>
  <c r="A72" i="54"/>
  <c r="B72" i="54"/>
  <c r="A73" i="54"/>
  <c r="B73" i="54"/>
  <c r="A74" i="54"/>
  <c r="B74" i="54"/>
  <c r="A75" i="54"/>
  <c r="B75" i="54"/>
  <c r="A76" i="54"/>
  <c r="B76" i="54"/>
  <c r="A77" i="54"/>
  <c r="B77" i="54"/>
  <c r="A78" i="54"/>
  <c r="B78" i="54"/>
  <c r="A79" i="54"/>
  <c r="B79" i="54"/>
  <c r="A80" i="54"/>
  <c r="B80" i="54"/>
  <c r="A81" i="54"/>
  <c r="B81" i="54"/>
  <c r="A82" i="54"/>
  <c r="B82" i="54"/>
  <c r="A83" i="54"/>
  <c r="B83" i="54"/>
  <c r="A84" i="54"/>
  <c r="B84" i="54"/>
  <c r="A85" i="54"/>
  <c r="B85" i="54"/>
  <c r="A86" i="54"/>
  <c r="B86" i="54"/>
  <c r="A87" i="54"/>
  <c r="B87" i="54"/>
  <c r="A88" i="54"/>
  <c r="B88" i="54"/>
  <c r="A89" i="54"/>
  <c r="B89" i="54"/>
  <c r="A90" i="54"/>
  <c r="B90" i="54"/>
  <c r="A91" i="54"/>
  <c r="B91" i="54"/>
  <c r="A92" i="54"/>
  <c r="B92" i="54"/>
  <c r="A93" i="54"/>
  <c r="B93" i="54"/>
  <c r="A94" i="54"/>
  <c r="B94" i="54"/>
  <c r="A95" i="54"/>
  <c r="B95" i="54"/>
  <c r="A96" i="54"/>
  <c r="B96" i="54"/>
  <c r="A97" i="54"/>
  <c r="B97" i="54"/>
  <c r="A98" i="54"/>
  <c r="B98" i="54"/>
  <c r="A99" i="54"/>
  <c r="B99" i="54"/>
  <c r="A100" i="54"/>
  <c r="B100" i="54"/>
  <c r="A101" i="54"/>
  <c r="B101" i="54"/>
  <c r="A102" i="54"/>
  <c r="B102" i="54"/>
  <c r="A103" i="54"/>
  <c r="B103" i="54"/>
  <c r="A104" i="54"/>
  <c r="B104" i="54"/>
  <c r="A105" i="54"/>
  <c r="B105" i="54"/>
  <c r="A106" i="54"/>
  <c r="B106" i="54"/>
  <c r="A107" i="54"/>
  <c r="B107" i="54"/>
  <c r="A108" i="54"/>
  <c r="B108" i="54"/>
  <c r="A109" i="54"/>
  <c r="B109" i="54"/>
  <c r="A110" i="54"/>
  <c r="B110" i="54"/>
  <c r="A111" i="54"/>
  <c r="B111" i="54"/>
  <c r="A112" i="54"/>
  <c r="B112" i="54"/>
  <c r="A113" i="54"/>
  <c r="B113" i="54"/>
  <c r="A114" i="54"/>
  <c r="B114" i="54"/>
  <c r="A115" i="54"/>
  <c r="B115" i="54"/>
  <c r="A116" i="54"/>
  <c r="B116" i="54"/>
  <c r="A117" i="54"/>
  <c r="B117" i="54"/>
  <c r="A118" i="54"/>
  <c r="B118" i="54"/>
  <c r="A119" i="54"/>
  <c r="B119" i="54"/>
  <c r="A120" i="54"/>
  <c r="B120" i="54"/>
  <c r="A121" i="54"/>
  <c r="B121" i="54"/>
  <c r="A122" i="54"/>
  <c r="B122" i="54"/>
  <c r="A123" i="54"/>
  <c r="B123" i="54"/>
  <c r="A124" i="54"/>
  <c r="B124" i="54"/>
  <c r="A125" i="54"/>
  <c r="B125" i="54"/>
  <c r="A126" i="54"/>
  <c r="B126" i="54"/>
  <c r="A127" i="54"/>
  <c r="B127" i="54"/>
  <c r="A128" i="54"/>
  <c r="B128" i="54"/>
  <c r="A129" i="54"/>
  <c r="B129" i="54"/>
  <c r="A130" i="54"/>
  <c r="B130" i="54"/>
  <c r="A131" i="54"/>
  <c r="B131" i="54"/>
  <c r="A132" i="54"/>
  <c r="B132" i="54"/>
  <c r="A133" i="54"/>
  <c r="B133" i="54"/>
  <c r="A134" i="54"/>
  <c r="B134" i="54"/>
  <c r="A135" i="54"/>
  <c r="B135" i="54"/>
  <c r="A136" i="54"/>
  <c r="B136" i="54"/>
  <c r="A137" i="54"/>
  <c r="B137" i="54"/>
  <c r="A138" i="54"/>
  <c r="B138" i="54"/>
  <c r="A139" i="54"/>
  <c r="B139" i="54"/>
  <c r="A140" i="54"/>
  <c r="B140" i="54"/>
  <c r="A141" i="54"/>
  <c r="B141" i="54"/>
  <c r="A142" i="54"/>
  <c r="B142" i="54"/>
  <c r="A143" i="54"/>
  <c r="B143" i="54"/>
  <c r="A144" i="54"/>
  <c r="B144" i="54"/>
  <c r="A145" i="54"/>
  <c r="B145" i="54"/>
  <c r="A146" i="54"/>
  <c r="B146" i="54"/>
  <c r="A147" i="54"/>
  <c r="B147" i="54"/>
  <c r="A148" i="54"/>
  <c r="B148" i="54"/>
  <c r="A149" i="54"/>
  <c r="B149" i="54"/>
  <c r="A150" i="54"/>
  <c r="B150" i="54"/>
  <c r="A151" i="54"/>
  <c r="B151" i="54"/>
  <c r="A152" i="54"/>
  <c r="B152" i="54"/>
  <c r="A153" i="54"/>
  <c r="B153" i="54"/>
  <c r="A154" i="54"/>
  <c r="B154" i="54"/>
  <c r="A155" i="54"/>
  <c r="B155" i="54"/>
  <c r="A156" i="54"/>
  <c r="B156" i="54"/>
  <c r="A157" i="54"/>
  <c r="B157" i="54"/>
  <c r="A158" i="54"/>
  <c r="B158" i="54"/>
  <c r="A159" i="54"/>
  <c r="B159" i="54"/>
  <c r="A160" i="54"/>
  <c r="B160" i="54"/>
  <c r="A161" i="54"/>
  <c r="B161" i="54"/>
  <c r="A162" i="54"/>
  <c r="B162" i="54"/>
  <c r="A163" i="54"/>
  <c r="B163" i="54"/>
  <c r="A164" i="54"/>
  <c r="B164" i="54"/>
  <c r="A165" i="54"/>
  <c r="B165" i="54"/>
  <c r="A166" i="54"/>
  <c r="B166" i="54"/>
  <c r="A167" i="54"/>
  <c r="B167" i="54"/>
  <c r="A168" i="54"/>
  <c r="B168" i="54"/>
  <c r="A169" i="54"/>
  <c r="B169" i="54"/>
  <c r="A170" i="54"/>
  <c r="B170" i="54"/>
  <c r="A171" i="54"/>
  <c r="B171" i="54"/>
  <c r="A172" i="54"/>
  <c r="B172" i="54"/>
  <c r="A173" i="54"/>
  <c r="B173" i="54"/>
  <c r="A174" i="54"/>
  <c r="B174" i="54"/>
  <c r="A175" i="54"/>
  <c r="B175" i="54"/>
  <c r="A176" i="54"/>
  <c r="B176" i="54"/>
  <c r="A177" i="54"/>
  <c r="B177" i="54"/>
  <c r="A178" i="54"/>
  <c r="B178" i="54"/>
  <c r="A179" i="54"/>
  <c r="B179" i="54"/>
  <c r="A180" i="54"/>
  <c r="B180" i="54"/>
  <c r="A181" i="54"/>
  <c r="B181" i="54"/>
  <c r="A182" i="54"/>
  <c r="B182" i="54"/>
  <c r="A183" i="54"/>
  <c r="B183" i="54"/>
  <c r="A184" i="54"/>
  <c r="B184" i="54"/>
  <c r="A185" i="54"/>
  <c r="B185" i="54"/>
  <c r="A186" i="54"/>
  <c r="B186" i="54"/>
  <c r="A187" i="54"/>
  <c r="B187" i="54"/>
  <c r="A188" i="54"/>
  <c r="B188" i="54"/>
  <c r="A189" i="54"/>
  <c r="B189" i="54"/>
  <c r="A190" i="54"/>
  <c r="B190" i="54"/>
  <c r="A191" i="54"/>
  <c r="B191" i="54"/>
  <c r="A192" i="54"/>
  <c r="B192" i="54"/>
  <c r="A193" i="54"/>
  <c r="B193" i="54"/>
  <c r="A194" i="54"/>
  <c r="B194" i="54"/>
  <c r="A195" i="54"/>
  <c r="B195" i="54"/>
  <c r="A196" i="54"/>
  <c r="B196" i="54"/>
  <c r="A197" i="54"/>
  <c r="B197" i="54"/>
  <c r="A198" i="54"/>
  <c r="B198" i="54"/>
  <c r="A199" i="54"/>
  <c r="B199" i="54"/>
  <c r="A200" i="54"/>
  <c r="B200" i="54"/>
  <c r="A201" i="54"/>
  <c r="B201" i="54"/>
  <c r="A202" i="54"/>
  <c r="B202" i="54"/>
  <c r="A203" i="54"/>
  <c r="B203" i="54"/>
  <c r="A204" i="54"/>
  <c r="B204" i="54"/>
  <c r="A205" i="54"/>
  <c r="B205" i="54"/>
  <c r="A206" i="54"/>
  <c r="B206" i="54"/>
  <c r="A207" i="54"/>
  <c r="B207" i="54"/>
  <c r="A208" i="54"/>
  <c r="B208" i="54"/>
  <c r="A209" i="54"/>
  <c r="B209" i="54"/>
  <c r="A210" i="54"/>
  <c r="B210" i="54"/>
  <c r="A211" i="54"/>
  <c r="B211" i="54"/>
  <c r="A212" i="54"/>
  <c r="B212" i="54"/>
  <c r="A213" i="54"/>
  <c r="B213" i="54"/>
  <c r="A214" i="54"/>
  <c r="B214" i="54"/>
  <c r="A215" i="54"/>
  <c r="B215" i="54"/>
  <c r="A216" i="54"/>
  <c r="B216" i="54"/>
  <c r="A217" i="54"/>
  <c r="B217" i="54"/>
  <c r="A218" i="54"/>
  <c r="B218" i="54"/>
  <c r="A219" i="54"/>
  <c r="B219" i="54"/>
  <c r="A220" i="54"/>
  <c r="B220" i="54"/>
  <c r="A221" i="54"/>
  <c r="B221" i="54"/>
  <c r="A222" i="54"/>
  <c r="B222" i="54"/>
  <c r="A223" i="54"/>
  <c r="B223" i="54"/>
  <c r="A224" i="54"/>
  <c r="B224" i="54"/>
  <c r="A225" i="54"/>
  <c r="B225" i="54"/>
  <c r="A226" i="54"/>
  <c r="B226" i="54"/>
  <c r="A227" i="54"/>
  <c r="B227" i="54"/>
  <c r="A228" i="54"/>
  <c r="B228" i="54"/>
  <c r="A229" i="54"/>
  <c r="B229" i="54"/>
  <c r="A230" i="54"/>
  <c r="B230" i="54"/>
  <c r="A231" i="54"/>
  <c r="B231" i="54"/>
  <c r="A232" i="54"/>
  <c r="B232" i="54"/>
  <c r="A233" i="54"/>
  <c r="B233" i="54"/>
  <c r="A234" i="54"/>
  <c r="B234" i="54"/>
  <c r="A235" i="54"/>
  <c r="B235" i="54"/>
  <c r="A236" i="54"/>
  <c r="B236" i="54"/>
  <c r="A237" i="54"/>
  <c r="B237" i="54"/>
  <c r="A238" i="54"/>
  <c r="B238" i="54"/>
  <c r="A239" i="54"/>
  <c r="B239" i="54"/>
  <c r="A240" i="54"/>
  <c r="B240" i="54"/>
  <c r="A241" i="54"/>
  <c r="B241" i="54"/>
  <c r="A242" i="54"/>
  <c r="B242" i="54"/>
  <c r="A243" i="54"/>
  <c r="B243" i="54"/>
  <c r="A244" i="54"/>
  <c r="B244" i="54"/>
  <c r="A245" i="54"/>
  <c r="B245" i="54"/>
  <c r="A246" i="54"/>
  <c r="B246" i="54"/>
  <c r="A247" i="54"/>
  <c r="B247" i="54"/>
  <c r="A248" i="54"/>
  <c r="B248" i="54"/>
  <c r="A249" i="54"/>
  <c r="B249" i="54"/>
  <c r="A250" i="54"/>
  <c r="B250" i="54"/>
  <c r="A251" i="54"/>
  <c r="B251" i="54"/>
  <c r="A252" i="54"/>
  <c r="B252" i="54"/>
  <c r="A253" i="54"/>
  <c r="B253" i="54"/>
  <c r="A254" i="54"/>
  <c r="B254" i="54"/>
  <c r="A255" i="54"/>
  <c r="B255" i="54"/>
  <c r="A256" i="54"/>
  <c r="B256" i="54"/>
  <c r="A257" i="54"/>
  <c r="B257" i="54"/>
  <c r="A258" i="54"/>
  <c r="B258" i="54"/>
  <c r="A259" i="54"/>
  <c r="B259" i="54"/>
  <c r="A260" i="54"/>
  <c r="B260" i="54"/>
  <c r="A261" i="54"/>
  <c r="B261" i="54"/>
  <c r="A262" i="54"/>
  <c r="B262" i="54"/>
  <c r="A263" i="54"/>
  <c r="B263" i="54"/>
  <c r="A264" i="54"/>
  <c r="B264" i="54"/>
  <c r="A265" i="54"/>
  <c r="B265" i="54"/>
  <c r="A266" i="54"/>
  <c r="B266" i="54"/>
  <c r="A267" i="54"/>
  <c r="B267" i="54"/>
  <c r="A268" i="54"/>
  <c r="B268" i="54"/>
  <c r="A269" i="54"/>
  <c r="B269" i="54"/>
  <c r="A270" i="54"/>
  <c r="B270" i="54"/>
  <c r="A271" i="54"/>
  <c r="B271" i="54"/>
  <c r="A272" i="54"/>
  <c r="B272" i="54"/>
  <c r="A273" i="54"/>
  <c r="B273" i="54"/>
  <c r="A274" i="54"/>
  <c r="B274" i="54"/>
  <c r="A275" i="54"/>
  <c r="B275" i="54"/>
  <c r="A276" i="54"/>
  <c r="B276" i="54"/>
  <c r="A277" i="54"/>
  <c r="B277" i="54"/>
  <c r="A278" i="54"/>
  <c r="B278" i="54"/>
  <c r="A279" i="54"/>
  <c r="B279" i="54"/>
  <c r="A280" i="54"/>
  <c r="B280" i="54"/>
  <c r="A281" i="54"/>
  <c r="B281" i="54"/>
  <c r="A282" i="54"/>
  <c r="B282" i="54"/>
  <c r="A283" i="54"/>
  <c r="B283" i="54"/>
  <c r="A284" i="54"/>
  <c r="B284" i="54"/>
  <c r="A285" i="54"/>
  <c r="B285" i="54"/>
  <c r="A286" i="54"/>
  <c r="B286" i="54"/>
  <c r="A287" i="54"/>
  <c r="B287" i="54"/>
  <c r="A288" i="54"/>
  <c r="B288" i="54"/>
  <c r="A289" i="54"/>
  <c r="B289" i="54"/>
  <c r="A290" i="54"/>
  <c r="B290" i="54"/>
  <c r="A291" i="54"/>
  <c r="B291" i="54"/>
  <c r="A292" i="54"/>
  <c r="B292" i="54"/>
  <c r="A293" i="54"/>
  <c r="B293" i="54"/>
  <c r="A294" i="54"/>
  <c r="B294" i="54"/>
  <c r="A295" i="54"/>
  <c r="B295" i="54"/>
  <c r="A296" i="54"/>
  <c r="B296" i="54"/>
  <c r="A297" i="54"/>
  <c r="B297" i="54"/>
  <c r="A298" i="54"/>
  <c r="B298" i="54"/>
  <c r="A299" i="54"/>
  <c r="B299" i="54"/>
  <c r="A300" i="54"/>
  <c r="B300" i="54"/>
  <c r="A301" i="54"/>
  <c r="B301" i="54"/>
  <c r="A302" i="54"/>
  <c r="B302" i="54"/>
  <c r="A303" i="54"/>
  <c r="B303" i="54"/>
  <c r="A304" i="54"/>
  <c r="B304" i="54"/>
  <c r="A305" i="54"/>
  <c r="B305" i="54"/>
  <c r="AL7" i="42"/>
  <c r="AL8" i="42"/>
  <c r="AL9" i="42"/>
  <c r="AL10" i="42"/>
  <c r="AL11" i="42"/>
  <c r="AL12" i="42"/>
  <c r="AL13" i="42"/>
  <c r="AL14" i="42"/>
  <c r="AL15" i="42"/>
  <c r="AL16" i="42"/>
  <c r="AL17" i="42"/>
  <c r="AL18" i="42"/>
  <c r="AL19" i="42"/>
  <c r="AL20" i="42"/>
  <c r="AL21" i="42"/>
  <c r="AL22" i="42"/>
  <c r="AL23" i="42"/>
  <c r="AL24" i="42"/>
  <c r="AL25" i="42"/>
  <c r="AL26" i="42"/>
  <c r="AL27" i="42"/>
  <c r="AL28" i="42"/>
  <c r="AL29" i="42"/>
  <c r="AL30" i="42"/>
  <c r="AL31" i="42"/>
  <c r="AL32" i="42"/>
  <c r="AL33" i="42"/>
  <c r="AL34" i="42"/>
  <c r="AL35" i="42"/>
  <c r="AL36" i="42"/>
  <c r="AL37" i="42"/>
  <c r="AL38" i="42"/>
  <c r="AL39" i="42"/>
  <c r="AL40" i="42"/>
  <c r="AL41" i="42"/>
  <c r="AL42" i="42"/>
  <c r="AL43" i="42"/>
  <c r="AL44" i="42"/>
  <c r="AL45" i="42"/>
  <c r="AL46" i="42"/>
  <c r="AL47" i="42"/>
  <c r="AL48" i="42"/>
  <c r="AL49" i="42"/>
  <c r="AL50" i="42"/>
  <c r="AL51" i="42"/>
  <c r="AL52" i="42"/>
  <c r="AL53" i="42"/>
  <c r="AL54" i="42"/>
  <c r="AL55" i="42"/>
  <c r="AL56" i="42"/>
  <c r="AL57" i="42"/>
  <c r="AL58" i="42"/>
  <c r="AL59" i="42"/>
  <c r="AL60" i="42"/>
  <c r="AL61" i="42"/>
  <c r="AL62" i="42"/>
  <c r="AL63" i="42"/>
  <c r="AL64" i="42"/>
  <c r="AL65" i="42"/>
  <c r="AL66" i="42"/>
  <c r="AL67" i="42"/>
  <c r="AL69" i="42"/>
  <c r="AL70" i="42"/>
  <c r="AL71" i="42"/>
  <c r="AL72" i="42"/>
  <c r="AL73" i="42"/>
  <c r="AL74" i="42"/>
  <c r="AL75" i="42"/>
  <c r="AL76" i="42"/>
  <c r="AL77" i="42"/>
  <c r="AL78" i="42"/>
  <c r="AL79" i="42"/>
  <c r="AL80" i="42"/>
  <c r="AL81" i="42"/>
  <c r="AL82" i="42"/>
  <c r="AL83" i="42"/>
  <c r="AL84" i="42"/>
  <c r="AL85" i="42"/>
  <c r="AL86" i="42"/>
  <c r="AL87" i="42"/>
  <c r="AL88" i="42"/>
  <c r="AL89" i="42"/>
  <c r="AL90" i="42"/>
  <c r="AL91" i="42"/>
  <c r="AL92" i="42"/>
  <c r="AL93" i="42"/>
  <c r="AL94" i="42"/>
  <c r="AL95" i="42"/>
  <c r="AL96" i="42"/>
  <c r="AL97" i="42"/>
  <c r="AL98" i="42"/>
  <c r="AL99" i="42"/>
  <c r="AL100" i="42"/>
  <c r="AL101" i="42"/>
  <c r="AL102" i="42"/>
  <c r="AL103" i="42"/>
  <c r="AL104" i="42"/>
  <c r="AL105" i="42"/>
  <c r="AL106" i="42"/>
  <c r="AL107" i="42"/>
  <c r="AL108" i="42"/>
  <c r="AL109" i="42"/>
  <c r="AL110" i="42"/>
  <c r="AL111" i="42"/>
  <c r="AL112" i="42"/>
  <c r="AL113" i="42"/>
  <c r="AL114" i="42"/>
  <c r="AL115" i="42"/>
  <c r="AL116" i="42"/>
  <c r="AL117" i="42"/>
  <c r="AL118" i="42"/>
  <c r="AL119" i="42"/>
  <c r="AL120" i="42"/>
  <c r="AL121" i="42"/>
  <c r="AL122" i="42"/>
  <c r="AL123" i="42"/>
  <c r="AL124" i="42"/>
  <c r="AL125" i="42"/>
  <c r="AL126" i="42"/>
  <c r="AL127" i="42"/>
  <c r="AL128" i="42"/>
  <c r="AL129" i="42"/>
  <c r="AL130" i="42"/>
  <c r="AL131" i="42"/>
  <c r="AL132" i="42"/>
  <c r="AL133" i="42"/>
  <c r="AL134" i="42"/>
  <c r="AL135" i="42"/>
  <c r="AL136" i="42"/>
  <c r="AL137" i="42"/>
  <c r="AL138" i="42"/>
  <c r="AL139" i="42"/>
  <c r="AL140" i="42"/>
  <c r="AL141" i="42"/>
  <c r="AL142" i="42"/>
  <c r="AL143" i="42"/>
  <c r="AL144" i="42"/>
  <c r="AL145" i="42"/>
  <c r="AL146" i="42"/>
  <c r="AL147" i="42"/>
  <c r="AL148" i="42"/>
  <c r="AL149" i="42"/>
  <c r="AL150" i="42"/>
  <c r="AL151" i="42"/>
  <c r="AL152" i="42"/>
  <c r="AL153" i="42"/>
  <c r="AL154" i="42"/>
  <c r="AL156" i="42"/>
  <c r="AL157" i="42"/>
  <c r="AL158" i="42"/>
  <c r="AL159" i="42"/>
  <c r="AL160" i="42"/>
  <c r="AL161" i="42"/>
  <c r="AL162" i="42"/>
  <c r="AL163" i="42"/>
  <c r="AL164" i="42"/>
  <c r="AL165" i="42"/>
  <c r="AL166" i="42"/>
  <c r="AL167" i="42"/>
  <c r="AL168" i="42"/>
  <c r="AL169" i="42"/>
  <c r="AL170" i="42"/>
  <c r="AL171" i="42"/>
  <c r="AL172" i="42"/>
  <c r="AL173" i="42"/>
  <c r="AL174" i="42"/>
  <c r="AL175" i="42"/>
  <c r="AL176" i="42"/>
  <c r="AL177" i="42"/>
  <c r="AL178" i="42"/>
  <c r="AL179" i="42"/>
  <c r="AL180" i="42"/>
  <c r="AL181" i="42"/>
  <c r="AL182" i="42"/>
  <c r="AL183" i="42"/>
  <c r="AL184" i="42"/>
  <c r="AL185" i="42"/>
  <c r="AL186" i="42"/>
  <c r="AL187" i="42"/>
  <c r="AL188" i="42"/>
  <c r="AL189" i="42"/>
  <c r="AL190" i="42"/>
  <c r="AL191" i="42"/>
  <c r="AL192" i="42"/>
  <c r="AL193" i="42"/>
  <c r="AL194" i="42"/>
  <c r="AL195" i="42"/>
  <c r="AL196" i="42"/>
  <c r="AL197" i="42"/>
  <c r="AL198" i="42"/>
  <c r="AL199" i="42"/>
  <c r="AL200" i="42"/>
  <c r="AL201" i="42"/>
  <c r="AL202" i="42"/>
  <c r="AL203" i="42"/>
  <c r="AL204" i="42"/>
  <c r="AL205" i="42"/>
  <c r="AL206" i="42"/>
  <c r="AL207" i="42"/>
  <c r="AL208" i="42"/>
  <c r="AL209" i="42"/>
  <c r="AL210" i="42"/>
  <c r="AL211" i="42"/>
  <c r="AL212" i="42"/>
  <c r="AL213" i="42"/>
  <c r="AL214" i="42"/>
  <c r="AL215" i="42"/>
  <c r="AL216" i="42"/>
  <c r="AL217" i="42"/>
  <c r="AL218" i="42"/>
  <c r="AL219" i="42"/>
  <c r="AL220" i="42"/>
  <c r="AL221" i="42"/>
  <c r="AL222" i="42"/>
  <c r="AL223" i="42"/>
  <c r="AL224" i="42"/>
  <c r="AL225" i="42"/>
  <c r="AL226" i="42"/>
  <c r="AL227" i="42"/>
  <c r="AL228" i="42"/>
  <c r="AL229" i="42"/>
  <c r="AL230" i="42"/>
  <c r="AL231" i="42"/>
  <c r="AL232" i="42"/>
  <c r="AL233" i="42"/>
  <c r="AL234" i="42"/>
  <c r="AL236" i="42"/>
  <c r="AL237" i="42"/>
  <c r="AL238" i="42"/>
  <c r="AL239" i="42"/>
  <c r="AL240" i="42"/>
  <c r="AL241" i="42"/>
  <c r="AL242" i="42"/>
  <c r="AL243" i="42"/>
  <c r="AL244" i="42"/>
  <c r="AL245" i="42"/>
  <c r="AL246" i="42"/>
  <c r="AL247" i="42"/>
  <c r="AL248" i="42"/>
  <c r="AL249" i="42"/>
  <c r="AL250" i="42"/>
  <c r="AL251" i="42"/>
  <c r="AL252" i="42"/>
  <c r="AL253" i="42"/>
  <c r="AL254" i="42"/>
  <c r="AL255" i="42"/>
  <c r="AL256" i="42"/>
  <c r="AL257" i="42"/>
  <c r="AL258" i="42"/>
  <c r="AL259" i="42"/>
  <c r="AL260" i="42"/>
  <c r="AL261" i="42"/>
  <c r="AL262" i="42"/>
  <c r="AL263" i="42"/>
  <c r="AL264" i="42"/>
  <c r="AL265" i="42"/>
  <c r="AL266" i="42"/>
  <c r="AL267" i="42"/>
  <c r="AL268" i="42"/>
  <c r="AL269" i="42"/>
  <c r="AL270" i="42"/>
  <c r="AL271" i="42"/>
  <c r="AL272" i="42"/>
  <c r="AL273" i="42"/>
  <c r="AL274" i="42"/>
  <c r="AL276" i="42"/>
  <c r="AL277" i="42"/>
  <c r="AL278" i="42"/>
  <c r="AL279" i="42"/>
  <c r="AL280" i="42"/>
  <c r="AL281" i="42"/>
  <c r="AL282" i="42"/>
  <c r="AL283" i="42"/>
  <c r="AL284" i="42"/>
  <c r="AL285" i="42"/>
  <c r="AL286" i="42"/>
  <c r="AL287" i="42"/>
  <c r="AL288" i="42"/>
  <c r="AL289" i="42"/>
  <c r="AL290" i="42"/>
  <c r="AL291" i="42"/>
  <c r="AL292" i="42"/>
  <c r="AL293" i="42"/>
  <c r="AL294" i="42"/>
  <c r="AL295" i="42"/>
  <c r="AL296" i="42"/>
  <c r="AL297" i="42"/>
  <c r="AL298" i="42"/>
  <c r="AL299" i="42"/>
  <c r="AL300" i="42"/>
  <c r="AL301" i="42"/>
  <c r="AL302" i="42"/>
  <c r="AL303" i="42"/>
  <c r="AL304" i="42"/>
  <c r="AL305" i="42"/>
  <c r="AD7" i="42"/>
  <c r="AD8" i="42"/>
  <c r="AD9" i="42"/>
  <c r="AD10" i="42"/>
  <c r="AD11" i="42"/>
  <c r="AD12" i="42"/>
  <c r="AD13" i="42"/>
  <c r="AD14" i="42"/>
  <c r="AD15" i="42"/>
  <c r="AD16" i="42"/>
  <c r="AD17" i="42"/>
  <c r="AD18" i="42"/>
  <c r="AD19" i="42"/>
  <c r="AD20" i="42"/>
  <c r="AD21" i="42"/>
  <c r="AD22" i="42"/>
  <c r="AD23" i="42"/>
  <c r="AD24" i="42"/>
  <c r="AD25" i="42"/>
  <c r="AD26" i="42"/>
  <c r="AD27" i="42"/>
  <c r="AD28" i="42"/>
  <c r="AD30" i="42"/>
  <c r="AD31" i="42"/>
  <c r="AD32" i="42"/>
  <c r="AD33" i="42"/>
  <c r="AD34" i="42"/>
  <c r="AD35" i="42"/>
  <c r="AD36" i="42"/>
  <c r="AD37" i="42"/>
  <c r="AD38" i="42"/>
  <c r="AD39" i="42"/>
  <c r="AD40" i="42"/>
  <c r="AD41" i="42"/>
  <c r="AD42" i="42"/>
  <c r="AD43" i="42"/>
  <c r="AD44" i="42"/>
  <c r="AD45" i="42"/>
  <c r="AD46" i="42"/>
  <c r="AD47" i="42"/>
  <c r="AD48" i="42"/>
  <c r="AD49" i="42"/>
  <c r="AD50" i="42"/>
  <c r="AD51" i="42"/>
  <c r="AD52" i="42"/>
  <c r="AD53" i="42"/>
  <c r="AD54" i="42"/>
  <c r="AD55" i="42"/>
  <c r="AD56" i="42"/>
  <c r="AD57" i="42"/>
  <c r="AD58" i="42"/>
  <c r="AD59" i="42"/>
  <c r="AD60" i="42"/>
  <c r="AD61" i="42"/>
  <c r="AD62" i="42"/>
  <c r="AD63" i="42"/>
  <c r="AD64" i="42"/>
  <c r="AD65" i="42"/>
  <c r="AD66" i="42"/>
  <c r="AD67" i="42"/>
  <c r="AD69" i="42"/>
  <c r="AD70" i="42"/>
  <c r="AD71" i="42"/>
  <c r="AD72" i="42"/>
  <c r="AD73" i="42"/>
  <c r="AD74" i="42"/>
  <c r="AD75" i="42"/>
  <c r="AD76" i="42"/>
  <c r="AD77" i="42"/>
  <c r="AD78" i="42"/>
  <c r="AD79" i="42"/>
  <c r="AD80" i="42"/>
  <c r="AD81" i="42"/>
  <c r="AD82" i="42"/>
  <c r="AD83" i="42"/>
  <c r="AD84" i="42"/>
  <c r="AD85" i="42"/>
  <c r="AD86" i="42"/>
  <c r="AD87" i="42"/>
  <c r="AD88" i="42"/>
  <c r="AD89" i="42"/>
  <c r="AD90" i="42"/>
  <c r="AD91" i="42"/>
  <c r="AD92" i="42"/>
  <c r="AD93" i="42"/>
  <c r="AD94" i="42"/>
  <c r="AD95" i="42"/>
  <c r="AD96" i="42"/>
  <c r="AD97" i="42"/>
  <c r="AD98" i="42"/>
  <c r="AD99" i="42"/>
  <c r="AD100" i="42"/>
  <c r="AD101" i="42"/>
  <c r="AD102" i="42"/>
  <c r="AD103" i="42"/>
  <c r="AD104" i="42"/>
  <c r="AD105" i="42"/>
  <c r="AD106" i="42"/>
  <c r="AD107" i="42"/>
  <c r="AD108" i="42"/>
  <c r="AD109" i="42"/>
  <c r="AD110" i="42"/>
  <c r="AD111" i="42"/>
  <c r="AD112" i="42"/>
  <c r="AD113" i="42"/>
  <c r="AD114" i="42"/>
  <c r="AD115" i="42"/>
  <c r="AD116" i="42"/>
  <c r="AD117" i="42"/>
  <c r="AD118" i="42"/>
  <c r="AD119" i="42"/>
  <c r="AD120" i="42"/>
  <c r="AD121" i="42"/>
  <c r="AD122" i="42"/>
  <c r="AD123" i="42"/>
  <c r="AD124" i="42"/>
  <c r="AD125" i="42"/>
  <c r="AD126" i="42"/>
  <c r="AD127" i="42"/>
  <c r="AD128" i="42"/>
  <c r="AD129" i="42"/>
  <c r="AD130" i="42"/>
  <c r="AD131" i="42"/>
  <c r="AD132" i="42"/>
  <c r="AD133" i="42"/>
  <c r="AD134" i="42"/>
  <c r="AD135" i="42"/>
  <c r="AD136" i="42"/>
  <c r="AD137" i="42"/>
  <c r="AD138" i="42"/>
  <c r="AD139" i="42"/>
  <c r="AD140" i="42"/>
  <c r="AD141" i="42"/>
  <c r="AD142" i="42"/>
  <c r="AD143" i="42"/>
  <c r="AD144" i="42"/>
  <c r="AD145" i="42"/>
  <c r="AD146" i="42"/>
  <c r="AD147" i="42"/>
  <c r="AD148" i="42"/>
  <c r="AD149" i="42"/>
  <c r="AD150" i="42"/>
  <c r="AD151" i="42"/>
  <c r="AD152" i="42"/>
  <c r="AD153" i="42"/>
  <c r="AD154" i="42"/>
  <c r="AD156" i="42"/>
  <c r="AD157" i="42"/>
  <c r="AD158" i="42"/>
  <c r="AD159" i="42"/>
  <c r="AD160" i="42"/>
  <c r="AD161" i="42"/>
  <c r="AD162" i="42"/>
  <c r="AD163" i="42"/>
  <c r="AD164" i="42"/>
  <c r="AD165" i="42"/>
  <c r="AD166" i="42"/>
  <c r="AD167" i="42"/>
  <c r="AD168" i="42"/>
  <c r="AD169" i="42"/>
  <c r="AD170" i="42"/>
  <c r="AD171" i="42"/>
  <c r="AD172" i="42"/>
  <c r="AD173" i="42"/>
  <c r="AD174" i="42"/>
  <c r="AD175" i="42"/>
  <c r="AD176" i="42"/>
  <c r="AD177" i="42"/>
  <c r="AD178" i="42"/>
  <c r="AD179" i="42"/>
  <c r="AD180" i="42"/>
  <c r="AD181" i="42"/>
  <c r="AD182" i="42"/>
  <c r="AD183" i="42"/>
  <c r="AD184" i="42"/>
  <c r="AD185" i="42"/>
  <c r="AD186" i="42"/>
  <c r="AD187" i="42"/>
  <c r="AD188" i="42"/>
  <c r="AD189" i="42"/>
  <c r="AD190" i="42"/>
  <c r="AD191" i="42"/>
  <c r="AD192" i="42"/>
  <c r="AD193" i="42"/>
  <c r="AD194" i="42"/>
  <c r="AD195" i="42"/>
  <c r="AD196" i="42"/>
  <c r="AD197" i="42"/>
  <c r="AD198" i="42"/>
  <c r="AD199" i="42"/>
  <c r="AD200" i="42"/>
  <c r="AD201" i="42"/>
  <c r="AD202" i="42"/>
  <c r="AD203" i="42"/>
  <c r="AD204" i="42"/>
  <c r="AD205" i="42"/>
  <c r="AD206" i="42"/>
  <c r="AD207" i="42"/>
  <c r="AD208" i="42"/>
  <c r="AD209" i="42"/>
  <c r="AD210" i="42"/>
  <c r="AD211" i="42"/>
  <c r="AD212" i="42"/>
  <c r="AD213" i="42"/>
  <c r="AD214" i="42"/>
  <c r="AD215" i="42"/>
  <c r="AD216" i="42"/>
  <c r="AD217" i="42"/>
  <c r="AD218" i="42"/>
  <c r="AD219" i="42"/>
  <c r="AD220" i="42"/>
  <c r="AD221" i="42"/>
  <c r="AD222" i="42"/>
  <c r="AD223" i="42"/>
  <c r="AD224" i="42"/>
  <c r="AD225" i="42"/>
  <c r="AD226" i="42"/>
  <c r="AD227" i="42"/>
  <c r="AD228" i="42"/>
  <c r="AD229" i="42"/>
  <c r="AD230" i="42"/>
  <c r="AD231" i="42"/>
  <c r="AD232" i="42"/>
  <c r="AD233" i="42"/>
  <c r="AD234" i="42"/>
  <c r="AD236" i="42"/>
  <c r="AD237" i="42"/>
  <c r="AD238" i="42"/>
  <c r="AD239" i="42"/>
  <c r="AD240" i="42"/>
  <c r="AD241" i="42"/>
  <c r="AD242" i="42"/>
  <c r="AD243" i="42"/>
  <c r="AD244" i="42"/>
  <c r="AD245" i="42"/>
  <c r="AD246" i="42"/>
  <c r="AD247" i="42"/>
  <c r="AD248" i="42"/>
  <c r="AD249" i="42"/>
  <c r="AD250" i="42"/>
  <c r="AD251" i="42"/>
  <c r="AD252" i="42"/>
  <c r="AD253" i="42"/>
  <c r="AD254" i="42"/>
  <c r="AD255" i="42"/>
  <c r="AD256" i="42"/>
  <c r="AD257" i="42"/>
  <c r="AD258" i="42"/>
  <c r="AD259" i="42"/>
  <c r="AD260" i="42"/>
  <c r="AD261" i="42"/>
  <c r="AD262" i="42"/>
  <c r="AD263" i="42"/>
  <c r="AD264" i="42"/>
  <c r="AD265" i="42"/>
  <c r="AD266" i="42"/>
  <c r="AD267" i="42"/>
  <c r="AD268" i="42"/>
  <c r="AD269" i="42"/>
  <c r="AD270" i="42"/>
  <c r="AD271" i="42"/>
  <c r="AD272" i="42"/>
  <c r="AD273" i="42"/>
  <c r="AD274" i="42"/>
  <c r="AD276" i="42"/>
  <c r="AD277" i="42"/>
  <c r="AD278" i="42"/>
  <c r="AD279" i="42"/>
  <c r="AD280" i="42"/>
  <c r="AD281" i="42"/>
  <c r="AD282" i="42"/>
  <c r="AD283" i="42"/>
  <c r="AD284" i="42"/>
  <c r="AD285" i="42"/>
  <c r="AD286" i="42"/>
  <c r="AD287" i="42"/>
  <c r="AD288" i="42"/>
  <c r="AD289" i="42"/>
  <c r="AD290" i="42"/>
  <c r="AD291" i="42"/>
  <c r="AD292" i="42"/>
  <c r="AD293" i="42"/>
  <c r="AD294" i="42"/>
  <c r="AD295" i="42"/>
  <c r="AD296" i="42"/>
  <c r="AD297" i="42"/>
  <c r="AD298" i="42"/>
  <c r="AD299" i="42"/>
  <c r="AD300" i="42"/>
  <c r="AD301" i="42"/>
  <c r="AD302" i="42"/>
  <c r="AD303" i="42"/>
  <c r="AD304" i="42"/>
  <c r="AD305" i="42"/>
  <c r="E165" i="33" l="1"/>
  <c r="D165" i="37" s="1"/>
  <c r="C25" i="34"/>
  <c r="E234" i="33"/>
  <c r="D234" i="37" s="1"/>
  <c r="C183" i="34"/>
  <c r="C25" i="11"/>
  <c r="C176" i="11"/>
  <c r="E183" i="33"/>
  <c r="D183" i="37" s="1"/>
  <c r="E176" i="33"/>
  <c r="D176" i="37" s="1"/>
  <c r="C240" i="34"/>
  <c r="C189" i="34"/>
  <c r="E230" i="33"/>
  <c r="D230" i="37" s="1"/>
  <c r="C118" i="34"/>
  <c r="C57" i="11"/>
  <c r="C236" i="34"/>
  <c r="E57" i="33"/>
  <c r="D57" i="37" s="1"/>
  <c r="C195" i="11"/>
  <c r="E136" i="33"/>
  <c r="D136" i="37" s="1"/>
  <c r="E115" i="33"/>
  <c r="D115" i="37" s="1"/>
  <c r="E141" i="33"/>
  <c r="D141" i="37" s="1"/>
  <c r="C33" i="11"/>
  <c r="C217" i="34"/>
  <c r="E33" i="33"/>
  <c r="D33" i="37" s="1"/>
  <c r="C142" i="34"/>
  <c r="C211" i="11"/>
  <c r="E27" i="33"/>
  <c r="D27" i="37" s="1"/>
  <c r="E168" i="33"/>
  <c r="D168" i="37" s="1"/>
  <c r="E15" i="33"/>
  <c r="D15" i="37" s="1"/>
  <c r="C33" i="34"/>
  <c r="C174" i="34"/>
  <c r="C147" i="34"/>
  <c r="C21" i="34"/>
  <c r="C121" i="34"/>
  <c r="C203" i="34"/>
  <c r="C135" i="11"/>
  <c r="E135" i="33"/>
  <c r="D135" i="37" s="1"/>
  <c r="E197" i="33"/>
  <c r="D197" i="37" s="1"/>
  <c r="E129" i="33"/>
  <c r="D129" i="37" s="1"/>
  <c r="C135" i="34"/>
  <c r="C206" i="34"/>
  <c r="C200" i="11"/>
  <c r="E195" i="33"/>
  <c r="D195" i="37" s="1"/>
  <c r="C133" i="34"/>
  <c r="C127" i="11"/>
  <c r="E189" i="33"/>
  <c r="D189" i="37" s="1"/>
  <c r="C185" i="34"/>
  <c r="E179" i="33"/>
  <c r="D179" i="37" s="1"/>
  <c r="C177" i="11"/>
  <c r="E199" i="33"/>
  <c r="D199" i="37" s="1"/>
  <c r="C205" i="34"/>
  <c r="C218" i="11"/>
  <c r="E171" i="33"/>
  <c r="D171" i="37" s="1"/>
  <c r="E205" i="33"/>
  <c r="D205" i="37" s="1"/>
  <c r="C284" i="11"/>
  <c r="C55" i="34"/>
  <c r="E218" i="33"/>
  <c r="D218" i="37" s="1"/>
  <c r="C177" i="34"/>
  <c r="E184" i="33"/>
  <c r="D184" i="37" s="1"/>
  <c r="C211" i="34"/>
  <c r="C290" i="34"/>
  <c r="C49" i="11"/>
  <c r="C190" i="34"/>
  <c r="E25" i="33"/>
  <c r="D25" i="37" s="1"/>
  <c r="E238" i="33"/>
  <c r="D238" i="37" s="1"/>
  <c r="C244" i="34"/>
  <c r="C250" i="11"/>
  <c r="E128" i="33"/>
  <c r="D128" i="37" s="1"/>
  <c r="C134" i="34"/>
  <c r="E294" i="33"/>
  <c r="D294" i="37" s="1"/>
  <c r="C300" i="34"/>
  <c r="E192" i="33"/>
  <c r="D192" i="37" s="1"/>
  <c r="E43" i="33"/>
  <c r="D43" i="37" s="1"/>
  <c r="C158" i="34"/>
  <c r="C198" i="34"/>
  <c r="C49" i="34"/>
  <c r="C152" i="11"/>
  <c r="E250" i="33"/>
  <c r="D250" i="37" s="1"/>
  <c r="C252" i="34"/>
  <c r="C226" i="11"/>
  <c r="C199" i="34"/>
  <c r="C209" i="34"/>
  <c r="C203" i="11"/>
  <c r="E173" i="33"/>
  <c r="D173" i="37" s="1"/>
  <c r="E201" i="33"/>
  <c r="D201" i="37" s="1"/>
  <c r="C201" i="11"/>
  <c r="C179" i="34"/>
  <c r="E246" i="33"/>
  <c r="D246" i="37" s="1"/>
  <c r="C195" i="34"/>
  <c r="E193" i="33"/>
  <c r="D193" i="37" s="1"/>
  <c r="E226" i="33"/>
  <c r="D226" i="37" s="1"/>
  <c r="C163" i="34"/>
  <c r="C157" i="11"/>
  <c r="E126" i="33"/>
  <c r="D126" i="37" s="1"/>
  <c r="C126" i="11"/>
  <c r="C132" i="34"/>
  <c r="E72" i="33"/>
  <c r="D72" i="37" s="1"/>
  <c r="C72" i="11"/>
  <c r="C78" i="34"/>
  <c r="C86" i="11"/>
  <c r="C92" i="34"/>
  <c r="E86" i="33"/>
  <c r="D86" i="37" s="1"/>
  <c r="E170" i="33"/>
  <c r="D170" i="37" s="1"/>
  <c r="C170" i="11"/>
  <c r="C176" i="34"/>
  <c r="C23" i="11"/>
  <c r="C29" i="34"/>
  <c r="E23" i="33"/>
  <c r="D23" i="37" s="1"/>
  <c r="C300" i="11"/>
  <c r="C306" i="34"/>
  <c r="E300" i="33"/>
  <c r="D300" i="37" s="1"/>
  <c r="C227" i="11"/>
  <c r="C233" i="34"/>
  <c r="E227" i="33"/>
  <c r="D227" i="37" s="1"/>
  <c r="C9" i="11"/>
  <c r="E9" i="33"/>
  <c r="D9" i="37" s="1"/>
  <c r="C15" i="34"/>
  <c r="C188" i="11"/>
  <c r="C194" i="34"/>
  <c r="E188" i="33"/>
  <c r="D188" i="37" s="1"/>
  <c r="C174" i="11"/>
  <c r="C180" i="34"/>
  <c r="E174" i="33"/>
  <c r="D174" i="37" s="1"/>
  <c r="C28" i="11"/>
  <c r="C34" i="34"/>
  <c r="E28" i="33"/>
  <c r="D28" i="37" s="1"/>
  <c r="C111" i="11"/>
  <c r="C117" i="34"/>
  <c r="E111" i="33"/>
  <c r="D111" i="37" s="1"/>
  <c r="E52" i="33"/>
  <c r="D52" i="37" s="1"/>
  <c r="C52" i="11"/>
  <c r="C58" i="34"/>
  <c r="E281" i="33"/>
  <c r="D281" i="37" s="1"/>
  <c r="C281" i="11"/>
  <c r="C287" i="34"/>
  <c r="C97" i="11"/>
  <c r="C103" i="34"/>
  <c r="E97" i="33"/>
  <c r="D97" i="37" s="1"/>
  <c r="E297" i="33"/>
  <c r="D297" i="37" s="1"/>
  <c r="C297" i="11"/>
  <c r="C303" i="34"/>
  <c r="E220" i="33"/>
  <c r="D220" i="37" s="1"/>
  <c r="C220" i="11"/>
  <c r="C226" i="34"/>
  <c r="C274" i="11"/>
  <c r="C280" i="34"/>
  <c r="E274" i="33"/>
  <c r="D274" i="37" s="1"/>
  <c r="E194" i="33"/>
  <c r="D194" i="37" s="1"/>
  <c r="C194" i="11"/>
  <c r="C200" i="34"/>
  <c r="E32" i="33"/>
  <c r="D32" i="37" s="1"/>
  <c r="C32" i="11"/>
  <c r="C38" i="34"/>
  <c r="C82" i="11"/>
  <c r="C88" i="34"/>
  <c r="E82" i="33"/>
  <c r="D82" i="37" s="1"/>
  <c r="C213" i="11"/>
  <c r="C219" i="34"/>
  <c r="E213" i="33"/>
  <c r="D213" i="37" s="1"/>
  <c r="E265" i="33"/>
  <c r="D265" i="37" s="1"/>
  <c r="C265" i="11"/>
  <c r="C271" i="34"/>
  <c r="E68" i="33"/>
  <c r="D68" i="37" s="1"/>
  <c r="C68" i="11"/>
  <c r="C74" i="34"/>
  <c r="E253" i="33"/>
  <c r="D253" i="37" s="1"/>
  <c r="C253" i="11"/>
  <c r="C259" i="34"/>
  <c r="C90" i="11"/>
  <c r="C96" i="34"/>
  <c r="E90" i="33"/>
  <c r="D90" i="37" s="1"/>
  <c r="E236" i="33"/>
  <c r="D236" i="37" s="1"/>
  <c r="C236" i="11"/>
  <c r="C242" i="34"/>
  <c r="C164" i="11"/>
  <c r="C170" i="34"/>
  <c r="E164" i="33"/>
  <c r="D164" i="37" s="1"/>
  <c r="C113" i="19"/>
  <c r="L113" i="19" s="1"/>
  <c r="D120" i="19"/>
  <c r="L120" i="19" s="1"/>
  <c r="E48" i="33"/>
  <c r="D48" i="37" s="1"/>
  <c r="C48" i="11"/>
  <c r="C54" i="34"/>
  <c r="C240" i="11"/>
  <c r="C246" i="34"/>
  <c r="E240" i="33"/>
  <c r="D240" i="37" s="1"/>
  <c r="C255" i="11"/>
  <c r="C261" i="34"/>
  <c r="E255" i="33"/>
  <c r="D255" i="37" s="1"/>
  <c r="C53" i="11"/>
  <c r="C59" i="34"/>
  <c r="E53" i="33"/>
  <c r="D53" i="37" s="1"/>
  <c r="C114" i="11"/>
  <c r="C120" i="34"/>
  <c r="E114" i="33"/>
  <c r="D114" i="37" s="1"/>
  <c r="C243" i="11"/>
  <c r="C249" i="34"/>
  <c r="E243" i="33"/>
  <c r="D243" i="37" s="1"/>
  <c r="E256" i="33"/>
  <c r="D256" i="37" s="1"/>
  <c r="C256" i="11"/>
  <c r="C262" i="34"/>
  <c r="E140" i="33"/>
  <c r="D140" i="37" s="1"/>
  <c r="C140" i="11"/>
  <c r="C146" i="34"/>
  <c r="C198" i="11"/>
  <c r="C204" i="34"/>
  <c r="E198" i="33"/>
  <c r="D198" i="37" s="1"/>
  <c r="C295" i="11"/>
  <c r="C301" i="34"/>
  <c r="E295" i="33"/>
  <c r="D295" i="37" s="1"/>
  <c r="E288" i="33"/>
  <c r="D288" i="37" s="1"/>
  <c r="C288" i="11"/>
  <c r="C294" i="34"/>
  <c r="C29" i="11"/>
  <c r="C35" i="34"/>
  <c r="E29" i="33"/>
  <c r="D29" i="37" s="1"/>
  <c r="C84" i="11"/>
  <c r="C90" i="34"/>
  <c r="E84" i="33"/>
  <c r="D84" i="37" s="1"/>
  <c r="C130" i="11"/>
  <c r="C136" i="34"/>
  <c r="E130" i="33"/>
  <c r="D130" i="37" s="1"/>
  <c r="E38" i="33"/>
  <c r="D38" i="37" s="1"/>
  <c r="C38" i="11"/>
  <c r="C44" i="34"/>
  <c r="C231" i="11"/>
  <c r="C237" i="34"/>
  <c r="E231" i="33"/>
  <c r="D231" i="37" s="1"/>
  <c r="E289" i="33"/>
  <c r="D289" i="37" s="1"/>
  <c r="C289" i="11"/>
  <c r="C295" i="34"/>
  <c r="E100" i="33"/>
  <c r="D100" i="37" s="1"/>
  <c r="C100" i="11"/>
  <c r="C106" i="34"/>
  <c r="E104" i="33"/>
  <c r="D104" i="37" s="1"/>
  <c r="C104" i="11"/>
  <c r="C110" i="34"/>
  <c r="C159" i="11"/>
  <c r="C165" i="34"/>
  <c r="E159" i="33"/>
  <c r="D159" i="37" s="1"/>
  <c r="C119" i="11"/>
  <c r="C125" i="34"/>
  <c r="E119" i="33"/>
  <c r="D119" i="37" s="1"/>
  <c r="C117" i="11"/>
  <c r="C123" i="34"/>
  <c r="E117" i="33"/>
  <c r="D117" i="37" s="1"/>
  <c r="E64" i="33"/>
  <c r="D64" i="37" s="1"/>
  <c r="C64" i="11"/>
  <c r="C70" i="34"/>
  <c r="C12" i="11"/>
  <c r="C18" i="34"/>
  <c r="E12" i="33"/>
  <c r="D12" i="37" s="1"/>
  <c r="C67" i="11"/>
  <c r="C73" i="34"/>
  <c r="E67" i="33"/>
  <c r="D67" i="37" s="1"/>
  <c r="C45" i="11"/>
  <c r="C51" i="34"/>
  <c r="E45" i="33"/>
  <c r="D45" i="37" s="1"/>
  <c r="C202" i="11"/>
  <c r="C208" i="34"/>
  <c r="E202" i="33"/>
  <c r="D202" i="37" s="1"/>
  <c r="C121" i="11"/>
  <c r="C127" i="34"/>
  <c r="E121" i="33"/>
  <c r="D121" i="37" s="1"/>
  <c r="C26" i="11"/>
  <c r="C32" i="34"/>
  <c r="E26" i="33"/>
  <c r="D26" i="37" s="1"/>
  <c r="C105" i="11"/>
  <c r="E105" i="33"/>
  <c r="D105" i="37" s="1"/>
  <c r="C111" i="34"/>
  <c r="C79" i="11"/>
  <c r="C85" i="34"/>
  <c r="E79" i="33"/>
  <c r="D79" i="37" s="1"/>
  <c r="D137" i="19"/>
  <c r="L137" i="19" s="1"/>
  <c r="C244" i="11"/>
  <c r="C250" i="34"/>
  <c r="E244" i="33"/>
  <c r="D244" i="37" s="1"/>
  <c r="E142" i="33"/>
  <c r="D142" i="37" s="1"/>
  <c r="C142" i="11"/>
  <c r="C148" i="34"/>
  <c r="E232" i="33"/>
  <c r="D232" i="37" s="1"/>
  <c r="C232" i="11"/>
  <c r="C238" i="34"/>
  <c r="C20" i="11"/>
  <c r="C26" i="34"/>
  <c r="E20" i="33"/>
  <c r="D20" i="37" s="1"/>
  <c r="C34" i="11"/>
  <c r="C40" i="34"/>
  <c r="E34" i="33"/>
  <c r="D34" i="37" s="1"/>
  <c r="C214" i="11"/>
  <c r="C220" i="34"/>
  <c r="E214" i="33"/>
  <c r="D214" i="37" s="1"/>
  <c r="C46" i="11"/>
  <c r="C52" i="34"/>
  <c r="E46" i="33"/>
  <c r="D46" i="37" s="1"/>
  <c r="C55" i="11"/>
  <c r="C61" i="34"/>
  <c r="E55" i="33"/>
  <c r="D55" i="37" s="1"/>
  <c r="C216" i="11"/>
  <c r="C222" i="34"/>
  <c r="E216" i="33"/>
  <c r="D216" i="37" s="1"/>
  <c r="E124" i="33"/>
  <c r="D124" i="37" s="1"/>
  <c r="C124" i="11"/>
  <c r="C130" i="34"/>
  <c r="E17" i="33"/>
  <c r="D17" i="37" s="1"/>
  <c r="C17" i="11"/>
  <c r="C23" i="34"/>
  <c r="C235" i="11"/>
  <c r="C241" i="34"/>
  <c r="E235" i="33"/>
  <c r="D235" i="37" s="1"/>
  <c r="C61" i="11"/>
  <c r="E61" i="33"/>
  <c r="D61" i="37" s="1"/>
  <c r="C67" i="34"/>
  <c r="E273" i="33"/>
  <c r="D273" i="37" s="1"/>
  <c r="C273" i="11"/>
  <c r="C279" i="34"/>
  <c r="E148" i="33"/>
  <c r="D148" i="37" s="1"/>
  <c r="C148" i="11"/>
  <c r="C154" i="34"/>
  <c r="C150" i="11"/>
  <c r="C156" i="34"/>
  <c r="E150" i="33"/>
  <c r="D150" i="37" s="1"/>
  <c r="C247" i="11"/>
  <c r="C253" i="34"/>
  <c r="E247" i="33"/>
  <c r="D247" i="37" s="1"/>
  <c r="C155" i="11"/>
  <c r="C161" i="34"/>
  <c r="E155" i="33"/>
  <c r="D155" i="37" s="1"/>
  <c r="E219" i="33"/>
  <c r="D219" i="37" s="1"/>
  <c r="C219" i="11"/>
  <c r="C225" i="34"/>
  <c r="C169" i="11"/>
  <c r="C175" i="34"/>
  <c r="E169" i="33"/>
  <c r="D169" i="37" s="1"/>
  <c r="E167" i="33"/>
  <c r="D167" i="37" s="1"/>
  <c r="C167" i="11"/>
  <c r="C173" i="34"/>
  <c r="C70" i="11"/>
  <c r="C76" i="34"/>
  <c r="E70" i="33"/>
  <c r="D70" i="37" s="1"/>
  <c r="C210" i="11"/>
  <c r="C216" i="34"/>
  <c r="E210" i="33"/>
  <c r="D210" i="37" s="1"/>
  <c r="E123" i="33"/>
  <c r="D123" i="37" s="1"/>
  <c r="C123" i="11"/>
  <c r="C129" i="34"/>
  <c r="C81" i="11"/>
  <c r="C87" i="34"/>
  <c r="E81" i="33"/>
  <c r="D81" i="37" s="1"/>
  <c r="E116" i="33"/>
  <c r="D116" i="37" s="1"/>
  <c r="C116" i="11"/>
  <c r="C122" i="34"/>
  <c r="E91" i="33"/>
  <c r="D91" i="37" s="1"/>
  <c r="C91" i="11"/>
  <c r="C97" i="34"/>
  <c r="E285" i="33"/>
  <c r="D285" i="37" s="1"/>
  <c r="C285" i="11"/>
  <c r="C291" i="34"/>
  <c r="C259" i="11"/>
  <c r="C265" i="34"/>
  <c r="E259" i="33"/>
  <c r="D259" i="37" s="1"/>
  <c r="D143" i="19"/>
  <c r="L143" i="19" s="1"/>
  <c r="D261" i="19"/>
  <c r="L261" i="19" s="1"/>
  <c r="E118" i="33"/>
  <c r="D118" i="37" s="1"/>
  <c r="C118" i="11"/>
  <c r="C124" i="34"/>
  <c r="E92" i="33"/>
  <c r="D92" i="37" s="1"/>
  <c r="C92" i="11"/>
  <c r="C98" i="34"/>
  <c r="C166" i="11"/>
  <c r="C172" i="34"/>
  <c r="E166" i="33"/>
  <c r="D166" i="37" s="1"/>
  <c r="E257" i="33"/>
  <c r="D257" i="37" s="1"/>
  <c r="C257" i="11"/>
  <c r="C263" i="34"/>
  <c r="C7" i="11"/>
  <c r="C13" i="34"/>
  <c r="E7" i="33"/>
  <c r="D7" i="37" s="1"/>
  <c r="C263" i="11"/>
  <c r="C269" i="34"/>
  <c r="E263" i="33"/>
  <c r="D263" i="37" s="1"/>
  <c r="E224" i="33"/>
  <c r="D224" i="37" s="1"/>
  <c r="C224" i="11"/>
  <c r="C230" i="34"/>
  <c r="C222" i="11"/>
  <c r="C228" i="34"/>
  <c r="E222" i="33"/>
  <c r="D222" i="37" s="1"/>
  <c r="E249" i="33"/>
  <c r="D249" i="37" s="1"/>
  <c r="C249" i="11"/>
  <c r="C255" i="34"/>
  <c r="C217" i="11"/>
  <c r="C223" i="34"/>
  <c r="E217" i="33"/>
  <c r="D217" i="37" s="1"/>
  <c r="C156" i="11"/>
  <c r="C162" i="34"/>
  <c r="E156" i="33"/>
  <c r="D156" i="37" s="1"/>
  <c r="E280" i="33"/>
  <c r="D280" i="37" s="1"/>
  <c r="C280" i="11"/>
  <c r="C286" i="34"/>
  <c r="E108" i="33"/>
  <c r="D108" i="37" s="1"/>
  <c r="C108" i="11"/>
  <c r="C114" i="34"/>
  <c r="E162" i="33"/>
  <c r="D162" i="37" s="1"/>
  <c r="C162" i="11"/>
  <c r="C168" i="34"/>
  <c r="E178" i="33"/>
  <c r="D178" i="37" s="1"/>
  <c r="C178" i="11"/>
  <c r="C184" i="34"/>
  <c r="C87" i="11"/>
  <c r="C93" i="34"/>
  <c r="E87" i="33"/>
  <c r="D87" i="37" s="1"/>
  <c r="E154" i="33"/>
  <c r="D154" i="37" s="1"/>
  <c r="C154" i="11"/>
  <c r="C160" i="34"/>
  <c r="E229" i="33"/>
  <c r="D229" i="37" s="1"/>
  <c r="C229" i="11"/>
  <c r="C235" i="34"/>
  <c r="E245" i="33"/>
  <c r="D245" i="37" s="1"/>
  <c r="C245" i="11"/>
  <c r="C251" i="34"/>
  <c r="E96" i="33"/>
  <c r="D96" i="37" s="1"/>
  <c r="C96" i="11"/>
  <c r="C102" i="34"/>
  <c r="E16" i="33"/>
  <c r="D16" i="37" s="1"/>
  <c r="C16" i="11"/>
  <c r="C22" i="34"/>
  <c r="C66" i="11"/>
  <c r="C72" i="34"/>
  <c r="E66" i="33"/>
  <c r="D66" i="37" s="1"/>
  <c r="E301" i="33"/>
  <c r="D301" i="37" s="1"/>
  <c r="C301" i="11"/>
  <c r="C307" i="34"/>
  <c r="C95" i="11"/>
  <c r="C101" i="34"/>
  <c r="E95" i="33"/>
  <c r="D95" i="37" s="1"/>
  <c r="C122" i="11"/>
  <c r="C128" i="34"/>
  <c r="E122" i="33"/>
  <c r="D122" i="37" s="1"/>
  <c r="E63" i="33"/>
  <c r="D63" i="37" s="1"/>
  <c r="C63" i="11"/>
  <c r="C69" i="34"/>
  <c r="C302" i="11"/>
  <c r="C308" i="34"/>
  <c r="E302" i="33"/>
  <c r="D302" i="37" s="1"/>
  <c r="E40" i="33"/>
  <c r="D40" i="37" s="1"/>
  <c r="C40" i="11"/>
  <c r="C46" i="34"/>
  <c r="C78" i="11"/>
  <c r="C84" i="34"/>
  <c r="E78" i="33"/>
  <c r="D78" i="37" s="1"/>
  <c r="C73" i="11"/>
  <c r="C79" i="34"/>
  <c r="E73" i="33"/>
  <c r="D73" i="37" s="1"/>
  <c r="E60" i="33"/>
  <c r="D60" i="37" s="1"/>
  <c r="C60" i="11"/>
  <c r="C66" i="34"/>
  <c r="C54" i="11"/>
  <c r="C60" i="34"/>
  <c r="E54" i="33"/>
  <c r="D54" i="37" s="1"/>
  <c r="E186" i="33"/>
  <c r="D186" i="37" s="1"/>
  <c r="C186" i="11"/>
  <c r="C192" i="34"/>
  <c r="C158" i="11"/>
  <c r="C164" i="34"/>
  <c r="E158" i="33"/>
  <c r="D158" i="37" s="1"/>
  <c r="C58" i="11"/>
  <c r="C64" i="34"/>
  <c r="E58" i="33"/>
  <c r="D58" i="37" s="1"/>
  <c r="E71" i="33"/>
  <c r="D71" i="37" s="1"/>
  <c r="C71" i="11"/>
  <c r="C77" i="34"/>
  <c r="C206" i="11"/>
  <c r="C212" i="34"/>
  <c r="E206" i="33"/>
  <c r="D206" i="37" s="1"/>
  <c r="C175" i="19"/>
  <c r="L175" i="19" s="1"/>
  <c r="E129" i="9"/>
  <c r="E80" i="33"/>
  <c r="D80" i="37" s="1"/>
  <c r="C80" i="11"/>
  <c r="C86" i="34"/>
  <c r="C304" i="11"/>
  <c r="C310" i="34"/>
  <c r="E304" i="33"/>
  <c r="D304" i="37" s="1"/>
  <c r="E293" i="33"/>
  <c r="D293" i="37" s="1"/>
  <c r="C293" i="11"/>
  <c r="C299" i="34"/>
  <c r="C287" i="11"/>
  <c r="C293" i="34"/>
  <c r="E287" i="33"/>
  <c r="D287" i="37" s="1"/>
  <c r="C262" i="11"/>
  <c r="C268" i="34"/>
  <c r="E262" i="33"/>
  <c r="D262" i="37" s="1"/>
  <c r="E88" i="33"/>
  <c r="D88" i="37" s="1"/>
  <c r="C88" i="11"/>
  <c r="C94" i="34"/>
  <c r="E208" i="33"/>
  <c r="D208" i="37" s="1"/>
  <c r="C208" i="11"/>
  <c r="C214" i="34"/>
  <c r="E24" i="33"/>
  <c r="D24" i="37" s="1"/>
  <c r="C24" i="11"/>
  <c r="C30" i="34"/>
  <c r="C254" i="11"/>
  <c r="C260" i="34"/>
  <c r="E254" i="33"/>
  <c r="D254" i="37" s="1"/>
  <c r="C94" i="11"/>
  <c r="C100" i="34"/>
  <c r="E94" i="33"/>
  <c r="D94" i="37" s="1"/>
  <c r="E260" i="33"/>
  <c r="D260" i="37" s="1"/>
  <c r="C260" i="11"/>
  <c r="C266" i="34"/>
  <c r="C37" i="11"/>
  <c r="C43" i="34"/>
  <c r="E37" i="33"/>
  <c r="D37" i="37" s="1"/>
  <c r="C275" i="11"/>
  <c r="C281" i="34"/>
  <c r="E275" i="33"/>
  <c r="D275" i="37" s="1"/>
  <c r="C151" i="11"/>
  <c r="C157" i="34"/>
  <c r="E151" i="33"/>
  <c r="D151" i="37" s="1"/>
  <c r="C103" i="11"/>
  <c r="C109" i="34"/>
  <c r="E103" i="33"/>
  <c r="D103" i="37" s="1"/>
  <c r="E237" i="33"/>
  <c r="D237" i="37" s="1"/>
  <c r="C237" i="11"/>
  <c r="C243" i="34"/>
  <c r="C266" i="11"/>
  <c r="C272" i="34"/>
  <c r="E266" i="33"/>
  <c r="D266" i="37" s="1"/>
  <c r="C36" i="11"/>
  <c r="C42" i="34"/>
  <c r="E36" i="33"/>
  <c r="D36" i="37" s="1"/>
  <c r="C10" i="11"/>
  <c r="C16" i="34"/>
  <c r="E10" i="33"/>
  <c r="D10" i="37" s="1"/>
  <c r="C106" i="11"/>
  <c r="C112" i="34"/>
  <c r="E106" i="33"/>
  <c r="D106" i="37" s="1"/>
  <c r="C278" i="11"/>
  <c r="C284" i="34"/>
  <c r="E278" i="33"/>
  <c r="D278" i="37" s="1"/>
  <c r="C303" i="11"/>
  <c r="C309" i="34"/>
  <c r="E303" i="33"/>
  <c r="D303" i="37" s="1"/>
  <c r="C147" i="11"/>
  <c r="C153" i="34"/>
  <c r="E147" i="33"/>
  <c r="D147" i="37" s="1"/>
  <c r="E269" i="33"/>
  <c r="D269" i="37" s="1"/>
  <c r="C269" i="11"/>
  <c r="C275" i="34"/>
  <c r="E264" i="33"/>
  <c r="D264" i="37" s="1"/>
  <c r="C264" i="11"/>
  <c r="C270" i="34"/>
  <c r="C39" i="11"/>
  <c r="C45" i="34"/>
  <c r="E39" i="33"/>
  <c r="D39" i="37" s="1"/>
  <c r="C286" i="11"/>
  <c r="C292" i="34"/>
  <c r="E286" i="33"/>
  <c r="D286" i="37" s="1"/>
  <c r="C270" i="11"/>
  <c r="E270" i="33"/>
  <c r="D270" i="37" s="1"/>
  <c r="C276" i="34"/>
  <c r="C62" i="11"/>
  <c r="C68" i="34"/>
  <c r="E62" i="33"/>
  <c r="D62" i="37" s="1"/>
  <c r="C299" i="11"/>
  <c r="C305" i="34"/>
  <c r="E299" i="33"/>
  <c r="D299" i="37" s="1"/>
  <c r="C172" i="11"/>
  <c r="C178" i="34"/>
  <c r="E172" i="33"/>
  <c r="D172" i="37" s="1"/>
  <c r="C209" i="11"/>
  <c r="C215" i="34"/>
  <c r="E209" i="33"/>
  <c r="D209" i="37" s="1"/>
  <c r="C258" i="11"/>
  <c r="C264" i="34"/>
  <c r="E258" i="33"/>
  <c r="D258" i="37" s="1"/>
  <c r="C187" i="11"/>
  <c r="C193" i="34"/>
  <c r="E187" i="33"/>
  <c r="D187" i="37" s="1"/>
  <c r="C109" i="11"/>
  <c r="C115" i="34"/>
  <c r="E109" i="33"/>
  <c r="D109" i="37" s="1"/>
  <c r="C190" i="11"/>
  <c r="C196" i="34"/>
  <c r="E190" i="33"/>
  <c r="D190" i="37" s="1"/>
  <c r="D21" i="19"/>
  <c r="L21" i="19" s="1"/>
  <c r="E233" i="33"/>
  <c r="D233" i="37" s="1"/>
  <c r="C233" i="11"/>
  <c r="C239" i="34"/>
  <c r="C290" i="11"/>
  <c r="C296" i="34"/>
  <c r="E290" i="33"/>
  <c r="D290" i="37" s="1"/>
  <c r="C267" i="11"/>
  <c r="C273" i="34"/>
  <c r="E267" i="33"/>
  <c r="D267" i="37" s="1"/>
  <c r="C239" i="11"/>
  <c r="C245" i="34"/>
  <c r="E239" i="33"/>
  <c r="D239" i="37" s="1"/>
  <c r="E305" i="33"/>
  <c r="D305" i="37" s="1"/>
  <c r="C305" i="11"/>
  <c r="C311" i="34"/>
  <c r="C42" i="11"/>
  <c r="C48" i="34"/>
  <c r="E42" i="33"/>
  <c r="D42" i="37" s="1"/>
  <c r="C101" i="11"/>
  <c r="C107" i="34"/>
  <c r="E101" i="33"/>
  <c r="D101" i="37" s="1"/>
  <c r="E272" i="33"/>
  <c r="D272" i="37" s="1"/>
  <c r="C272" i="11"/>
  <c r="C278" i="34"/>
  <c r="E277" i="33"/>
  <c r="D277" i="37" s="1"/>
  <c r="C277" i="11"/>
  <c r="C283" i="34"/>
  <c r="E22" i="33"/>
  <c r="D22" i="37" s="1"/>
  <c r="C22" i="11"/>
  <c r="C28" i="34"/>
  <c r="C223" i="11"/>
  <c r="C229" i="34"/>
  <c r="E223" i="33"/>
  <c r="D223" i="37" s="1"/>
  <c r="E132" i="33"/>
  <c r="D132" i="37" s="1"/>
  <c r="C132" i="11"/>
  <c r="C138" i="34"/>
  <c r="C182" i="11"/>
  <c r="C188" i="34"/>
  <c r="E182" i="33"/>
  <c r="D182" i="37" s="1"/>
  <c r="C69" i="11"/>
  <c r="C75" i="34"/>
  <c r="E69" i="33"/>
  <c r="D69" i="37" s="1"/>
  <c r="E196" i="33"/>
  <c r="D196" i="37" s="1"/>
  <c r="C196" i="11"/>
  <c r="C202" i="34"/>
  <c r="C85" i="11"/>
  <c r="C91" i="34"/>
  <c r="E85" i="33"/>
  <c r="D85" i="37" s="1"/>
  <c r="C47" i="11"/>
  <c r="C53" i="34"/>
  <c r="E47" i="33"/>
  <c r="D47" i="37" s="1"/>
  <c r="C77" i="11"/>
  <c r="C83" i="34"/>
  <c r="E77" i="33"/>
  <c r="D77" i="37" s="1"/>
  <c r="C89" i="11"/>
  <c r="E89" i="33"/>
  <c r="D89" i="37" s="1"/>
  <c r="C95" i="34"/>
  <c r="E75" i="33"/>
  <c r="D75" i="37" s="1"/>
  <c r="C75" i="11"/>
  <c r="C81" i="34"/>
  <c r="C93" i="11"/>
  <c r="C99" i="34"/>
  <c r="E93" i="33"/>
  <c r="D93" i="37" s="1"/>
  <c r="C279" i="11"/>
  <c r="C285" i="34"/>
  <c r="E279" i="33"/>
  <c r="D279" i="37" s="1"/>
  <c r="C146" i="11"/>
  <c r="C152" i="34"/>
  <c r="E146" i="33"/>
  <c r="D146" i="37" s="1"/>
  <c r="C56" i="11"/>
  <c r="C62" i="34"/>
  <c r="E56" i="33"/>
  <c r="D56" i="37" s="1"/>
  <c r="C138" i="11"/>
  <c r="C144" i="34"/>
  <c r="E138" i="33"/>
  <c r="D138" i="37" s="1"/>
  <c r="C298" i="11"/>
  <c r="C304" i="34"/>
  <c r="E298" i="33"/>
  <c r="D298" i="37" s="1"/>
  <c r="E134" i="33"/>
  <c r="D134" i="37" s="1"/>
  <c r="C134" i="11"/>
  <c r="C140" i="34"/>
  <c r="C74" i="11"/>
  <c r="C80" i="34"/>
  <c r="E74" i="33"/>
  <c r="D74" i="37" s="1"/>
  <c r="E242" i="33"/>
  <c r="D242" i="37" s="1"/>
  <c r="C242" i="11"/>
  <c r="C248" i="34"/>
  <c r="E268" i="33"/>
  <c r="D268" i="37" s="1"/>
  <c r="C268" i="11"/>
  <c r="C274" i="34"/>
  <c r="C50" i="11"/>
  <c r="C56" i="34"/>
  <c r="E50" i="33"/>
  <c r="D50" i="37" s="1"/>
  <c r="E107" i="33"/>
  <c r="D107" i="37" s="1"/>
  <c r="C107" i="11"/>
  <c r="C113" i="34"/>
  <c r="C221" i="11"/>
  <c r="C227" i="34"/>
  <c r="E221" i="33"/>
  <c r="D221" i="37" s="1"/>
  <c r="E99" i="33"/>
  <c r="D99" i="37" s="1"/>
  <c r="C99" i="11"/>
  <c r="C105" i="34"/>
  <c r="E20" i="9"/>
  <c r="C248" i="11"/>
  <c r="C254" i="34"/>
  <c r="E248" i="33"/>
  <c r="D248" i="37" s="1"/>
  <c r="E8" i="33"/>
  <c r="D8" i="37" s="1"/>
  <c r="C8" i="11"/>
  <c r="C14" i="34"/>
  <c r="C180" i="11"/>
  <c r="C186" i="34"/>
  <c r="E180" i="33"/>
  <c r="D180" i="37" s="1"/>
  <c r="E204" i="33"/>
  <c r="D204" i="37" s="1"/>
  <c r="C204" i="11"/>
  <c r="C210" i="34"/>
  <c r="E225" i="33"/>
  <c r="D225" i="37" s="1"/>
  <c r="C225" i="11"/>
  <c r="C231" i="34"/>
  <c r="C65" i="11"/>
  <c r="C71" i="34"/>
  <c r="E65" i="33"/>
  <c r="D65" i="37" s="1"/>
  <c r="E14" i="33"/>
  <c r="D14" i="37" s="1"/>
  <c r="C14" i="11"/>
  <c r="C20" i="34"/>
  <c r="P271" i="19"/>
  <c r="R271" i="19" s="1"/>
  <c r="F271" i="49"/>
  <c r="G271" i="49" s="1"/>
  <c r="E30" i="33"/>
  <c r="D30" i="37" s="1"/>
  <c r="C30" i="11"/>
  <c r="C36" i="34"/>
  <c r="E252" i="33"/>
  <c r="D252" i="37" s="1"/>
  <c r="C252" i="11"/>
  <c r="C258" i="34"/>
  <c r="C83" i="11"/>
  <c r="C89" i="34"/>
  <c r="E83" i="33"/>
  <c r="D83" i="37" s="1"/>
  <c r="C31" i="11"/>
  <c r="C37" i="34"/>
  <c r="E31" i="33"/>
  <c r="D31" i="37" s="1"/>
  <c r="E215" i="33"/>
  <c r="D215" i="37" s="1"/>
  <c r="C215" i="11"/>
  <c r="C221" i="34"/>
  <c r="E44" i="33"/>
  <c r="D44" i="37" s="1"/>
  <c r="C44" i="11"/>
  <c r="C50" i="34"/>
  <c r="E212" i="33"/>
  <c r="D212" i="37" s="1"/>
  <c r="C212" i="11"/>
  <c r="C218" i="34"/>
  <c r="C18" i="11"/>
  <c r="C24" i="34"/>
  <c r="E18" i="33"/>
  <c r="D18" i="37" s="1"/>
  <c r="E241" i="33"/>
  <c r="D241" i="37" s="1"/>
  <c r="C241" i="11"/>
  <c r="C247" i="34"/>
  <c r="C282" i="11"/>
  <c r="C288" i="34"/>
  <c r="E282" i="33"/>
  <c r="D282" i="37" s="1"/>
  <c r="C98" i="11"/>
  <c r="C104" i="34"/>
  <c r="E98" i="33"/>
  <c r="D98" i="37" s="1"/>
  <c r="C251" i="11"/>
  <c r="C257" i="34"/>
  <c r="E251" i="33"/>
  <c r="D251" i="37" s="1"/>
  <c r="E76" i="33"/>
  <c r="D76" i="37" s="1"/>
  <c r="C76" i="11"/>
  <c r="C82" i="34"/>
  <c r="A7" i="49"/>
  <c r="B7" i="49"/>
  <c r="I7" i="49"/>
  <c r="A8" i="49"/>
  <c r="B8" i="49"/>
  <c r="A9" i="49"/>
  <c r="B9" i="49"/>
  <c r="A10" i="49"/>
  <c r="B10" i="49"/>
  <c r="A11" i="49"/>
  <c r="B11" i="49"/>
  <c r="A12" i="49"/>
  <c r="B12" i="49"/>
  <c r="A13" i="49"/>
  <c r="B13" i="49"/>
  <c r="A14" i="49"/>
  <c r="B14" i="49"/>
  <c r="I14" i="49"/>
  <c r="A15" i="49"/>
  <c r="B15" i="49"/>
  <c r="A16" i="49"/>
  <c r="B16" i="49"/>
  <c r="A17" i="49"/>
  <c r="B17" i="49"/>
  <c r="A18" i="49"/>
  <c r="B18" i="49"/>
  <c r="A19" i="49"/>
  <c r="B19" i="49"/>
  <c r="A20" i="49"/>
  <c r="B20" i="49"/>
  <c r="A21" i="49"/>
  <c r="B21" i="49"/>
  <c r="A22" i="49"/>
  <c r="B22" i="49"/>
  <c r="A23" i="49"/>
  <c r="B23" i="49"/>
  <c r="A24" i="49"/>
  <c r="B24" i="49"/>
  <c r="A25" i="49"/>
  <c r="B25" i="49"/>
  <c r="A26" i="49"/>
  <c r="B26" i="49"/>
  <c r="A27" i="49"/>
  <c r="B27" i="49"/>
  <c r="A28" i="49"/>
  <c r="B28" i="49"/>
  <c r="A29" i="49"/>
  <c r="B29" i="49"/>
  <c r="A30" i="49"/>
  <c r="B30" i="49"/>
  <c r="A31" i="49"/>
  <c r="B31" i="49"/>
  <c r="A32" i="49"/>
  <c r="B32" i="49"/>
  <c r="A33" i="49"/>
  <c r="B33" i="49"/>
  <c r="A34" i="49"/>
  <c r="B34" i="49"/>
  <c r="A35" i="49"/>
  <c r="B35" i="49"/>
  <c r="A36" i="49"/>
  <c r="B36" i="49"/>
  <c r="A37" i="49"/>
  <c r="B37" i="49"/>
  <c r="A38" i="49"/>
  <c r="B38" i="49"/>
  <c r="A39" i="49"/>
  <c r="B39" i="49"/>
  <c r="A40" i="49"/>
  <c r="B40" i="49"/>
  <c r="A41" i="49"/>
  <c r="B41" i="49"/>
  <c r="A42" i="49"/>
  <c r="B42" i="49"/>
  <c r="A43" i="49"/>
  <c r="B43" i="49"/>
  <c r="A44" i="49"/>
  <c r="B44" i="49"/>
  <c r="A45" i="49"/>
  <c r="B45" i="49"/>
  <c r="A46" i="49"/>
  <c r="B46" i="49"/>
  <c r="A47" i="49"/>
  <c r="B47" i="49"/>
  <c r="A48" i="49"/>
  <c r="B48" i="49"/>
  <c r="A49" i="49"/>
  <c r="B49" i="49"/>
  <c r="A50" i="49"/>
  <c r="B50" i="49"/>
  <c r="A51" i="49"/>
  <c r="B51" i="49"/>
  <c r="A52" i="49"/>
  <c r="B52" i="49"/>
  <c r="A53" i="49"/>
  <c r="B53" i="49"/>
  <c r="A54" i="49"/>
  <c r="B54" i="49"/>
  <c r="A55" i="49"/>
  <c r="B55" i="49"/>
  <c r="A56" i="49"/>
  <c r="B56" i="49"/>
  <c r="A57" i="49"/>
  <c r="B57" i="49"/>
  <c r="A58" i="49"/>
  <c r="B58" i="49"/>
  <c r="A59" i="49"/>
  <c r="B59" i="49"/>
  <c r="A60" i="49"/>
  <c r="B60" i="49"/>
  <c r="A61" i="49"/>
  <c r="B61" i="49"/>
  <c r="A62" i="49"/>
  <c r="B62" i="49"/>
  <c r="A63" i="49"/>
  <c r="B63" i="49"/>
  <c r="A64" i="49"/>
  <c r="B64" i="49"/>
  <c r="A65" i="49"/>
  <c r="B65" i="49"/>
  <c r="A66" i="49"/>
  <c r="B66" i="49"/>
  <c r="A67" i="49"/>
  <c r="B67" i="49"/>
  <c r="A68" i="49"/>
  <c r="B68" i="49"/>
  <c r="A69" i="49"/>
  <c r="B69" i="49"/>
  <c r="A70" i="49"/>
  <c r="B70" i="49"/>
  <c r="A71" i="49"/>
  <c r="B71" i="49"/>
  <c r="A72" i="49"/>
  <c r="B72" i="49"/>
  <c r="A73" i="49"/>
  <c r="B73" i="49"/>
  <c r="A74" i="49"/>
  <c r="B74" i="49"/>
  <c r="A75" i="49"/>
  <c r="B75" i="49"/>
  <c r="A76" i="49"/>
  <c r="B76" i="49"/>
  <c r="A77" i="49"/>
  <c r="B77" i="49"/>
  <c r="A78" i="49"/>
  <c r="B78" i="49"/>
  <c r="A79" i="49"/>
  <c r="B79" i="49"/>
  <c r="A80" i="49"/>
  <c r="B80" i="49"/>
  <c r="A81" i="49"/>
  <c r="B81" i="49"/>
  <c r="A82" i="49"/>
  <c r="B82" i="49"/>
  <c r="A83" i="49"/>
  <c r="B83" i="49"/>
  <c r="A84" i="49"/>
  <c r="B84" i="49"/>
  <c r="A85" i="49"/>
  <c r="B85" i="49"/>
  <c r="A86" i="49"/>
  <c r="B86" i="49"/>
  <c r="A87" i="49"/>
  <c r="B87" i="49"/>
  <c r="A88" i="49"/>
  <c r="B88" i="49"/>
  <c r="A89" i="49"/>
  <c r="B89" i="49"/>
  <c r="A90" i="49"/>
  <c r="B90" i="49"/>
  <c r="A91" i="49"/>
  <c r="B91" i="49"/>
  <c r="A92" i="49"/>
  <c r="B92" i="49"/>
  <c r="A93" i="49"/>
  <c r="B93" i="49"/>
  <c r="A94" i="49"/>
  <c r="B94" i="49"/>
  <c r="A95" i="49"/>
  <c r="B95" i="49"/>
  <c r="A96" i="49"/>
  <c r="B96" i="49"/>
  <c r="A97" i="49"/>
  <c r="B97" i="49"/>
  <c r="A98" i="49"/>
  <c r="B98" i="49"/>
  <c r="A99" i="49"/>
  <c r="B99" i="49"/>
  <c r="A100" i="49"/>
  <c r="B100" i="49"/>
  <c r="A101" i="49"/>
  <c r="B101" i="49"/>
  <c r="A102" i="49"/>
  <c r="B102" i="49"/>
  <c r="A103" i="49"/>
  <c r="B103" i="49"/>
  <c r="A104" i="49"/>
  <c r="B104" i="49"/>
  <c r="A105" i="49"/>
  <c r="B105" i="49"/>
  <c r="A106" i="49"/>
  <c r="B106" i="49"/>
  <c r="I106" i="49"/>
  <c r="A107" i="49"/>
  <c r="B107" i="49"/>
  <c r="A108" i="49"/>
  <c r="B108" i="49"/>
  <c r="I108" i="49"/>
  <c r="A109" i="49"/>
  <c r="B109" i="49"/>
  <c r="A110" i="49"/>
  <c r="B110" i="49"/>
  <c r="A111" i="49"/>
  <c r="B111" i="49"/>
  <c r="I111" i="49"/>
  <c r="A112" i="49"/>
  <c r="B112" i="49"/>
  <c r="A113" i="49"/>
  <c r="B113" i="49"/>
  <c r="I113" i="49"/>
  <c r="A114" i="49"/>
  <c r="B114" i="49"/>
  <c r="I114" i="49"/>
  <c r="A115" i="49"/>
  <c r="B115" i="49"/>
  <c r="I115" i="49"/>
  <c r="A116" i="49"/>
  <c r="B116" i="49"/>
  <c r="I116" i="49"/>
  <c r="A117" i="49"/>
  <c r="B117" i="49"/>
  <c r="A118" i="49"/>
  <c r="B118" i="49"/>
  <c r="I118" i="49"/>
  <c r="A119" i="49"/>
  <c r="B119" i="49"/>
  <c r="A120" i="49"/>
  <c r="B120" i="49"/>
  <c r="I120" i="49"/>
  <c r="A121" i="49"/>
  <c r="B121" i="49"/>
  <c r="I121" i="49"/>
  <c r="A122" i="49"/>
  <c r="B122" i="49"/>
  <c r="I122" i="49"/>
  <c r="A123" i="49"/>
  <c r="B123" i="49"/>
  <c r="I123" i="49"/>
  <c r="A124" i="49"/>
  <c r="B124" i="49"/>
  <c r="I124" i="49"/>
  <c r="A125" i="49"/>
  <c r="B125" i="49"/>
  <c r="I125" i="49"/>
  <c r="A126" i="49"/>
  <c r="B126" i="49"/>
  <c r="A127" i="49"/>
  <c r="B127" i="49"/>
  <c r="A128" i="49"/>
  <c r="B128" i="49"/>
  <c r="I128" i="49"/>
  <c r="A129" i="49"/>
  <c r="B129" i="49"/>
  <c r="I129" i="49"/>
  <c r="A130" i="49"/>
  <c r="B130" i="49"/>
  <c r="I130" i="49"/>
  <c r="A131" i="49"/>
  <c r="B131" i="49"/>
  <c r="A132" i="49"/>
  <c r="B132" i="49"/>
  <c r="A133" i="49"/>
  <c r="B133" i="49"/>
  <c r="A134" i="49"/>
  <c r="B134" i="49"/>
  <c r="A135" i="49"/>
  <c r="B135" i="49"/>
  <c r="A136" i="49"/>
  <c r="B136" i="49"/>
  <c r="A137" i="49"/>
  <c r="B137" i="49"/>
  <c r="I137" i="49"/>
  <c r="A138" i="49"/>
  <c r="B138" i="49"/>
  <c r="A139" i="49"/>
  <c r="B139" i="49"/>
  <c r="A140" i="49"/>
  <c r="B140" i="49"/>
  <c r="A141" i="49"/>
  <c r="B141" i="49"/>
  <c r="A142" i="49"/>
  <c r="B142" i="49"/>
  <c r="I142" i="49"/>
  <c r="A143" i="49"/>
  <c r="B143" i="49"/>
  <c r="I143" i="49"/>
  <c r="A144" i="49"/>
  <c r="B144" i="49"/>
  <c r="I144" i="49"/>
  <c r="A145" i="49"/>
  <c r="B145" i="49"/>
  <c r="A146" i="49"/>
  <c r="B146" i="49"/>
  <c r="I146" i="49"/>
  <c r="A147" i="49"/>
  <c r="B147" i="49"/>
  <c r="I147" i="49"/>
  <c r="A148" i="49"/>
  <c r="B148" i="49"/>
  <c r="I148" i="49"/>
  <c r="A149" i="49"/>
  <c r="B149" i="49"/>
  <c r="A150" i="49"/>
  <c r="B150" i="49"/>
  <c r="I150" i="49"/>
  <c r="A151" i="49"/>
  <c r="B151" i="49"/>
  <c r="A152" i="49"/>
  <c r="B152" i="49"/>
  <c r="A153" i="49"/>
  <c r="B153" i="49"/>
  <c r="A154" i="49"/>
  <c r="B154" i="49"/>
  <c r="A155" i="49"/>
  <c r="B155" i="49"/>
  <c r="A156" i="49"/>
  <c r="B156" i="49"/>
  <c r="A157" i="49"/>
  <c r="B157" i="49"/>
  <c r="A158" i="49"/>
  <c r="B158" i="49"/>
  <c r="A159" i="49"/>
  <c r="B159" i="49"/>
  <c r="A160" i="49"/>
  <c r="B160" i="49"/>
  <c r="A161" i="49"/>
  <c r="B161" i="49"/>
  <c r="A162" i="49"/>
  <c r="B162" i="49"/>
  <c r="A163" i="49"/>
  <c r="B163" i="49"/>
  <c r="A164" i="49"/>
  <c r="B164" i="49"/>
  <c r="A165" i="49"/>
  <c r="B165" i="49"/>
  <c r="A166" i="49"/>
  <c r="B166" i="49"/>
  <c r="A167" i="49"/>
  <c r="B167" i="49"/>
  <c r="A168" i="49"/>
  <c r="B168" i="49"/>
  <c r="A169" i="49"/>
  <c r="B169" i="49"/>
  <c r="A170" i="49"/>
  <c r="B170" i="49"/>
  <c r="A171" i="49"/>
  <c r="B171" i="49"/>
  <c r="A172" i="49"/>
  <c r="B172" i="49"/>
  <c r="A173" i="49"/>
  <c r="B173" i="49"/>
  <c r="A174" i="49"/>
  <c r="B174" i="49"/>
  <c r="A175" i="49"/>
  <c r="B175" i="49"/>
  <c r="A176" i="49"/>
  <c r="B176" i="49"/>
  <c r="A177" i="49"/>
  <c r="B177" i="49"/>
  <c r="A178" i="49"/>
  <c r="B178" i="49"/>
  <c r="A179" i="49"/>
  <c r="B179" i="49"/>
  <c r="A180" i="49"/>
  <c r="B180" i="49"/>
  <c r="A181" i="49"/>
  <c r="B181" i="49"/>
  <c r="A182" i="49"/>
  <c r="B182" i="49"/>
  <c r="A183" i="49"/>
  <c r="B183" i="49"/>
  <c r="A184" i="49"/>
  <c r="B184" i="49"/>
  <c r="I184" i="49"/>
  <c r="A185" i="49"/>
  <c r="B185" i="49"/>
  <c r="A186" i="49"/>
  <c r="B186" i="49"/>
  <c r="A187" i="49"/>
  <c r="B187" i="49"/>
  <c r="A188" i="49"/>
  <c r="B188" i="49"/>
  <c r="A189" i="49"/>
  <c r="B189" i="49"/>
  <c r="A190" i="49"/>
  <c r="B190" i="49"/>
  <c r="A191" i="49"/>
  <c r="B191" i="49"/>
  <c r="A192" i="49"/>
  <c r="B192" i="49"/>
  <c r="A193" i="49"/>
  <c r="B193" i="49"/>
  <c r="A194" i="49"/>
  <c r="B194" i="49"/>
  <c r="A195" i="49"/>
  <c r="B195" i="49"/>
  <c r="I195" i="49"/>
  <c r="A196" i="49"/>
  <c r="B196" i="49"/>
  <c r="I196" i="49"/>
  <c r="A197" i="49"/>
  <c r="B197" i="49"/>
  <c r="A198" i="49"/>
  <c r="B198" i="49"/>
  <c r="A199" i="49"/>
  <c r="B199" i="49"/>
  <c r="A200" i="49"/>
  <c r="B200" i="49"/>
  <c r="A201" i="49"/>
  <c r="B201" i="49"/>
  <c r="A202" i="49"/>
  <c r="B202" i="49"/>
  <c r="A203" i="49"/>
  <c r="B203" i="49"/>
  <c r="A204" i="49"/>
  <c r="B204" i="49"/>
  <c r="A205" i="49"/>
  <c r="B205" i="49"/>
  <c r="A206" i="49"/>
  <c r="B206" i="49"/>
  <c r="A207" i="49"/>
  <c r="B207" i="49"/>
  <c r="A208" i="49"/>
  <c r="B208" i="49"/>
  <c r="A209" i="49"/>
  <c r="B209" i="49"/>
  <c r="A210" i="49"/>
  <c r="B210" i="49"/>
  <c r="A211" i="49"/>
  <c r="B211" i="49"/>
  <c r="A212" i="49"/>
  <c r="B212" i="49"/>
  <c r="A213" i="49"/>
  <c r="B213" i="49"/>
  <c r="A214" i="49"/>
  <c r="B214" i="49"/>
  <c r="A215" i="49"/>
  <c r="B215" i="49"/>
  <c r="A216" i="49"/>
  <c r="B216" i="49"/>
  <c r="A217" i="49"/>
  <c r="B217" i="49"/>
  <c r="A218" i="49"/>
  <c r="B218" i="49"/>
  <c r="A219" i="49"/>
  <c r="B219" i="49"/>
  <c r="A220" i="49"/>
  <c r="B220" i="49"/>
  <c r="A221" i="49"/>
  <c r="B221" i="49"/>
  <c r="A222" i="49"/>
  <c r="B222" i="49"/>
  <c r="A223" i="49"/>
  <c r="B223" i="49"/>
  <c r="A224" i="49"/>
  <c r="B224" i="49"/>
  <c r="A225" i="49"/>
  <c r="B225" i="49"/>
  <c r="A226" i="49"/>
  <c r="B226" i="49"/>
  <c r="A227" i="49"/>
  <c r="B227" i="49"/>
  <c r="A228" i="49"/>
  <c r="B228" i="49"/>
  <c r="A229" i="49"/>
  <c r="B229" i="49"/>
  <c r="A230" i="49"/>
  <c r="B230" i="49"/>
  <c r="A231" i="49"/>
  <c r="B231" i="49"/>
  <c r="A232" i="49"/>
  <c r="B232" i="49"/>
  <c r="A233" i="49"/>
  <c r="B233" i="49"/>
  <c r="A234" i="49"/>
  <c r="B234" i="49"/>
  <c r="A235" i="49"/>
  <c r="B235" i="49"/>
  <c r="A236" i="49"/>
  <c r="B236" i="49"/>
  <c r="A237" i="49"/>
  <c r="B237" i="49"/>
  <c r="A238" i="49"/>
  <c r="B238" i="49"/>
  <c r="A239" i="49"/>
  <c r="B239" i="49"/>
  <c r="A240" i="49"/>
  <c r="B240" i="49"/>
  <c r="A241" i="49"/>
  <c r="B241" i="49"/>
  <c r="A242" i="49"/>
  <c r="B242" i="49"/>
  <c r="A243" i="49"/>
  <c r="B243" i="49"/>
  <c r="A244" i="49"/>
  <c r="B244" i="49"/>
  <c r="A245" i="49"/>
  <c r="B245" i="49"/>
  <c r="A246" i="49"/>
  <c r="B246" i="49"/>
  <c r="A247" i="49"/>
  <c r="B247" i="49"/>
  <c r="A248" i="49"/>
  <c r="B248" i="49"/>
  <c r="A249" i="49"/>
  <c r="B249" i="49"/>
  <c r="A250" i="49"/>
  <c r="B250" i="49"/>
  <c r="A251" i="49"/>
  <c r="B251" i="49"/>
  <c r="A252" i="49"/>
  <c r="B252" i="49"/>
  <c r="A253" i="49"/>
  <c r="B253" i="49"/>
  <c r="A254" i="49"/>
  <c r="B254" i="49"/>
  <c r="A255" i="49"/>
  <c r="B255" i="49"/>
  <c r="A256" i="49"/>
  <c r="B256" i="49"/>
  <c r="A257" i="49"/>
  <c r="B257" i="49"/>
  <c r="A258" i="49"/>
  <c r="B258" i="49"/>
  <c r="A259" i="49"/>
  <c r="B259" i="49"/>
  <c r="A260" i="49"/>
  <c r="B260" i="49"/>
  <c r="A261" i="49"/>
  <c r="B261" i="49"/>
  <c r="A262" i="49"/>
  <c r="B262" i="49"/>
  <c r="A263" i="49"/>
  <c r="B263" i="49"/>
  <c r="A264" i="49"/>
  <c r="B264" i="49"/>
  <c r="A265" i="49"/>
  <c r="B265" i="49"/>
  <c r="A266" i="49"/>
  <c r="B266" i="49"/>
  <c r="A267" i="49"/>
  <c r="B267" i="49"/>
  <c r="I267" i="49"/>
  <c r="A268" i="49"/>
  <c r="B268" i="49"/>
  <c r="I268" i="49"/>
  <c r="A269" i="49"/>
  <c r="B269" i="49"/>
  <c r="I269" i="49"/>
  <c r="A270" i="49"/>
  <c r="B270" i="49"/>
  <c r="I270" i="49"/>
  <c r="A271" i="49"/>
  <c r="B271" i="49"/>
  <c r="I271" i="49"/>
  <c r="A272" i="49"/>
  <c r="B272" i="49"/>
  <c r="I272" i="49"/>
  <c r="A273" i="49"/>
  <c r="B273" i="49"/>
  <c r="I273" i="49"/>
  <c r="A274" i="49"/>
  <c r="B274" i="49"/>
  <c r="I274" i="49"/>
  <c r="A275" i="49"/>
  <c r="B275" i="49"/>
  <c r="A276" i="49"/>
  <c r="B276" i="49"/>
  <c r="A277" i="49"/>
  <c r="B277" i="49"/>
  <c r="A278" i="49"/>
  <c r="B278" i="49"/>
  <c r="I278" i="49"/>
  <c r="A279" i="49"/>
  <c r="B279" i="49"/>
  <c r="A280" i="49"/>
  <c r="B280" i="49"/>
  <c r="A281" i="49"/>
  <c r="B281" i="49"/>
  <c r="A282" i="49"/>
  <c r="B282" i="49"/>
  <c r="I282" i="49"/>
  <c r="A283" i="49"/>
  <c r="B283" i="49"/>
  <c r="A284" i="49"/>
  <c r="B284" i="49"/>
  <c r="A285" i="49"/>
  <c r="B285" i="49"/>
  <c r="A286" i="49"/>
  <c r="B286" i="49"/>
  <c r="A287" i="49"/>
  <c r="B287" i="49"/>
  <c r="I287" i="49"/>
  <c r="A288" i="49"/>
  <c r="B288" i="49"/>
  <c r="I288" i="49"/>
  <c r="A289" i="49"/>
  <c r="B289" i="49"/>
  <c r="A290" i="49"/>
  <c r="B290" i="49"/>
  <c r="A291" i="49"/>
  <c r="B291" i="49"/>
  <c r="A292" i="49"/>
  <c r="B292" i="49"/>
  <c r="A293" i="49"/>
  <c r="B293" i="49"/>
  <c r="A294" i="49"/>
  <c r="B294" i="49"/>
  <c r="I294" i="49"/>
  <c r="A295" i="49"/>
  <c r="B295" i="49"/>
  <c r="A296" i="49"/>
  <c r="B296" i="49"/>
  <c r="I296" i="49"/>
  <c r="A297" i="49"/>
  <c r="B297" i="49"/>
  <c r="I297" i="49"/>
  <c r="A298" i="49"/>
  <c r="B298" i="49"/>
  <c r="I298" i="49"/>
  <c r="A299" i="49"/>
  <c r="B299" i="49"/>
  <c r="A300" i="49"/>
  <c r="B300" i="49"/>
  <c r="A301" i="49"/>
  <c r="B301" i="49"/>
  <c r="A302" i="49"/>
  <c r="B302" i="49"/>
  <c r="A303" i="49"/>
  <c r="B303" i="49"/>
  <c r="A304" i="49"/>
  <c r="B304" i="49"/>
  <c r="I304" i="49"/>
  <c r="A305" i="49"/>
  <c r="B305" i="49"/>
  <c r="F137" i="49" l="1"/>
  <c r="G137" i="49" s="1"/>
  <c r="P137" i="19"/>
  <c r="R137" i="19" s="1"/>
  <c r="F120" i="49"/>
  <c r="G120" i="49" s="1"/>
  <c r="P120" i="19"/>
  <c r="R120" i="19" s="1"/>
  <c r="E270" i="25"/>
  <c r="J271" i="49"/>
  <c r="C271" i="13"/>
  <c r="C271" i="39"/>
  <c r="C271" i="12"/>
  <c r="C277" i="9"/>
  <c r="C271" i="33"/>
  <c r="P261" i="19"/>
  <c r="R261" i="19" s="1"/>
  <c r="F261" i="49"/>
  <c r="G261" i="49" s="1"/>
  <c r="F113" i="49"/>
  <c r="G113" i="49" s="1"/>
  <c r="P113" i="19"/>
  <c r="R113" i="19" s="1"/>
  <c r="F175" i="49"/>
  <c r="G175" i="49" s="1"/>
  <c r="P175" i="19"/>
  <c r="R175" i="19" s="1"/>
  <c r="F143" i="49"/>
  <c r="G143" i="49" s="1"/>
  <c r="P143" i="19"/>
  <c r="R143" i="19" s="1"/>
  <c r="F21" i="49"/>
  <c r="G21" i="49" s="1"/>
  <c r="P21" i="19"/>
  <c r="R21" i="19" s="1"/>
  <c r="AL235" i="42"/>
  <c r="AD235" i="42"/>
  <c r="AL68" i="42"/>
  <c r="AD68" i="42"/>
  <c r="I275" i="49"/>
  <c r="E112" i="25" l="1"/>
  <c r="J113" i="49"/>
  <c r="C113" i="39"/>
  <c r="C113" i="12"/>
  <c r="C113" i="13"/>
  <c r="C113" i="33"/>
  <c r="C119" i="9"/>
  <c r="C271" i="11"/>
  <c r="C277" i="34"/>
  <c r="E271" i="33"/>
  <c r="D271" i="37" s="1"/>
  <c r="E142" i="25"/>
  <c r="J143" i="49"/>
  <c r="C143" i="13"/>
  <c r="C143" i="39"/>
  <c r="C143" i="12"/>
  <c r="C143" i="33"/>
  <c r="C149" i="9"/>
  <c r="E20" i="25"/>
  <c r="J21" i="49"/>
  <c r="C21" i="13"/>
  <c r="C21" i="39"/>
  <c r="C21" i="12"/>
  <c r="C21" i="33"/>
  <c r="C27" i="9"/>
  <c r="J261" i="49"/>
  <c r="E260" i="25"/>
  <c r="C261" i="39"/>
  <c r="C261" i="12"/>
  <c r="C261" i="13"/>
  <c r="C261" i="33"/>
  <c r="C267" i="9"/>
  <c r="J175" i="49"/>
  <c r="E174" i="25"/>
  <c r="C175" i="39"/>
  <c r="C175" i="12"/>
  <c r="C175" i="13"/>
  <c r="C175" i="33"/>
  <c r="C181" i="9"/>
  <c r="E119" i="25"/>
  <c r="J120" i="49"/>
  <c r="C120" i="13"/>
  <c r="C120" i="12"/>
  <c r="C120" i="39"/>
  <c r="C120" i="33"/>
  <c r="C126" i="9"/>
  <c r="E136" i="25"/>
  <c r="J137" i="49"/>
  <c r="C137" i="39"/>
  <c r="C137" i="12"/>
  <c r="C137" i="13"/>
  <c r="C137" i="33"/>
  <c r="C143" i="9"/>
  <c r="AK149" i="42"/>
  <c r="AE64" i="42"/>
  <c r="AK25" i="42"/>
  <c r="AK296" i="42"/>
  <c r="AC190" i="42"/>
  <c r="AC160" i="42"/>
  <c r="AC19" i="42"/>
  <c r="AE230" i="42"/>
  <c r="AE192" i="42"/>
  <c r="AC59" i="42"/>
  <c r="AC188" i="42"/>
  <c r="AC180" i="42"/>
  <c r="AE198" i="42"/>
  <c r="AC27" i="42"/>
  <c r="AM35" i="42"/>
  <c r="AC133" i="42"/>
  <c r="AD155" i="42"/>
  <c r="AK224" i="42"/>
  <c r="AC224" i="42"/>
  <c r="AM224" i="42"/>
  <c r="AE224" i="42"/>
  <c r="AK266" i="42"/>
  <c r="AC266" i="42"/>
  <c r="AE266" i="42"/>
  <c r="AM266" i="42"/>
  <c r="AK63" i="42"/>
  <c r="AC63" i="42"/>
  <c r="AE63" i="42"/>
  <c r="AM63" i="42"/>
  <c r="AK158" i="42"/>
  <c r="AC158" i="42"/>
  <c r="AE158" i="42"/>
  <c r="AM158" i="42"/>
  <c r="AK182" i="42"/>
  <c r="AC182" i="42"/>
  <c r="AE182" i="42"/>
  <c r="AM182" i="42"/>
  <c r="AK156" i="42"/>
  <c r="AM156" i="42"/>
  <c r="AC156" i="42"/>
  <c r="AE156" i="42"/>
  <c r="AK172" i="42"/>
  <c r="AM172" i="42"/>
  <c r="AE172" i="42"/>
  <c r="AC172" i="42"/>
  <c r="AK176" i="42"/>
  <c r="AC176" i="42"/>
  <c r="AM176" i="42"/>
  <c r="AE176" i="42"/>
  <c r="AK240" i="42"/>
  <c r="AC240" i="42"/>
  <c r="AE240" i="42"/>
  <c r="AM240" i="42"/>
  <c r="AK300" i="42"/>
  <c r="AC300" i="42"/>
  <c r="AE300" i="42"/>
  <c r="AM300" i="42"/>
  <c r="AK184" i="42"/>
  <c r="AC184" i="42"/>
  <c r="AE184" i="42"/>
  <c r="AM184" i="42"/>
  <c r="AK220" i="42"/>
  <c r="AC220" i="42"/>
  <c r="AE220" i="42"/>
  <c r="AM220" i="42"/>
  <c r="AK141" i="42"/>
  <c r="AM141" i="42"/>
  <c r="AC141" i="42"/>
  <c r="AE141" i="42"/>
  <c r="AK206" i="42"/>
  <c r="AE206" i="42"/>
  <c r="AC206" i="42"/>
  <c r="AM206" i="42"/>
  <c r="AK270" i="42"/>
  <c r="AC270" i="42"/>
  <c r="AE270" i="42"/>
  <c r="AM270" i="42"/>
  <c r="AK164" i="42"/>
  <c r="AM164" i="42"/>
  <c r="AC164" i="42"/>
  <c r="AE164" i="42"/>
  <c r="AK37" i="42"/>
  <c r="AC37" i="42"/>
  <c r="AE37" i="42"/>
  <c r="AM37" i="42"/>
  <c r="AD275" i="42"/>
  <c r="AK23" i="42"/>
  <c r="AC23" i="42"/>
  <c r="AE23" i="42"/>
  <c r="AM23" i="42"/>
  <c r="AK31" i="42"/>
  <c r="AC31" i="42"/>
  <c r="AE31" i="42"/>
  <c r="AM31" i="42"/>
  <c r="AK39" i="42"/>
  <c r="AC39" i="42"/>
  <c r="AE39" i="42"/>
  <c r="AM39" i="42"/>
  <c r="AK190" i="42"/>
  <c r="AE190" i="42"/>
  <c r="AK280" i="42"/>
  <c r="AC280" i="42"/>
  <c r="AE280" i="42"/>
  <c r="AM280" i="42"/>
  <c r="AK282" i="42"/>
  <c r="AC282" i="42"/>
  <c r="AE282" i="42"/>
  <c r="AM282" i="42"/>
  <c r="AK304" i="42"/>
  <c r="AC304" i="42"/>
  <c r="AE304" i="42"/>
  <c r="AM304" i="42"/>
  <c r="AK160" i="42"/>
  <c r="AK196" i="42"/>
  <c r="AC196" i="42"/>
  <c r="AE196" i="42"/>
  <c r="AM196" i="42"/>
  <c r="AK216" i="42"/>
  <c r="AC216" i="42"/>
  <c r="AM216" i="42"/>
  <c r="AE216" i="42"/>
  <c r="AK254" i="42"/>
  <c r="AC254" i="42"/>
  <c r="AM254" i="42"/>
  <c r="AE254" i="42"/>
  <c r="AK166" i="42"/>
  <c r="AC166" i="42"/>
  <c r="AE166" i="42"/>
  <c r="AM166" i="42"/>
  <c r="AK226" i="42"/>
  <c r="AE226" i="42"/>
  <c r="AK51" i="42"/>
  <c r="AM51" i="42"/>
  <c r="AC51" i="42"/>
  <c r="AE51" i="42"/>
  <c r="AK208" i="42"/>
  <c r="AC208" i="42"/>
  <c r="AE208" i="42"/>
  <c r="AM208" i="42"/>
  <c r="AK9" i="42"/>
  <c r="AC9" i="42"/>
  <c r="AE9" i="42"/>
  <c r="AM9" i="42"/>
  <c r="AL275" i="42"/>
  <c r="AK55" i="42"/>
  <c r="AC55" i="42"/>
  <c r="AE55" i="42"/>
  <c r="AM55" i="42"/>
  <c r="AK284" i="42"/>
  <c r="AC284" i="42"/>
  <c r="AE284" i="42"/>
  <c r="AM284" i="42"/>
  <c r="AM278" i="42"/>
  <c r="AK278" i="42"/>
  <c r="AE278" i="42"/>
  <c r="AC278" i="42"/>
  <c r="AK145" i="42"/>
  <c r="AC145" i="42"/>
  <c r="AM145" i="42"/>
  <c r="AE145" i="42"/>
  <c r="AE222" i="42"/>
  <c r="AE149" i="42"/>
  <c r="AL155" i="42"/>
  <c r="AK27" i="42"/>
  <c r="AM27" i="42"/>
  <c r="AK194" i="42"/>
  <c r="AC194" i="42"/>
  <c r="AM194" i="42"/>
  <c r="AE194" i="42"/>
  <c r="AK168" i="42"/>
  <c r="AC168" i="42"/>
  <c r="AE168" i="42"/>
  <c r="AM168" i="42"/>
  <c r="AK234" i="42"/>
  <c r="AC234" i="42"/>
  <c r="AE234" i="42"/>
  <c r="AM234" i="42"/>
  <c r="AK174" i="42"/>
  <c r="AC174" i="42"/>
  <c r="AE174" i="42"/>
  <c r="AM174" i="42"/>
  <c r="AK214" i="42"/>
  <c r="AC214" i="42"/>
  <c r="AE214" i="42"/>
  <c r="AM214" i="42"/>
  <c r="AK232" i="42"/>
  <c r="AC232" i="42"/>
  <c r="AE232" i="42"/>
  <c r="AM232" i="42"/>
  <c r="AK17" i="42"/>
  <c r="AC17" i="42"/>
  <c r="AM17" i="42"/>
  <c r="AE17" i="42"/>
  <c r="AK153" i="42"/>
  <c r="AC153" i="42"/>
  <c r="AM153" i="42"/>
  <c r="AE153" i="42"/>
  <c r="AK256" i="42"/>
  <c r="AC256" i="42"/>
  <c r="AE256" i="42"/>
  <c r="AM256" i="42"/>
  <c r="AK29" i="42"/>
  <c r="AC29" i="42"/>
  <c r="AM29" i="42"/>
  <c r="AM25" i="42"/>
  <c r="AE25" i="42"/>
  <c r="AC33" i="42"/>
  <c r="AE33" i="42"/>
  <c r="AK294" i="42"/>
  <c r="AC294" i="42"/>
  <c r="AE294" i="42"/>
  <c r="AM294" i="42"/>
  <c r="AK262" i="42"/>
  <c r="AC262" i="42"/>
  <c r="AE262" i="42"/>
  <c r="AM262" i="42"/>
  <c r="AK272" i="42"/>
  <c r="AC272" i="42"/>
  <c r="AE272" i="42"/>
  <c r="AM272" i="42"/>
  <c r="AK264" i="42"/>
  <c r="AC264" i="42"/>
  <c r="AM264" i="42"/>
  <c r="AE264" i="42"/>
  <c r="AK242" i="42"/>
  <c r="AC242" i="42"/>
  <c r="AM242" i="42"/>
  <c r="AE242" i="42"/>
  <c r="AK290" i="42"/>
  <c r="AC290" i="42"/>
  <c r="AM290" i="42"/>
  <c r="AE290" i="42"/>
  <c r="AK129" i="42"/>
  <c r="AC129" i="42"/>
  <c r="AE129" i="42"/>
  <c r="AM129" i="42"/>
  <c r="AK15" i="42"/>
  <c r="AC15" i="42"/>
  <c r="AE15" i="42"/>
  <c r="AM15" i="42"/>
  <c r="AE21" i="42"/>
  <c r="AK21" i="42"/>
  <c r="AC21" i="42"/>
  <c r="AM21" i="42"/>
  <c r="AK137" i="42"/>
  <c r="AC137" i="42"/>
  <c r="AM137" i="42"/>
  <c r="AE137" i="42"/>
  <c r="C143" i="11" l="1"/>
  <c r="C149" i="34"/>
  <c r="E143" i="33"/>
  <c r="D143" i="37" s="1"/>
  <c r="C21" i="11"/>
  <c r="C27" i="34"/>
  <c r="E21" i="33"/>
  <c r="D21" i="37" s="1"/>
  <c r="E261" i="33"/>
  <c r="D261" i="37" s="1"/>
  <c r="C261" i="11"/>
  <c r="C267" i="34"/>
  <c r="C113" i="11"/>
  <c r="C119" i="34"/>
  <c r="E113" i="33"/>
  <c r="D113" i="37" s="1"/>
  <c r="C175" i="11"/>
  <c r="C181" i="34"/>
  <c r="E175" i="33"/>
  <c r="D175" i="37" s="1"/>
  <c r="C120" i="11"/>
  <c r="C126" i="34"/>
  <c r="E120" i="33"/>
  <c r="D120" i="37" s="1"/>
  <c r="C137" i="11"/>
  <c r="C143" i="34"/>
  <c r="E137" i="33"/>
  <c r="D137" i="37" s="1"/>
  <c r="AM149" i="42"/>
  <c r="AC149" i="42"/>
  <c r="AC43" i="42"/>
  <c r="AM59" i="42"/>
  <c r="AK64" i="42"/>
  <c r="AC226" i="42"/>
  <c r="AC230" i="42"/>
  <c r="AM226" i="42"/>
  <c r="AC192" i="42"/>
  <c r="AC198" i="42"/>
  <c r="AE11" i="42"/>
  <c r="AM288" i="42"/>
  <c r="AM296" i="42"/>
  <c r="AK192" i="42"/>
  <c r="AC11" i="42"/>
  <c r="AK198" i="42"/>
  <c r="AC288" i="42"/>
  <c r="AE296" i="42"/>
  <c r="AM192" i="42"/>
  <c r="AK11" i="42"/>
  <c r="AM198" i="42"/>
  <c r="AK288" i="42"/>
  <c r="AC296" i="42"/>
  <c r="AM11" i="42"/>
  <c r="AE288" i="42"/>
  <c r="AM43" i="42"/>
  <c r="AM64" i="42"/>
  <c r="AK188" i="42"/>
  <c r="AM204" i="42"/>
  <c r="AK43" i="42"/>
  <c r="AC64" i="42"/>
  <c r="AE43" i="42"/>
  <c r="AK19" i="42"/>
  <c r="AK35" i="42"/>
  <c r="AC222" i="42"/>
  <c r="AK180" i="42"/>
  <c r="AK33" i="42"/>
  <c r="AC25" i="42"/>
  <c r="AE27" i="42"/>
  <c r="AE59" i="42"/>
  <c r="AK59" i="42"/>
  <c r="AK222" i="42"/>
  <c r="AM230" i="42"/>
  <c r="AE160" i="42"/>
  <c r="AM190" i="42"/>
  <c r="AK133" i="42"/>
  <c r="AK230" i="42"/>
  <c r="AM160" i="42"/>
  <c r="AM33" i="42"/>
  <c r="AM222" i="42"/>
  <c r="AC204" i="42"/>
  <c r="AE19" i="42"/>
  <c r="AE188" i="42"/>
  <c r="AK204" i="42"/>
  <c r="AM19" i="42"/>
  <c r="AM188" i="42"/>
  <c r="AE204" i="42"/>
  <c r="AM133" i="42"/>
  <c r="AE35" i="42"/>
  <c r="AM180" i="42"/>
  <c r="AE133" i="42"/>
  <c r="AC35" i="42"/>
  <c r="AE180" i="42"/>
  <c r="AK61" i="42"/>
  <c r="AE61" i="42"/>
  <c r="AC61" i="42"/>
  <c r="AM61" i="42"/>
  <c r="AK258" i="42"/>
  <c r="AC258" i="42"/>
  <c r="AE258" i="42"/>
  <c r="AM258" i="42"/>
  <c r="AK260" i="42"/>
  <c r="AC260" i="42"/>
  <c r="AE260" i="42"/>
  <c r="AM260" i="42"/>
  <c r="AK305" i="42"/>
  <c r="AC305" i="42"/>
  <c r="AM305" i="42"/>
  <c r="AE305" i="42"/>
  <c r="AK289" i="42"/>
  <c r="AC289" i="42"/>
  <c r="AM289" i="42"/>
  <c r="AE289" i="42"/>
  <c r="AK95" i="42"/>
  <c r="AC95" i="42"/>
  <c r="AE95" i="42"/>
  <c r="AM95" i="42"/>
  <c r="AK302" i="42"/>
  <c r="AC302" i="42"/>
  <c r="AM302" i="42"/>
  <c r="AE302" i="42"/>
  <c r="AK303" i="42"/>
  <c r="AC303" i="42"/>
  <c r="AE303" i="42"/>
  <c r="AM303" i="42"/>
  <c r="AK286" i="42"/>
  <c r="AE286" i="42"/>
  <c r="AC286" i="42"/>
  <c r="AM286" i="42"/>
  <c r="AK7" i="42"/>
  <c r="AC7" i="42"/>
  <c r="AE7" i="42"/>
  <c r="AM7" i="42"/>
  <c r="AK210" i="42"/>
  <c r="AC210" i="42"/>
  <c r="AM210" i="42"/>
  <c r="AE210" i="42"/>
  <c r="AK276" i="42"/>
  <c r="AC276" i="42"/>
  <c r="AE276" i="42"/>
  <c r="AM276" i="42"/>
  <c r="AK301" i="42"/>
  <c r="AC301" i="42"/>
  <c r="AE301" i="42"/>
  <c r="AM301" i="42"/>
  <c r="AM285" i="42"/>
  <c r="AK285" i="42"/>
  <c r="AC285" i="42"/>
  <c r="AE285" i="42"/>
  <c r="AK103" i="42"/>
  <c r="AC103" i="42"/>
  <c r="AE103" i="42"/>
  <c r="AM103" i="42"/>
  <c r="AM252" i="42"/>
  <c r="AK252" i="42"/>
  <c r="AC252" i="42"/>
  <c r="AE252" i="42"/>
  <c r="AK255" i="42"/>
  <c r="AC255" i="42"/>
  <c r="AE255" i="42"/>
  <c r="AM255" i="42"/>
  <c r="AK277" i="42"/>
  <c r="AC277" i="42"/>
  <c r="AM277" i="42"/>
  <c r="AE277" i="42"/>
  <c r="AK83" i="42"/>
  <c r="AC83" i="42"/>
  <c r="AE83" i="42"/>
  <c r="AM83" i="42"/>
  <c r="AK269" i="42"/>
  <c r="AC269" i="42"/>
  <c r="AM269" i="42"/>
  <c r="AE269" i="42"/>
  <c r="AK202" i="42"/>
  <c r="AC202" i="42"/>
  <c r="AE202" i="42"/>
  <c r="AM202" i="42"/>
  <c r="AK79" i="42"/>
  <c r="AC79" i="42"/>
  <c r="AE79" i="42"/>
  <c r="AM79" i="42"/>
  <c r="AK248" i="42"/>
  <c r="AC248" i="42"/>
  <c r="AM248" i="42"/>
  <c r="AE248" i="42"/>
  <c r="AK75" i="42"/>
  <c r="AM75" i="42"/>
  <c r="AC75" i="42"/>
  <c r="AE75" i="42"/>
  <c r="AK293" i="42"/>
  <c r="AC293" i="42"/>
  <c r="AE293" i="42"/>
  <c r="AM293" i="42"/>
  <c r="AK295" i="42"/>
  <c r="AC295" i="42"/>
  <c r="AE295" i="42"/>
  <c r="AM295" i="42"/>
  <c r="AK298" i="42"/>
  <c r="AC298" i="42"/>
  <c r="AE298" i="42"/>
  <c r="AM298" i="42"/>
  <c r="AK45" i="42"/>
  <c r="AC45" i="42"/>
  <c r="AE45" i="42"/>
  <c r="AM45" i="42"/>
  <c r="AM292" i="42"/>
  <c r="AK292" i="42"/>
  <c r="AC292" i="42"/>
  <c r="AE292" i="42"/>
  <c r="AK246" i="42"/>
  <c r="AC246" i="42"/>
  <c r="AE246" i="42"/>
  <c r="AM246" i="42"/>
  <c r="AK297" i="42"/>
  <c r="AC297" i="42"/>
  <c r="AE297" i="42"/>
  <c r="AM297" i="42"/>
  <c r="AK267" i="42"/>
  <c r="AC267" i="42"/>
  <c r="AM267" i="42"/>
  <c r="AE267" i="42"/>
  <c r="AK274" i="42"/>
  <c r="AC274" i="42"/>
  <c r="AE274" i="42"/>
  <c r="AM274" i="42"/>
  <c r="AM229" i="42"/>
  <c r="AK229" i="42"/>
  <c r="AC229" i="42"/>
  <c r="AE229" i="42"/>
  <c r="AK239" i="42"/>
  <c r="AC239" i="42"/>
  <c r="AM239" i="42"/>
  <c r="AE239" i="42"/>
  <c r="AK195" i="42"/>
  <c r="AM195" i="42"/>
  <c r="AC195" i="42"/>
  <c r="AE195" i="42"/>
  <c r="AK217" i="42"/>
  <c r="AC217" i="42"/>
  <c r="AE217" i="42"/>
  <c r="AM217" i="42"/>
  <c r="AK199" i="42"/>
  <c r="AC199" i="42"/>
  <c r="AE199" i="42"/>
  <c r="AM199" i="42"/>
  <c r="AK108" i="42"/>
  <c r="AC108" i="42"/>
  <c r="AM108" i="42"/>
  <c r="AE108" i="42"/>
  <c r="AK89" i="42"/>
  <c r="AC89" i="42"/>
  <c r="AM89" i="42"/>
  <c r="AE89" i="42"/>
  <c r="AK104" i="42"/>
  <c r="AC104" i="42"/>
  <c r="AE104" i="42"/>
  <c r="AM104" i="42"/>
  <c r="AK90" i="42"/>
  <c r="AC90" i="42"/>
  <c r="AE90" i="42"/>
  <c r="AM90" i="42"/>
  <c r="AK16" i="42"/>
  <c r="AC16" i="42"/>
  <c r="AE16" i="42"/>
  <c r="AM16" i="42"/>
  <c r="AM213" i="42"/>
  <c r="AK213" i="42"/>
  <c r="AC213" i="42"/>
  <c r="AE213" i="42"/>
  <c r="AK187" i="42"/>
  <c r="AM187" i="42"/>
  <c r="AC187" i="42"/>
  <c r="AE187" i="42"/>
  <c r="AK209" i="42"/>
  <c r="AC209" i="42"/>
  <c r="AE209" i="42"/>
  <c r="AM209" i="42"/>
  <c r="AK191" i="42"/>
  <c r="AC191" i="42"/>
  <c r="AE191" i="42"/>
  <c r="AM191" i="42"/>
  <c r="AK144" i="42"/>
  <c r="AC144" i="42"/>
  <c r="AE144" i="42"/>
  <c r="AM144" i="42"/>
  <c r="AK117" i="42"/>
  <c r="AC117" i="42"/>
  <c r="AM117" i="42"/>
  <c r="AE117" i="42"/>
  <c r="AK140" i="42"/>
  <c r="AC140" i="42"/>
  <c r="AE140" i="42"/>
  <c r="AM140" i="42"/>
  <c r="AC68" i="42"/>
  <c r="AK68" i="42"/>
  <c r="AK52" i="42"/>
  <c r="AC52" i="42"/>
  <c r="AE52" i="42"/>
  <c r="AM52" i="42"/>
  <c r="AK62" i="42"/>
  <c r="AC62" i="42"/>
  <c r="AM62" i="42"/>
  <c r="AE62" i="42"/>
  <c r="AK227" i="42"/>
  <c r="AC227" i="42"/>
  <c r="AM227" i="42"/>
  <c r="AE227" i="42"/>
  <c r="AC235" i="42"/>
  <c r="AK235" i="42"/>
  <c r="AK231" i="42"/>
  <c r="AC231" i="42"/>
  <c r="AE231" i="42"/>
  <c r="AM231" i="42"/>
  <c r="AK111" i="42"/>
  <c r="AC111" i="42"/>
  <c r="AE111" i="42"/>
  <c r="AM111" i="42"/>
  <c r="AK142" i="42"/>
  <c r="AC142" i="42"/>
  <c r="AM142" i="42"/>
  <c r="AE142" i="42"/>
  <c r="AK73" i="42"/>
  <c r="AC73" i="42"/>
  <c r="AE73" i="42"/>
  <c r="AM73" i="42"/>
  <c r="AK88" i="42"/>
  <c r="AC88" i="42"/>
  <c r="AE88" i="42"/>
  <c r="AM88" i="42"/>
  <c r="AK74" i="42"/>
  <c r="AC74" i="42"/>
  <c r="AM74" i="42"/>
  <c r="AE74" i="42"/>
  <c r="AK40" i="42"/>
  <c r="AC40" i="42"/>
  <c r="AE40" i="42"/>
  <c r="AM40" i="42"/>
  <c r="AK157" i="42"/>
  <c r="AC157" i="42"/>
  <c r="AE157" i="42"/>
  <c r="AM157" i="42"/>
  <c r="AK233" i="42"/>
  <c r="AC233" i="42"/>
  <c r="AE233" i="42"/>
  <c r="AM233" i="42"/>
  <c r="AM221" i="42"/>
  <c r="AK221" i="42"/>
  <c r="AC221" i="42"/>
  <c r="AE221" i="42"/>
  <c r="AK107" i="42"/>
  <c r="AM107" i="42"/>
  <c r="AC107" i="42"/>
  <c r="AE107" i="42"/>
  <c r="AK134" i="42"/>
  <c r="AM134" i="42"/>
  <c r="AC134" i="42"/>
  <c r="AE134" i="42"/>
  <c r="AK69" i="42"/>
  <c r="AC69" i="42"/>
  <c r="AE69" i="42"/>
  <c r="AM69" i="42"/>
  <c r="AK84" i="42"/>
  <c r="AM84" i="42"/>
  <c r="AC84" i="42"/>
  <c r="AE84" i="42"/>
  <c r="AK70" i="42"/>
  <c r="AC70" i="42"/>
  <c r="AE70" i="42"/>
  <c r="AM70" i="42"/>
  <c r="AK38" i="42"/>
  <c r="AC38" i="42"/>
  <c r="AM38" i="42"/>
  <c r="AE38" i="42"/>
  <c r="AK154" i="42"/>
  <c r="AC154" i="42"/>
  <c r="AM154" i="42"/>
  <c r="AE154" i="42"/>
  <c r="AK146" i="42"/>
  <c r="AC146" i="42"/>
  <c r="AE146" i="42"/>
  <c r="AM146" i="42"/>
  <c r="AK169" i="42"/>
  <c r="AC169" i="42"/>
  <c r="AE169" i="42"/>
  <c r="AM169" i="42"/>
  <c r="AK139" i="42"/>
  <c r="AC139" i="42"/>
  <c r="AE139" i="42"/>
  <c r="AM139" i="42"/>
  <c r="AK126" i="42"/>
  <c r="AM126" i="42"/>
  <c r="AC126" i="42"/>
  <c r="AE126" i="42"/>
  <c r="AK65" i="42"/>
  <c r="AC65" i="42"/>
  <c r="AM65" i="42"/>
  <c r="AE65" i="42"/>
  <c r="AK80" i="42"/>
  <c r="AE80" i="42"/>
  <c r="AC80" i="42"/>
  <c r="AM80" i="42"/>
  <c r="AK66" i="42"/>
  <c r="AC66" i="42"/>
  <c r="AE66" i="42"/>
  <c r="AM66" i="42"/>
  <c r="AK30" i="42"/>
  <c r="AM30" i="42"/>
  <c r="AC30" i="42"/>
  <c r="AE30" i="42"/>
  <c r="AK203" i="42"/>
  <c r="AM203" i="42"/>
  <c r="AC203" i="42"/>
  <c r="AE203" i="42"/>
  <c r="AK223" i="42"/>
  <c r="AC223" i="42"/>
  <c r="AE223" i="42"/>
  <c r="AM223" i="42"/>
  <c r="AK207" i="42"/>
  <c r="AC207" i="42"/>
  <c r="AM207" i="42"/>
  <c r="AE207" i="42"/>
  <c r="AK112" i="42"/>
  <c r="AC112" i="42"/>
  <c r="AM112" i="42"/>
  <c r="AE112" i="42"/>
  <c r="AK93" i="42"/>
  <c r="AC93" i="42"/>
  <c r="AM93" i="42"/>
  <c r="AE93" i="42"/>
  <c r="AK49" i="42"/>
  <c r="AC49" i="42"/>
  <c r="AE49" i="42"/>
  <c r="AM49" i="42"/>
  <c r="AK94" i="42"/>
  <c r="AC94" i="42"/>
  <c r="AM94" i="42"/>
  <c r="AE94" i="42"/>
  <c r="AK24" i="42"/>
  <c r="AC24" i="42"/>
  <c r="AE24" i="42"/>
  <c r="AM24" i="42"/>
  <c r="AK12" i="42"/>
  <c r="AC12" i="42"/>
  <c r="AE12" i="42"/>
  <c r="AM12" i="42"/>
  <c r="AE235" i="42"/>
  <c r="AK47" i="42"/>
  <c r="AC47" i="42"/>
  <c r="AE47" i="42"/>
  <c r="AM47" i="42"/>
  <c r="AM68" i="42"/>
  <c r="AK67" i="42"/>
  <c r="AM67" i="42"/>
  <c r="AC67" i="42"/>
  <c r="AE67" i="42"/>
  <c r="AK299" i="42"/>
  <c r="AC299" i="42"/>
  <c r="AE299" i="42"/>
  <c r="AM299" i="42"/>
  <c r="AK257" i="42"/>
  <c r="AC257" i="42"/>
  <c r="AM257" i="42"/>
  <c r="AE257" i="42"/>
  <c r="AK251" i="42"/>
  <c r="AC251" i="42"/>
  <c r="AM251" i="42"/>
  <c r="AE251" i="42"/>
  <c r="AK281" i="42"/>
  <c r="AC281" i="42"/>
  <c r="AE281" i="42"/>
  <c r="AM281" i="42"/>
  <c r="AK212" i="42"/>
  <c r="AC212" i="42"/>
  <c r="AE212" i="42"/>
  <c r="AM212" i="42"/>
  <c r="AK13" i="42"/>
  <c r="AM13" i="42"/>
  <c r="AC13" i="42"/>
  <c r="AE13" i="42"/>
  <c r="AK273" i="42"/>
  <c r="AC273" i="42"/>
  <c r="AE273" i="42"/>
  <c r="AM273" i="42"/>
  <c r="AK181" i="42"/>
  <c r="AC181" i="42"/>
  <c r="AE181" i="42"/>
  <c r="AM181" i="42"/>
  <c r="AK197" i="42"/>
  <c r="AC197" i="42"/>
  <c r="AM197" i="42"/>
  <c r="AE197" i="42"/>
  <c r="AK127" i="42"/>
  <c r="AC127" i="42"/>
  <c r="AE127" i="42"/>
  <c r="AM127" i="42"/>
  <c r="AM253" i="42"/>
  <c r="AK253" i="42"/>
  <c r="AC253" i="42"/>
  <c r="AE253" i="42"/>
  <c r="AM261" i="42"/>
  <c r="AK261" i="42"/>
  <c r="AC261" i="42"/>
  <c r="AE261" i="42"/>
  <c r="AK218" i="42"/>
  <c r="AC218" i="42"/>
  <c r="AE218" i="42"/>
  <c r="AM218" i="42"/>
  <c r="AK283" i="42"/>
  <c r="AC283" i="42"/>
  <c r="AE283" i="42"/>
  <c r="AM283" i="42"/>
  <c r="AK162" i="42"/>
  <c r="AC162" i="42"/>
  <c r="AE162" i="42"/>
  <c r="AM162" i="42"/>
  <c r="AM205" i="42"/>
  <c r="AK205" i="42"/>
  <c r="AC205" i="42"/>
  <c r="AE205" i="42"/>
  <c r="AK179" i="42"/>
  <c r="AM179" i="42"/>
  <c r="AC179" i="42"/>
  <c r="AE179" i="42"/>
  <c r="AK201" i="42"/>
  <c r="AC201" i="42"/>
  <c r="AE201" i="42"/>
  <c r="AM201" i="42"/>
  <c r="AK183" i="42"/>
  <c r="AC183" i="42"/>
  <c r="AE183" i="42"/>
  <c r="AM183" i="42"/>
  <c r="AK136" i="42"/>
  <c r="AC136" i="42"/>
  <c r="AE136" i="42"/>
  <c r="AM136" i="42"/>
  <c r="AK132" i="42"/>
  <c r="AC132" i="42"/>
  <c r="AE132" i="42"/>
  <c r="AM132" i="42"/>
  <c r="AK41" i="42"/>
  <c r="AC41" i="42"/>
  <c r="AM41" i="42"/>
  <c r="AE41" i="42"/>
  <c r="AK26" i="42"/>
  <c r="AC26" i="42"/>
  <c r="AE26" i="42"/>
  <c r="AM26" i="42"/>
  <c r="AK54" i="42"/>
  <c r="AC54" i="42"/>
  <c r="AE54" i="42"/>
  <c r="AM54" i="42"/>
  <c r="AM237" i="42"/>
  <c r="AK237" i="42"/>
  <c r="AC237" i="42"/>
  <c r="AE237" i="42"/>
  <c r="AK243" i="42"/>
  <c r="AC243" i="42"/>
  <c r="AE243" i="42"/>
  <c r="AM243" i="42"/>
  <c r="AK241" i="42"/>
  <c r="AC241" i="42"/>
  <c r="AE241" i="42"/>
  <c r="AM241" i="42"/>
  <c r="AK115" i="42"/>
  <c r="AM115" i="42"/>
  <c r="AC115" i="42"/>
  <c r="AE115" i="42"/>
  <c r="AK150" i="42"/>
  <c r="AC150" i="42"/>
  <c r="AM150" i="42"/>
  <c r="AE150" i="42"/>
  <c r="AK77" i="42"/>
  <c r="AE77" i="42"/>
  <c r="AC77" i="42"/>
  <c r="AM77" i="42"/>
  <c r="AK92" i="42"/>
  <c r="AC92" i="42"/>
  <c r="AM92" i="42"/>
  <c r="AE92" i="42"/>
  <c r="AK78" i="42"/>
  <c r="AM78" i="42"/>
  <c r="AC78" i="42"/>
  <c r="AE78" i="42"/>
  <c r="AK48" i="42"/>
  <c r="AE48" i="42"/>
  <c r="AC48" i="42"/>
  <c r="AM48" i="42"/>
  <c r="AK151" i="42"/>
  <c r="AC151" i="42"/>
  <c r="AE151" i="42"/>
  <c r="AM151" i="42"/>
  <c r="AK53" i="42"/>
  <c r="AE53" i="42"/>
  <c r="AC53" i="42"/>
  <c r="AM53" i="42"/>
  <c r="AK279" i="42"/>
  <c r="AC279" i="42"/>
  <c r="AM279" i="42"/>
  <c r="AE279" i="42"/>
  <c r="AK250" i="42"/>
  <c r="AC250" i="42"/>
  <c r="AE250" i="42"/>
  <c r="AM250" i="42"/>
  <c r="AK71" i="42"/>
  <c r="AC71" i="42"/>
  <c r="AM71" i="42"/>
  <c r="AE71" i="42"/>
  <c r="AM268" i="42"/>
  <c r="AK268" i="42"/>
  <c r="AC268" i="42"/>
  <c r="AE268" i="42"/>
  <c r="AK263" i="42"/>
  <c r="AC263" i="42"/>
  <c r="AE263" i="42"/>
  <c r="AM263" i="42"/>
  <c r="AK291" i="42"/>
  <c r="AC291" i="42"/>
  <c r="AM291" i="42"/>
  <c r="AE291" i="42"/>
  <c r="AK91" i="42"/>
  <c r="AC91" i="42"/>
  <c r="AM91" i="42"/>
  <c r="AE91" i="42"/>
  <c r="AK87" i="42"/>
  <c r="AC87" i="42"/>
  <c r="AE87" i="42"/>
  <c r="AM87" i="42"/>
  <c r="AK131" i="42"/>
  <c r="AC131" i="42"/>
  <c r="AM131" i="42"/>
  <c r="AE131" i="42"/>
  <c r="AK34" i="42"/>
  <c r="AC34" i="42"/>
  <c r="AE34" i="42"/>
  <c r="AM34" i="42"/>
  <c r="AK147" i="42"/>
  <c r="AM147" i="42"/>
  <c r="AC147" i="42"/>
  <c r="AE147" i="42"/>
  <c r="AK152" i="42"/>
  <c r="AC152" i="42"/>
  <c r="AE152" i="42"/>
  <c r="AM152" i="42"/>
  <c r="AK121" i="42"/>
  <c r="AC121" i="42"/>
  <c r="AE121" i="42"/>
  <c r="AM121" i="42"/>
  <c r="AK148" i="42"/>
  <c r="AM148" i="42"/>
  <c r="AC148" i="42"/>
  <c r="AE148" i="42"/>
  <c r="AK72" i="42"/>
  <c r="AC72" i="42"/>
  <c r="AE72" i="42"/>
  <c r="AM72" i="42"/>
  <c r="AK57" i="42"/>
  <c r="AC57" i="42"/>
  <c r="AE57" i="42"/>
  <c r="AM57" i="42"/>
  <c r="AK14" i="42"/>
  <c r="AE14" i="42"/>
  <c r="AC14" i="42"/>
  <c r="AM14" i="42"/>
  <c r="AK249" i="42"/>
  <c r="AC249" i="42"/>
  <c r="AM249" i="42"/>
  <c r="AE249" i="42"/>
  <c r="AK189" i="42"/>
  <c r="AC189" i="42"/>
  <c r="AE189" i="42"/>
  <c r="AM189" i="42"/>
  <c r="AK138" i="42"/>
  <c r="AC138" i="42"/>
  <c r="AE138" i="42"/>
  <c r="AM138" i="42"/>
  <c r="AK123" i="42"/>
  <c r="AC123" i="42"/>
  <c r="AE123" i="42"/>
  <c r="AM123" i="42"/>
  <c r="AK60" i="42"/>
  <c r="AC60" i="42"/>
  <c r="AE60" i="42"/>
  <c r="AM60" i="42"/>
  <c r="AK85" i="42"/>
  <c r="AC85" i="42"/>
  <c r="AE85" i="42"/>
  <c r="AM85" i="42"/>
  <c r="AK100" i="42"/>
  <c r="AM100" i="42"/>
  <c r="AC100" i="42"/>
  <c r="AE100" i="42"/>
  <c r="AK86" i="42"/>
  <c r="AC86" i="42"/>
  <c r="AE86" i="42"/>
  <c r="AM86" i="42"/>
  <c r="AK8" i="42"/>
  <c r="AC8" i="42"/>
  <c r="AE8" i="42"/>
  <c r="AM8" i="42"/>
  <c r="AK165" i="42"/>
  <c r="AC165" i="42"/>
  <c r="AM165" i="42"/>
  <c r="AE165" i="42"/>
  <c r="AK163" i="42"/>
  <c r="AM163" i="42"/>
  <c r="AC163" i="42"/>
  <c r="AE163" i="42"/>
  <c r="AK185" i="42"/>
  <c r="AC185" i="42"/>
  <c r="AE185" i="42"/>
  <c r="AM185" i="42"/>
  <c r="AK167" i="42"/>
  <c r="AC167" i="42"/>
  <c r="AE167" i="42"/>
  <c r="AM167" i="42"/>
  <c r="AK124" i="42"/>
  <c r="AC124" i="42"/>
  <c r="AM124" i="42"/>
  <c r="AE124" i="42"/>
  <c r="AK105" i="42"/>
  <c r="AC105" i="42"/>
  <c r="AE105" i="42"/>
  <c r="AM105" i="42"/>
  <c r="AK118" i="42"/>
  <c r="AC118" i="42"/>
  <c r="AE118" i="42"/>
  <c r="AM118" i="42"/>
  <c r="AK106" i="42"/>
  <c r="AC106" i="42"/>
  <c r="AM106" i="42"/>
  <c r="AE106" i="42"/>
  <c r="AK50" i="42"/>
  <c r="AC50" i="42"/>
  <c r="AE50" i="42"/>
  <c r="AM50" i="42"/>
  <c r="AK36" i="42"/>
  <c r="AE36" i="42"/>
  <c r="AC36" i="42"/>
  <c r="AM36" i="42"/>
  <c r="AK219" i="42"/>
  <c r="AC219" i="42"/>
  <c r="AE219" i="42"/>
  <c r="AM219" i="42"/>
  <c r="AK177" i="42"/>
  <c r="AC177" i="42"/>
  <c r="AE177" i="42"/>
  <c r="AM177" i="42"/>
  <c r="AK159" i="42"/>
  <c r="AC159" i="42"/>
  <c r="AE159" i="42"/>
  <c r="AM159" i="42"/>
  <c r="AK101" i="42"/>
  <c r="AC101" i="42"/>
  <c r="AE101" i="42"/>
  <c r="AM101" i="42"/>
  <c r="AK114" i="42"/>
  <c r="AC114" i="42"/>
  <c r="AE114" i="42"/>
  <c r="AM114" i="42"/>
  <c r="AK102" i="42"/>
  <c r="AC102" i="42"/>
  <c r="AE102" i="42"/>
  <c r="AM102" i="42"/>
  <c r="AK42" i="42"/>
  <c r="AC42" i="42"/>
  <c r="AM42" i="42"/>
  <c r="AE42" i="42"/>
  <c r="AK28" i="42"/>
  <c r="AE28" i="42"/>
  <c r="AC28" i="42"/>
  <c r="AM28" i="42"/>
  <c r="AK211" i="42"/>
  <c r="AC211" i="42"/>
  <c r="AM211" i="42"/>
  <c r="AE211" i="42"/>
  <c r="AK225" i="42"/>
  <c r="AC225" i="42"/>
  <c r="AE225" i="42"/>
  <c r="AM225" i="42"/>
  <c r="AK215" i="42"/>
  <c r="AC215" i="42"/>
  <c r="AE215" i="42"/>
  <c r="AM215" i="42"/>
  <c r="AK116" i="42"/>
  <c r="AC116" i="42"/>
  <c r="AE116" i="42"/>
  <c r="AM116" i="42"/>
  <c r="AK97" i="42"/>
  <c r="AC97" i="42"/>
  <c r="AE97" i="42"/>
  <c r="AM97" i="42"/>
  <c r="AK110" i="42"/>
  <c r="AC110" i="42"/>
  <c r="AE110" i="42"/>
  <c r="AM110" i="42"/>
  <c r="AK98" i="42"/>
  <c r="AC98" i="42"/>
  <c r="AE98" i="42"/>
  <c r="AM98" i="42"/>
  <c r="AK32" i="42"/>
  <c r="AC32" i="42"/>
  <c r="AE32" i="42"/>
  <c r="AM32" i="42"/>
  <c r="AK20" i="42"/>
  <c r="AM20" i="42"/>
  <c r="AC20" i="42"/>
  <c r="AE20" i="42"/>
  <c r="AK161" i="42"/>
  <c r="AC161" i="42"/>
  <c r="AM161" i="42"/>
  <c r="AE161" i="42"/>
  <c r="AK130" i="42"/>
  <c r="AC130" i="42"/>
  <c r="AE130" i="42"/>
  <c r="AM130" i="42"/>
  <c r="AK125" i="42"/>
  <c r="AM125" i="42"/>
  <c r="AC125" i="42"/>
  <c r="AE125" i="42"/>
  <c r="AK44" i="42"/>
  <c r="AE44" i="42"/>
  <c r="AC44" i="42"/>
  <c r="AM44" i="42"/>
  <c r="AK76" i="42"/>
  <c r="AC76" i="42"/>
  <c r="AE76" i="42"/>
  <c r="AM76" i="42"/>
  <c r="AK22" i="42"/>
  <c r="AC22" i="42"/>
  <c r="AM22" i="42"/>
  <c r="AE22" i="42"/>
  <c r="AK200" i="42"/>
  <c r="AC200" i="42"/>
  <c r="AE200" i="42"/>
  <c r="AM200" i="42"/>
  <c r="AK170" i="42"/>
  <c r="AC170" i="42"/>
  <c r="AM170" i="42"/>
  <c r="AE170" i="42"/>
  <c r="AK238" i="42"/>
  <c r="AC238" i="42"/>
  <c r="AE238" i="42"/>
  <c r="AM238" i="42"/>
  <c r="AK244" i="42"/>
  <c r="AC244" i="42"/>
  <c r="AM244" i="42"/>
  <c r="AE244" i="42"/>
  <c r="AK186" i="42"/>
  <c r="AC186" i="42"/>
  <c r="AE186" i="42"/>
  <c r="AM186" i="42"/>
  <c r="AK236" i="42"/>
  <c r="AC236" i="42"/>
  <c r="AE236" i="42"/>
  <c r="AM236" i="42"/>
  <c r="AK259" i="42"/>
  <c r="AC259" i="42"/>
  <c r="AE259" i="42"/>
  <c r="AM259" i="42"/>
  <c r="AK178" i="42"/>
  <c r="AC178" i="42"/>
  <c r="AE178" i="42"/>
  <c r="AM178" i="42"/>
  <c r="AK265" i="42"/>
  <c r="AC265" i="42"/>
  <c r="AM265" i="42"/>
  <c r="AE265" i="42"/>
  <c r="AK99" i="42"/>
  <c r="AC99" i="42"/>
  <c r="AM99" i="42"/>
  <c r="AE99" i="42"/>
  <c r="AK287" i="42"/>
  <c r="AC287" i="42"/>
  <c r="AE287" i="42"/>
  <c r="AM287" i="42"/>
  <c r="AM245" i="42"/>
  <c r="AK245" i="42"/>
  <c r="AC245" i="42"/>
  <c r="AE245" i="42"/>
  <c r="AK247" i="42"/>
  <c r="AC247" i="42"/>
  <c r="AE247" i="42"/>
  <c r="AM247" i="42"/>
  <c r="AK135" i="42"/>
  <c r="AC135" i="42"/>
  <c r="AE135" i="42"/>
  <c r="AM135" i="42"/>
  <c r="AK119" i="42"/>
  <c r="AC119" i="42"/>
  <c r="AE119" i="42"/>
  <c r="AM119" i="42"/>
  <c r="AK18" i="42"/>
  <c r="AC18" i="42"/>
  <c r="AE18" i="42"/>
  <c r="AM18" i="42"/>
  <c r="AK81" i="42"/>
  <c r="AC81" i="42"/>
  <c r="AM81" i="42"/>
  <c r="AE81" i="42"/>
  <c r="AK96" i="42"/>
  <c r="AC96" i="42"/>
  <c r="AM96" i="42"/>
  <c r="AE96" i="42"/>
  <c r="AK82" i="42"/>
  <c r="AC82" i="42"/>
  <c r="AM82" i="42"/>
  <c r="AE82" i="42"/>
  <c r="AK56" i="42"/>
  <c r="AE56" i="42"/>
  <c r="AC56" i="42"/>
  <c r="AM56" i="42"/>
  <c r="AK173" i="42"/>
  <c r="AC173" i="42"/>
  <c r="AE173" i="42"/>
  <c r="AM173" i="42"/>
  <c r="AK171" i="42"/>
  <c r="AM171" i="42"/>
  <c r="AC171" i="42"/>
  <c r="AE171" i="42"/>
  <c r="AK193" i="42"/>
  <c r="AC193" i="42"/>
  <c r="AE193" i="42"/>
  <c r="AM193" i="42"/>
  <c r="AK128" i="42"/>
  <c r="AC128" i="42"/>
  <c r="AE128" i="42"/>
  <c r="AM128" i="42"/>
  <c r="AK109" i="42"/>
  <c r="AC109" i="42"/>
  <c r="AM109" i="42"/>
  <c r="AE109" i="42"/>
  <c r="AK122" i="42"/>
  <c r="AC122" i="42"/>
  <c r="AE122" i="42"/>
  <c r="AM122" i="42"/>
  <c r="AK10" i="42"/>
  <c r="AC10" i="42"/>
  <c r="AE10" i="42"/>
  <c r="AM10" i="42"/>
  <c r="AK58" i="42"/>
  <c r="AC58" i="42"/>
  <c r="AE58" i="42"/>
  <c r="AM58" i="42"/>
  <c r="AK46" i="42"/>
  <c r="AC46" i="42"/>
  <c r="AM46" i="42"/>
  <c r="AE46" i="42"/>
  <c r="AM235" i="42"/>
  <c r="AE68" i="42"/>
  <c r="AK120" i="42"/>
  <c r="AE120" i="42"/>
  <c r="AC120" i="42"/>
  <c r="AM120" i="42"/>
  <c r="AC271" i="42"/>
  <c r="AK271" i="42"/>
  <c r="AM271" i="42"/>
  <c r="AE271" i="42"/>
  <c r="AC175" i="42"/>
  <c r="AK175" i="42"/>
  <c r="AE175" i="42"/>
  <c r="AM175" i="42"/>
  <c r="AK143" i="42"/>
  <c r="AC143" i="42"/>
  <c r="AE143" i="42"/>
  <c r="AM143" i="42"/>
  <c r="AK113" i="42"/>
  <c r="AC113" i="42"/>
  <c r="AM113" i="42"/>
  <c r="AE113" i="42"/>
  <c r="E29" i="11"/>
  <c r="AD6" i="42"/>
  <c r="M7" i="42"/>
  <c r="M8" i="42"/>
  <c r="M9" i="42"/>
  <c r="M10" i="42"/>
  <c r="M11" i="42"/>
  <c r="M12" i="42"/>
  <c r="M13" i="42"/>
  <c r="M14" i="42"/>
  <c r="M15" i="42"/>
  <c r="M16" i="42"/>
  <c r="M17" i="42"/>
  <c r="M18" i="42"/>
  <c r="M19" i="42"/>
  <c r="M20" i="42"/>
  <c r="M21" i="42"/>
  <c r="M22" i="42"/>
  <c r="M23" i="42"/>
  <c r="M24" i="42"/>
  <c r="M25" i="42"/>
  <c r="M26" i="42"/>
  <c r="M27" i="42"/>
  <c r="M28" i="42"/>
  <c r="M29" i="42"/>
  <c r="M30" i="42"/>
  <c r="M31" i="42"/>
  <c r="M32" i="42"/>
  <c r="M33" i="42"/>
  <c r="M34" i="42"/>
  <c r="M35" i="42"/>
  <c r="M36" i="42"/>
  <c r="M37" i="42"/>
  <c r="M38" i="42"/>
  <c r="M39" i="42"/>
  <c r="M40" i="42"/>
  <c r="M41" i="42"/>
  <c r="M42" i="42"/>
  <c r="M43" i="42"/>
  <c r="M44" i="42"/>
  <c r="M45" i="42"/>
  <c r="M46" i="42"/>
  <c r="M47" i="42"/>
  <c r="M48" i="42"/>
  <c r="M49" i="42"/>
  <c r="M50" i="42"/>
  <c r="M51" i="42"/>
  <c r="M52" i="42"/>
  <c r="M53" i="42"/>
  <c r="M54" i="42"/>
  <c r="M55" i="42"/>
  <c r="M56" i="42"/>
  <c r="M57" i="42"/>
  <c r="M58" i="42"/>
  <c r="M59" i="42"/>
  <c r="M60" i="42"/>
  <c r="M61" i="42"/>
  <c r="M62" i="42"/>
  <c r="M63" i="42"/>
  <c r="M64" i="42"/>
  <c r="M65" i="42"/>
  <c r="M66" i="42"/>
  <c r="M67" i="42"/>
  <c r="M69" i="42"/>
  <c r="M70" i="42"/>
  <c r="M71" i="42"/>
  <c r="M72" i="42"/>
  <c r="M73" i="42"/>
  <c r="M74" i="42"/>
  <c r="M75" i="42"/>
  <c r="M76" i="42"/>
  <c r="M77" i="42"/>
  <c r="M78" i="42"/>
  <c r="M79" i="42"/>
  <c r="M80" i="42"/>
  <c r="M81" i="42"/>
  <c r="M82" i="42"/>
  <c r="M83" i="42"/>
  <c r="M84" i="42"/>
  <c r="M85" i="42"/>
  <c r="M86" i="42"/>
  <c r="M87" i="42"/>
  <c r="M88" i="42"/>
  <c r="M89" i="42"/>
  <c r="M90" i="42"/>
  <c r="M91" i="42"/>
  <c r="M92" i="42"/>
  <c r="M93" i="42"/>
  <c r="M94" i="42"/>
  <c r="M95" i="42"/>
  <c r="M96" i="42"/>
  <c r="M97" i="42"/>
  <c r="M98" i="42"/>
  <c r="M99" i="42"/>
  <c r="M100" i="42"/>
  <c r="M101" i="42"/>
  <c r="M102" i="42"/>
  <c r="M103" i="42"/>
  <c r="M104" i="42"/>
  <c r="M105" i="42"/>
  <c r="M106" i="42"/>
  <c r="M107" i="42"/>
  <c r="M108" i="42"/>
  <c r="M109" i="42"/>
  <c r="M110" i="42"/>
  <c r="M111" i="42"/>
  <c r="M112" i="42"/>
  <c r="M113" i="42"/>
  <c r="M114" i="42"/>
  <c r="M115" i="42"/>
  <c r="M116" i="42"/>
  <c r="M117" i="42"/>
  <c r="M118" i="42"/>
  <c r="M119" i="42"/>
  <c r="M120" i="42"/>
  <c r="M121" i="42"/>
  <c r="M122" i="42"/>
  <c r="M123" i="42"/>
  <c r="M124" i="42"/>
  <c r="M125" i="42"/>
  <c r="M126" i="42"/>
  <c r="M127" i="42"/>
  <c r="M128" i="42"/>
  <c r="M129" i="42"/>
  <c r="M130" i="42"/>
  <c r="M131" i="42"/>
  <c r="M132" i="42"/>
  <c r="M133" i="42"/>
  <c r="M134" i="42"/>
  <c r="M135" i="42"/>
  <c r="M136" i="42"/>
  <c r="M137" i="42"/>
  <c r="M138" i="42"/>
  <c r="M139" i="42"/>
  <c r="M140" i="42"/>
  <c r="M141" i="42"/>
  <c r="M142" i="42"/>
  <c r="M143" i="42"/>
  <c r="M144" i="42"/>
  <c r="M145" i="42"/>
  <c r="M146" i="42"/>
  <c r="M147" i="42"/>
  <c r="M148" i="42"/>
  <c r="M149" i="42"/>
  <c r="M150" i="42"/>
  <c r="M151" i="42"/>
  <c r="M152" i="42"/>
  <c r="M153" i="42"/>
  <c r="M154" i="42"/>
  <c r="M156" i="42"/>
  <c r="M157" i="42"/>
  <c r="M158" i="42"/>
  <c r="M159" i="42"/>
  <c r="M160" i="42"/>
  <c r="M161" i="42"/>
  <c r="M162" i="42"/>
  <c r="M163" i="42"/>
  <c r="M164" i="42"/>
  <c r="M165" i="42"/>
  <c r="M166" i="42"/>
  <c r="M167" i="42"/>
  <c r="M168" i="42"/>
  <c r="M169" i="42"/>
  <c r="M170" i="42"/>
  <c r="M171" i="42"/>
  <c r="M172" i="42"/>
  <c r="M173" i="42"/>
  <c r="M174" i="42"/>
  <c r="M175" i="42"/>
  <c r="M176" i="42"/>
  <c r="M177" i="42"/>
  <c r="M178" i="42"/>
  <c r="M179" i="42"/>
  <c r="M180" i="42"/>
  <c r="M181" i="42"/>
  <c r="M182" i="42"/>
  <c r="M183" i="42"/>
  <c r="M184" i="42"/>
  <c r="M185" i="42"/>
  <c r="M186" i="42"/>
  <c r="M187" i="42"/>
  <c r="M188" i="42"/>
  <c r="M189" i="42"/>
  <c r="M190" i="42"/>
  <c r="M191" i="42"/>
  <c r="M192" i="42"/>
  <c r="M193" i="42"/>
  <c r="M194" i="42"/>
  <c r="M195" i="42"/>
  <c r="M196" i="42"/>
  <c r="M197" i="42"/>
  <c r="M198" i="42"/>
  <c r="M199" i="42"/>
  <c r="M200" i="42"/>
  <c r="M201" i="42"/>
  <c r="M202" i="42"/>
  <c r="M203" i="42"/>
  <c r="M204" i="42"/>
  <c r="M205" i="42"/>
  <c r="M206" i="42"/>
  <c r="M207" i="42"/>
  <c r="M208" i="42"/>
  <c r="M209" i="42"/>
  <c r="M210" i="42"/>
  <c r="M211" i="42"/>
  <c r="M212" i="42"/>
  <c r="M213" i="42"/>
  <c r="M214" i="42"/>
  <c r="M215" i="42"/>
  <c r="M216" i="42"/>
  <c r="M217" i="42"/>
  <c r="M218" i="42"/>
  <c r="M219" i="42"/>
  <c r="M220" i="42"/>
  <c r="M221" i="42"/>
  <c r="M222" i="42"/>
  <c r="M223" i="42"/>
  <c r="M224" i="42"/>
  <c r="M225" i="42"/>
  <c r="M226" i="42"/>
  <c r="M227" i="42"/>
  <c r="M229" i="42"/>
  <c r="M230" i="42"/>
  <c r="M231" i="42"/>
  <c r="M232" i="42"/>
  <c r="M233" i="42"/>
  <c r="M234" i="42"/>
  <c r="M236" i="42"/>
  <c r="M237" i="42"/>
  <c r="M238" i="42"/>
  <c r="M239" i="42"/>
  <c r="M240" i="42"/>
  <c r="M241" i="42"/>
  <c r="M242" i="42"/>
  <c r="M243" i="42"/>
  <c r="M244" i="42"/>
  <c r="M245" i="42"/>
  <c r="M246" i="42"/>
  <c r="M247" i="42"/>
  <c r="M248" i="42"/>
  <c r="M249" i="42"/>
  <c r="M250" i="42"/>
  <c r="M251" i="42"/>
  <c r="M252" i="42"/>
  <c r="M253" i="42"/>
  <c r="M254" i="42"/>
  <c r="M255" i="42"/>
  <c r="M256" i="42"/>
  <c r="M257" i="42"/>
  <c r="M258" i="42"/>
  <c r="M259" i="42"/>
  <c r="M260" i="42"/>
  <c r="M261" i="42"/>
  <c r="M262" i="42"/>
  <c r="M263" i="42"/>
  <c r="M264" i="42"/>
  <c r="T264" i="42" s="1"/>
  <c r="M265" i="42"/>
  <c r="T265" i="42" s="1"/>
  <c r="M266" i="42"/>
  <c r="T266" i="42" s="1"/>
  <c r="M267" i="42"/>
  <c r="M268" i="42"/>
  <c r="M269" i="42"/>
  <c r="M270" i="42"/>
  <c r="M271" i="42"/>
  <c r="M272" i="42"/>
  <c r="M273" i="42"/>
  <c r="M274" i="42"/>
  <c r="M276" i="42"/>
  <c r="M277" i="42"/>
  <c r="M278" i="42"/>
  <c r="M279" i="42"/>
  <c r="M280" i="42"/>
  <c r="M281" i="42"/>
  <c r="M282" i="42"/>
  <c r="M283" i="42"/>
  <c r="M284" i="42"/>
  <c r="M285" i="42"/>
  <c r="M286" i="42"/>
  <c r="M287" i="42"/>
  <c r="M288" i="42"/>
  <c r="M289" i="42"/>
  <c r="M290" i="42"/>
  <c r="M291" i="42"/>
  <c r="M292" i="42"/>
  <c r="M293" i="42"/>
  <c r="M294" i="42"/>
  <c r="M295" i="42"/>
  <c r="M296" i="42"/>
  <c r="M297" i="42"/>
  <c r="M298" i="42"/>
  <c r="M299" i="42"/>
  <c r="M300" i="42"/>
  <c r="M301" i="42"/>
  <c r="M302" i="42"/>
  <c r="M303" i="42"/>
  <c r="M304" i="42"/>
  <c r="M305" i="42"/>
  <c r="B33" i="40"/>
  <c r="B56" i="40"/>
  <c r="T303" i="42" l="1"/>
  <c r="T295" i="42"/>
  <c r="T287" i="42"/>
  <c r="T279" i="42"/>
  <c r="T270" i="42"/>
  <c r="T262" i="42"/>
  <c r="T254" i="42"/>
  <c r="T246" i="42"/>
  <c r="T238" i="42"/>
  <c r="T229" i="42"/>
  <c r="T220" i="42"/>
  <c r="T212" i="42"/>
  <c r="T204" i="42"/>
  <c r="T196" i="42"/>
  <c r="T188" i="42"/>
  <c r="T180" i="42"/>
  <c r="T172" i="42"/>
  <c r="T164" i="42"/>
  <c r="T156" i="42"/>
  <c r="T147" i="42"/>
  <c r="T139" i="42"/>
  <c r="T131" i="42"/>
  <c r="T123" i="42"/>
  <c r="T115" i="42"/>
  <c r="T107" i="42"/>
  <c r="T99" i="42"/>
  <c r="T91" i="42"/>
  <c r="T83" i="42"/>
  <c r="T75" i="42"/>
  <c r="T66" i="42"/>
  <c r="T58" i="42"/>
  <c r="T50" i="42"/>
  <c r="T42" i="42"/>
  <c r="T34" i="42"/>
  <c r="T26" i="42"/>
  <c r="T18" i="42"/>
  <c r="T10" i="42"/>
  <c r="T294" i="42"/>
  <c r="T278" i="42"/>
  <c r="T261" i="42"/>
  <c r="T253" i="42"/>
  <c r="T245" i="42"/>
  <c r="T237" i="42"/>
  <c r="T227" i="42"/>
  <c r="T219" i="42"/>
  <c r="T211" i="42"/>
  <c r="T203" i="42"/>
  <c r="T195" i="42"/>
  <c r="T187" i="42"/>
  <c r="T179" i="42"/>
  <c r="T171" i="42"/>
  <c r="T163" i="42"/>
  <c r="T154" i="42"/>
  <c r="T146" i="42"/>
  <c r="T138" i="42"/>
  <c r="T130" i="42"/>
  <c r="T122" i="42"/>
  <c r="T114" i="42"/>
  <c r="T106" i="42"/>
  <c r="T98" i="42"/>
  <c r="T90" i="42"/>
  <c r="T82" i="42"/>
  <c r="T74" i="42"/>
  <c r="T65" i="42"/>
  <c r="T57" i="42"/>
  <c r="T49" i="42"/>
  <c r="T41" i="42"/>
  <c r="T33" i="42"/>
  <c r="T25" i="42"/>
  <c r="T17" i="42"/>
  <c r="T9" i="42"/>
  <c r="T302" i="42"/>
  <c r="T286" i="42"/>
  <c r="T269" i="42"/>
  <c r="T301" i="42"/>
  <c r="T293" i="42"/>
  <c r="T285" i="42"/>
  <c r="T277" i="42"/>
  <c r="T268" i="42"/>
  <c r="T260" i="42"/>
  <c r="T252" i="42"/>
  <c r="T244" i="42"/>
  <c r="T236" i="42"/>
  <c r="T226" i="42"/>
  <c r="T218" i="42"/>
  <c r="T210" i="42"/>
  <c r="T202" i="42"/>
  <c r="T194" i="42"/>
  <c r="T186" i="42"/>
  <c r="T178" i="42"/>
  <c r="T170" i="42"/>
  <c r="T162" i="42"/>
  <c r="T153" i="42"/>
  <c r="T145" i="42"/>
  <c r="T137" i="42"/>
  <c r="T129" i="42"/>
  <c r="T121" i="42"/>
  <c r="T113" i="42"/>
  <c r="T105" i="42"/>
  <c r="T97" i="42"/>
  <c r="T89" i="42"/>
  <c r="T81" i="42"/>
  <c r="T73" i="42"/>
  <c r="T64" i="42"/>
  <c r="T56" i="42"/>
  <c r="T48" i="42"/>
  <c r="T40" i="42"/>
  <c r="T32" i="42"/>
  <c r="T24" i="42"/>
  <c r="T16" i="42"/>
  <c r="T8" i="42"/>
  <c r="T300" i="42"/>
  <c r="T292" i="42"/>
  <c r="T284" i="42"/>
  <c r="T276" i="42"/>
  <c r="T267" i="42"/>
  <c r="T259" i="42"/>
  <c r="T251" i="42"/>
  <c r="T243" i="42"/>
  <c r="T234" i="42"/>
  <c r="T225" i="42"/>
  <c r="T217" i="42"/>
  <c r="T209" i="42"/>
  <c r="T201" i="42"/>
  <c r="T193" i="42"/>
  <c r="T185" i="42"/>
  <c r="T177" i="42"/>
  <c r="T169" i="42"/>
  <c r="T161" i="42"/>
  <c r="T152" i="42"/>
  <c r="T144" i="42"/>
  <c r="T136" i="42"/>
  <c r="T128" i="42"/>
  <c r="T120" i="42"/>
  <c r="T112" i="42"/>
  <c r="T104" i="42"/>
  <c r="T96" i="42"/>
  <c r="T88" i="42"/>
  <c r="T80" i="42"/>
  <c r="T72" i="42"/>
  <c r="T63" i="42"/>
  <c r="T55" i="42"/>
  <c r="T47" i="42"/>
  <c r="T39" i="42"/>
  <c r="T31" i="42"/>
  <c r="T23" i="42"/>
  <c r="T15" i="42"/>
  <c r="T7" i="42"/>
  <c r="T299" i="42"/>
  <c r="T291" i="42"/>
  <c r="T283" i="42"/>
  <c r="T274" i="42"/>
  <c r="T258" i="42"/>
  <c r="T250" i="42"/>
  <c r="T242" i="42"/>
  <c r="T233" i="42"/>
  <c r="T224" i="42"/>
  <c r="T216" i="42"/>
  <c r="T208" i="42"/>
  <c r="T200" i="42"/>
  <c r="T192" i="42"/>
  <c r="T184" i="42"/>
  <c r="T176" i="42"/>
  <c r="T168" i="42"/>
  <c r="T160" i="42"/>
  <c r="T151" i="42"/>
  <c r="T143" i="42"/>
  <c r="T135" i="42"/>
  <c r="T127" i="42"/>
  <c r="T119" i="42"/>
  <c r="T111" i="42"/>
  <c r="T103" i="42"/>
  <c r="T95" i="42"/>
  <c r="T87" i="42"/>
  <c r="T79" i="42"/>
  <c r="T71" i="42"/>
  <c r="T62" i="42"/>
  <c r="T54" i="42"/>
  <c r="T46" i="42"/>
  <c r="T38" i="42"/>
  <c r="T30" i="42"/>
  <c r="T22" i="42"/>
  <c r="T14" i="42"/>
  <c r="T290" i="42"/>
  <c r="T249" i="42"/>
  <c r="T241" i="42"/>
  <c r="T232" i="42"/>
  <c r="T223" i="42"/>
  <c r="T215" i="42"/>
  <c r="T207" i="42"/>
  <c r="T199" i="42"/>
  <c r="T191" i="42"/>
  <c r="T183" i="42"/>
  <c r="T175" i="42"/>
  <c r="T167" i="42"/>
  <c r="T159" i="42"/>
  <c r="T150" i="42"/>
  <c r="T142" i="42"/>
  <c r="T134" i="42"/>
  <c r="T126" i="42"/>
  <c r="T118" i="42"/>
  <c r="T110" i="42"/>
  <c r="T102" i="42"/>
  <c r="T94" i="42"/>
  <c r="T86" i="42"/>
  <c r="T78" i="42"/>
  <c r="T70" i="42"/>
  <c r="T61" i="42"/>
  <c r="T53" i="42"/>
  <c r="T45" i="42"/>
  <c r="T37" i="42"/>
  <c r="T29" i="42"/>
  <c r="T21" i="42"/>
  <c r="T13" i="42"/>
  <c r="T298" i="42"/>
  <c r="T273" i="42"/>
  <c r="T297" i="42"/>
  <c r="T272" i="42"/>
  <c r="T256" i="42"/>
  <c r="T248" i="42"/>
  <c r="T240" i="42"/>
  <c r="T231" i="42"/>
  <c r="T222" i="42"/>
  <c r="T214" i="42"/>
  <c r="T206" i="42"/>
  <c r="T198" i="42"/>
  <c r="T190" i="42"/>
  <c r="T182" i="42"/>
  <c r="T174" i="42"/>
  <c r="T166" i="42"/>
  <c r="T158" i="42"/>
  <c r="T149" i="42"/>
  <c r="T141" i="42"/>
  <c r="T133" i="42"/>
  <c r="T125" i="42"/>
  <c r="T117" i="42"/>
  <c r="T109" i="42"/>
  <c r="T101" i="42"/>
  <c r="T93" i="42"/>
  <c r="T85" i="42"/>
  <c r="T77" i="42"/>
  <c r="T69" i="42"/>
  <c r="T60" i="42"/>
  <c r="T52" i="42"/>
  <c r="T44" i="42"/>
  <c r="T36" i="42"/>
  <c r="T28" i="42"/>
  <c r="T20" i="42"/>
  <c r="T12" i="42"/>
  <c r="C228" i="19"/>
  <c r="L228" i="19" s="1"/>
  <c r="T282" i="42"/>
  <c r="T257" i="42"/>
  <c r="T305" i="42"/>
  <c r="T289" i="42"/>
  <c r="T281" i="42"/>
  <c r="T304" i="42"/>
  <c r="T296" i="42"/>
  <c r="T288" i="42"/>
  <c r="T280" i="42"/>
  <c r="T271" i="42"/>
  <c r="T263" i="42"/>
  <c r="T255" i="42"/>
  <c r="T247" i="42"/>
  <c r="T239" i="42"/>
  <c r="T230" i="42"/>
  <c r="T221" i="42"/>
  <c r="T213" i="42"/>
  <c r="T205" i="42"/>
  <c r="T197" i="42"/>
  <c r="T189" i="42"/>
  <c r="T181" i="42"/>
  <c r="T173" i="42"/>
  <c r="T165" i="42"/>
  <c r="T157" i="42"/>
  <c r="T148" i="42"/>
  <c r="T140" i="42"/>
  <c r="T132" i="42"/>
  <c r="T124" i="42"/>
  <c r="T116" i="42"/>
  <c r="T108" i="42"/>
  <c r="T100" i="42"/>
  <c r="T92" i="42"/>
  <c r="T84" i="42"/>
  <c r="T76" i="42"/>
  <c r="T67" i="42"/>
  <c r="T59" i="42"/>
  <c r="T51" i="42"/>
  <c r="T43" i="42"/>
  <c r="T35" i="42"/>
  <c r="T27" i="42"/>
  <c r="T19" i="42"/>
  <c r="T11" i="42"/>
  <c r="AC275" i="42"/>
  <c r="AK275" i="42"/>
  <c r="AD29" i="42"/>
  <c r="AE29" i="42" s="1"/>
  <c r="AM275" i="42"/>
  <c r="AE275" i="42"/>
  <c r="M228" i="42"/>
  <c r="T228" i="42" s="1"/>
  <c r="A1" i="42"/>
  <c r="E12" i="9"/>
  <c r="E11" i="9"/>
  <c r="D11" i="9"/>
  <c r="D12" i="9"/>
  <c r="P228" i="19" l="1"/>
  <c r="R228" i="19" s="1"/>
  <c r="F228" i="49"/>
  <c r="G228" i="49" s="1"/>
  <c r="F27" i="9"/>
  <c r="F19" i="9"/>
  <c r="F39" i="9"/>
  <c r="F55" i="9"/>
  <c r="F71" i="9"/>
  <c r="F87" i="9"/>
  <c r="F103" i="9"/>
  <c r="F119" i="9"/>
  <c r="F132" i="9"/>
  <c r="F148" i="9"/>
  <c r="F174" i="9"/>
  <c r="F189" i="9"/>
  <c r="F205" i="9"/>
  <c r="F221" i="9"/>
  <c r="F236" i="9"/>
  <c r="F244" i="9"/>
  <c r="F249" i="9"/>
  <c r="F252" i="9"/>
  <c r="F255" i="9"/>
  <c r="F268" i="9"/>
  <c r="F271" i="9"/>
  <c r="F274" i="9"/>
  <c r="F290" i="9"/>
  <c r="F306" i="9"/>
  <c r="F23" i="9"/>
  <c r="F43" i="9"/>
  <c r="F59" i="9"/>
  <c r="F75" i="9"/>
  <c r="F91" i="9"/>
  <c r="F107" i="9"/>
  <c r="F123" i="9"/>
  <c r="F136" i="9"/>
  <c r="F152" i="9"/>
  <c r="F168" i="9"/>
  <c r="F177" i="9"/>
  <c r="F193" i="9"/>
  <c r="F209" i="9"/>
  <c r="F225" i="9"/>
  <c r="F278" i="9"/>
  <c r="F294" i="9"/>
  <c r="F310" i="9"/>
  <c r="F31" i="9"/>
  <c r="F47" i="9"/>
  <c r="F63" i="9"/>
  <c r="F79" i="9"/>
  <c r="F95" i="9"/>
  <c r="F166" i="9"/>
  <c r="F232" i="9"/>
  <c r="F237" i="9"/>
  <c r="F260" i="9"/>
  <c r="F15" i="9"/>
  <c r="F35" i="9"/>
  <c r="F51" i="9"/>
  <c r="F67" i="9"/>
  <c r="F83" i="9"/>
  <c r="F99" i="9"/>
  <c r="F115" i="9"/>
  <c r="F128" i="9"/>
  <c r="F144" i="9"/>
  <c r="F160" i="9"/>
  <c r="F176" i="9"/>
  <c r="F185" i="9"/>
  <c r="F201" i="9"/>
  <c r="F217" i="9"/>
  <c r="F286" i="9"/>
  <c r="F302" i="9"/>
  <c r="F233" i="9"/>
  <c r="F241" i="9"/>
  <c r="F261" i="9"/>
  <c r="F111" i="9"/>
  <c r="F140" i="9"/>
  <c r="F156" i="9"/>
  <c r="F181" i="9"/>
  <c r="F197" i="9"/>
  <c r="F213" i="9"/>
  <c r="F229" i="9"/>
  <c r="F240" i="9"/>
  <c r="F245" i="9"/>
  <c r="F248" i="9"/>
  <c r="F282" i="9"/>
  <c r="F298" i="9"/>
  <c r="F305" i="9"/>
  <c r="F204" i="9"/>
  <c r="F164" i="9"/>
  <c r="F108" i="9"/>
  <c r="F291" i="9"/>
  <c r="F266" i="9"/>
  <c r="F162" i="9"/>
  <c r="F303" i="9"/>
  <c r="F284" i="9"/>
  <c r="F259" i="9"/>
  <c r="F224" i="9"/>
  <c r="F202" i="9"/>
  <c r="F183" i="9"/>
  <c r="F155" i="9"/>
  <c r="F112" i="9"/>
  <c r="F81" i="9"/>
  <c r="F64" i="9"/>
  <c r="F46" i="9"/>
  <c r="F26" i="9"/>
  <c r="F283" i="9"/>
  <c r="F227" i="9"/>
  <c r="F173" i="9"/>
  <c r="F138" i="9"/>
  <c r="F92" i="9"/>
  <c r="F74" i="9"/>
  <c r="F45" i="9"/>
  <c r="F28" i="9"/>
  <c r="F295" i="9"/>
  <c r="F276" i="9"/>
  <c r="F256" i="9"/>
  <c r="F226" i="9"/>
  <c r="F207" i="9"/>
  <c r="F184" i="9"/>
  <c r="F149" i="9"/>
  <c r="F131" i="9"/>
  <c r="F104" i="9"/>
  <c r="F86" i="9"/>
  <c r="F57" i="9"/>
  <c r="F40" i="9"/>
  <c r="F18" i="9"/>
  <c r="F228" i="9"/>
  <c r="F187" i="9"/>
  <c r="F165" i="9"/>
  <c r="F145" i="9"/>
  <c r="F116" i="9"/>
  <c r="F85" i="9"/>
  <c r="F68" i="9"/>
  <c r="F37" i="9"/>
  <c r="F24" i="9"/>
  <c r="F17" i="9"/>
  <c r="F273" i="9"/>
  <c r="F188" i="9"/>
  <c r="F153" i="9"/>
  <c r="F93" i="9"/>
  <c r="F288" i="9"/>
  <c r="F253" i="9"/>
  <c r="F50" i="9"/>
  <c r="F300" i="9"/>
  <c r="F277" i="9"/>
  <c r="F247" i="9"/>
  <c r="F218" i="9"/>
  <c r="F199" i="9"/>
  <c r="F171" i="9"/>
  <c r="F142" i="9"/>
  <c r="F110" i="9"/>
  <c r="F80" i="9"/>
  <c r="F62" i="9"/>
  <c r="F33" i="9"/>
  <c r="F13" i="9"/>
  <c r="F299" i="9"/>
  <c r="F280" i="9"/>
  <c r="F211" i="9"/>
  <c r="F169" i="9"/>
  <c r="F137" i="9"/>
  <c r="F90" i="9"/>
  <c r="F61" i="9"/>
  <c r="F44" i="9"/>
  <c r="F311" i="9"/>
  <c r="F292" i="9"/>
  <c r="F272" i="9"/>
  <c r="F251" i="9"/>
  <c r="F223" i="9"/>
  <c r="F200" i="9"/>
  <c r="F178" i="9"/>
  <c r="F147" i="9"/>
  <c r="F127" i="9"/>
  <c r="F102" i="9"/>
  <c r="F73" i="9"/>
  <c r="F56" i="9"/>
  <c r="F38" i="9"/>
  <c r="F212" i="9"/>
  <c r="F180" i="9"/>
  <c r="F161" i="9"/>
  <c r="F143" i="9"/>
  <c r="F114" i="9"/>
  <c r="F84" i="9"/>
  <c r="F66" i="9"/>
  <c r="F36" i="9"/>
  <c r="F22" i="9"/>
  <c r="F16" i="9"/>
  <c r="F258" i="9"/>
  <c r="F170" i="9"/>
  <c r="F135" i="9"/>
  <c r="F307" i="9"/>
  <c r="F275" i="9"/>
  <c r="F250" i="9"/>
  <c r="F293" i="9"/>
  <c r="F265" i="9"/>
  <c r="F239" i="9"/>
  <c r="F215" i="9"/>
  <c r="F192" i="9"/>
  <c r="F158" i="9"/>
  <c r="F141" i="9"/>
  <c r="F96" i="9"/>
  <c r="F78" i="9"/>
  <c r="F49" i="9"/>
  <c r="F32" i="9"/>
  <c r="F296" i="9"/>
  <c r="F257" i="9"/>
  <c r="F195" i="9"/>
  <c r="F154" i="9"/>
  <c r="F122" i="9"/>
  <c r="F77" i="9"/>
  <c r="F60" i="9"/>
  <c r="F42" i="9"/>
  <c r="F308" i="9"/>
  <c r="F285" i="9"/>
  <c r="F267" i="9"/>
  <c r="F243" i="9"/>
  <c r="F216" i="9"/>
  <c r="F194" i="9"/>
  <c r="F163" i="9"/>
  <c r="F134" i="9"/>
  <c r="F120" i="9"/>
  <c r="F89" i="9"/>
  <c r="F72" i="9"/>
  <c r="F54" i="9"/>
  <c r="F21" i="9"/>
  <c r="F297" i="9"/>
  <c r="F203" i="9"/>
  <c r="F175" i="9"/>
  <c r="F159" i="9"/>
  <c r="F130" i="9"/>
  <c r="F100" i="9"/>
  <c r="F82" i="9"/>
  <c r="F53" i="9"/>
  <c r="F34" i="9"/>
  <c r="F14" i="9"/>
  <c r="F220" i="9"/>
  <c r="F167" i="9"/>
  <c r="F124" i="9"/>
  <c r="F304" i="9"/>
  <c r="F269" i="9"/>
  <c r="F219" i="9"/>
  <c r="F309" i="9"/>
  <c r="F287" i="9"/>
  <c r="F264" i="9"/>
  <c r="F231" i="9"/>
  <c r="F208" i="9"/>
  <c r="F186" i="9"/>
  <c r="F157" i="9"/>
  <c r="F139" i="9"/>
  <c r="F94" i="9"/>
  <c r="F65" i="9"/>
  <c r="F48" i="9"/>
  <c r="F30" i="9"/>
  <c r="F289" i="9"/>
  <c r="F246" i="9"/>
  <c r="F179" i="9"/>
  <c r="F151" i="9"/>
  <c r="F106" i="9"/>
  <c r="F76" i="9"/>
  <c r="F58" i="9"/>
  <c r="F29" i="9"/>
  <c r="F301" i="9"/>
  <c r="F279" i="9"/>
  <c r="F263" i="9"/>
  <c r="F235" i="9"/>
  <c r="F210" i="9"/>
  <c r="F191" i="9"/>
  <c r="F150" i="9"/>
  <c r="F133" i="9"/>
  <c r="F118" i="9"/>
  <c r="F88" i="9"/>
  <c r="F70" i="9"/>
  <c r="F41" i="9"/>
  <c r="F20" i="9"/>
  <c r="F281" i="9"/>
  <c r="F196" i="9"/>
  <c r="F172" i="9"/>
  <c r="F146" i="9"/>
  <c r="F129" i="9"/>
  <c r="F98" i="9"/>
  <c r="F69" i="9"/>
  <c r="F52" i="9"/>
  <c r="F25" i="9"/>
  <c r="F238" i="9"/>
  <c r="F198" i="9"/>
  <c r="F222" i="9"/>
  <c r="F113" i="9"/>
  <c r="F125" i="9"/>
  <c r="F234" i="9"/>
  <c r="F182" i="9"/>
  <c r="F206" i="9"/>
  <c r="F105" i="9"/>
  <c r="F117" i="9"/>
  <c r="F262" i="9"/>
  <c r="F230" i="9"/>
  <c r="F270" i="9"/>
  <c r="F190" i="9"/>
  <c r="F97" i="9"/>
  <c r="F109" i="9"/>
  <c r="F242" i="9"/>
  <c r="F214" i="9"/>
  <c r="F254" i="9"/>
  <c r="F121" i="9"/>
  <c r="F126" i="9"/>
  <c r="F101" i="9"/>
  <c r="AK155" i="42"/>
  <c r="AE155" i="42"/>
  <c r="AC155" i="42"/>
  <c r="AM155" i="42"/>
  <c r="D312" i="9"/>
  <c r="F12" i="9"/>
  <c r="E312" i="9"/>
  <c r="E227" i="25" l="1"/>
  <c r="C228" i="39"/>
  <c r="C228" i="12"/>
  <c r="J228" i="49"/>
  <c r="C228" i="33"/>
  <c r="C228" i="13"/>
  <c r="C234" i="9"/>
  <c r="AK228" i="42"/>
  <c r="AC228" i="42"/>
  <c r="AM228" i="42"/>
  <c r="AE228" i="42"/>
  <c r="F312" i="9"/>
  <c r="C6" i="9" s="1"/>
  <c r="E228" i="33" l="1"/>
  <c r="D228" i="37" s="1"/>
  <c r="C228" i="11"/>
  <c r="C234" i="34"/>
  <c r="AJ306" i="42"/>
  <c r="B6" i="54" l="1"/>
  <c r="A6" i="54"/>
  <c r="E59" i="48" l="1"/>
  <c r="D59" i="48"/>
  <c r="F59" i="48"/>
  <c r="B6" i="11"/>
  <c r="C59" i="48" l="1"/>
  <c r="C7" i="34"/>
  <c r="C6" i="34"/>
  <c r="H5" i="39" l="1"/>
  <c r="D5" i="25" l="1"/>
  <c r="B5" i="25"/>
  <c r="A5" i="25"/>
  <c r="B9" i="48" l="1"/>
  <c r="B8" i="48"/>
  <c r="A2" i="25"/>
  <c r="A2" i="49"/>
  <c r="A2" i="13"/>
  <c r="A2" i="39"/>
  <c r="A2" i="12"/>
  <c r="A2" i="34"/>
  <c r="A2" i="11"/>
  <c r="A2" i="37"/>
  <c r="A2" i="36"/>
  <c r="A2" i="9"/>
  <c r="A2" i="33"/>
  <c r="A2" i="19"/>
  <c r="A2" i="42"/>
  <c r="E46" i="40"/>
  <c r="I45" i="40" l="1"/>
  <c r="A56" i="40"/>
  <c r="D5" i="49" l="1"/>
  <c r="Q5" i="19"/>
  <c r="E6" i="49" l="1"/>
  <c r="D6" i="49"/>
  <c r="I6" i="49"/>
  <c r="AR306" i="42"/>
  <c r="J6" i="11" l="1"/>
  <c r="E6" i="11"/>
  <c r="AN306" i="42"/>
  <c r="AL6" i="42"/>
  <c r="AH306" i="42"/>
  <c r="AG306" i="42"/>
  <c r="AB306" i="42"/>
  <c r="AF306" i="42"/>
  <c r="D6" i="33"/>
  <c r="AL306" i="42" l="1"/>
  <c r="D306" i="33"/>
  <c r="R5" i="19"/>
  <c r="O6" i="19"/>
  <c r="AD306" i="42" l="1"/>
  <c r="S306" i="42" l="1"/>
  <c r="P313" i="19" s="1"/>
  <c r="H306" i="42"/>
  <c r="I306" i="42"/>
  <c r="J306" i="42"/>
  <c r="N306" i="42" l="1"/>
  <c r="J5" i="12" l="1"/>
  <c r="G306" i="42" l="1"/>
  <c r="K306" i="42"/>
  <c r="L306" i="42"/>
  <c r="D306" i="42"/>
  <c r="E306" i="42"/>
  <c r="C306" i="42"/>
  <c r="P311" i="19" l="1"/>
  <c r="D6" i="19"/>
  <c r="H5" i="33"/>
  <c r="I5" i="33"/>
  <c r="J5" i="33"/>
  <c r="K5" i="33"/>
  <c r="H4" i="33"/>
  <c r="I4" i="33"/>
  <c r="J4" i="33"/>
  <c r="K4" i="33"/>
  <c r="F6" i="37" l="1"/>
  <c r="Q6" i="19"/>
  <c r="C5" i="25" s="1"/>
  <c r="U306" i="42" l="1"/>
  <c r="V306" i="42"/>
  <c r="W306" i="42"/>
  <c r="P315" i="19" s="1"/>
  <c r="P314" i="19" l="1"/>
  <c r="A6" i="11"/>
  <c r="K6" i="19" l="1"/>
  <c r="N6" i="19"/>
  <c r="G6" i="19"/>
  <c r="F6" i="19"/>
  <c r="M6" i="19"/>
  <c r="E6" i="19"/>
  <c r="L5" i="11" l="1"/>
  <c r="G5" i="11"/>
  <c r="F218" i="11" l="1"/>
  <c r="G218" i="11" s="1"/>
  <c r="F57" i="11"/>
  <c r="G57" i="11" s="1"/>
  <c r="F59" i="11"/>
  <c r="G59" i="11" s="1"/>
  <c r="F284" i="11"/>
  <c r="G284" i="11" s="1"/>
  <c r="F192" i="11"/>
  <c r="G192" i="11" s="1"/>
  <c r="F291" i="11"/>
  <c r="G291" i="11" s="1"/>
  <c r="F128" i="11"/>
  <c r="G128" i="11" s="1"/>
  <c r="F200" i="11"/>
  <c r="G200" i="11" s="1"/>
  <c r="F296" i="11"/>
  <c r="G296" i="11" s="1"/>
  <c r="F131" i="11"/>
  <c r="G131" i="11" s="1"/>
  <c r="F35" i="11"/>
  <c r="G35" i="11" s="1"/>
  <c r="F11" i="11"/>
  <c r="G11" i="11" s="1"/>
  <c r="F234" i="11"/>
  <c r="G234" i="11" s="1"/>
  <c r="F43" i="11"/>
  <c r="G43" i="11" s="1"/>
  <c r="F211" i="11"/>
  <c r="G211" i="11" s="1"/>
  <c r="F276" i="11"/>
  <c r="G276" i="11" s="1"/>
  <c r="F136" i="11"/>
  <c r="G136" i="11" s="1"/>
  <c r="F173" i="11"/>
  <c r="G173" i="11" s="1"/>
  <c r="F189" i="11"/>
  <c r="G189" i="11" s="1"/>
  <c r="F246" i="11"/>
  <c r="G246" i="11" s="1"/>
  <c r="F115" i="11"/>
  <c r="G115" i="11" s="1"/>
  <c r="F165" i="11"/>
  <c r="G165" i="11" s="1"/>
  <c r="F171" i="11"/>
  <c r="G171" i="11" s="1"/>
  <c r="F133" i="11"/>
  <c r="G133" i="11" s="1"/>
  <c r="F191" i="11"/>
  <c r="G191" i="11" s="1"/>
  <c r="F145" i="11"/>
  <c r="G145" i="11" s="1"/>
  <c r="F199" i="11"/>
  <c r="G199" i="11" s="1"/>
  <c r="F250" i="11"/>
  <c r="G250" i="11" s="1"/>
  <c r="F177" i="11"/>
  <c r="G177" i="11" s="1"/>
  <c r="F144" i="11"/>
  <c r="G144" i="11" s="1"/>
  <c r="F207" i="11"/>
  <c r="G207" i="11" s="1"/>
  <c r="F201" i="11"/>
  <c r="G201" i="11" s="1"/>
  <c r="F176" i="11"/>
  <c r="G176" i="11" s="1"/>
  <c r="F102" i="11"/>
  <c r="G102" i="11" s="1"/>
  <c r="F149" i="11"/>
  <c r="G149" i="11" s="1"/>
  <c r="F238" i="11"/>
  <c r="G238" i="11" s="1"/>
  <c r="F168" i="11"/>
  <c r="G168" i="11" s="1"/>
  <c r="F15" i="11"/>
  <c r="G15" i="11" s="1"/>
  <c r="F152" i="11"/>
  <c r="G152" i="11" s="1"/>
  <c r="F181" i="11"/>
  <c r="G181" i="11" s="1"/>
  <c r="F127" i="11"/>
  <c r="G127" i="11" s="1"/>
  <c r="F110" i="11"/>
  <c r="G110" i="11" s="1"/>
  <c r="F135" i="11"/>
  <c r="G135" i="11" s="1"/>
  <c r="F197" i="11"/>
  <c r="G197" i="11" s="1"/>
  <c r="F195" i="11"/>
  <c r="G195" i="11" s="1"/>
  <c r="F183" i="11"/>
  <c r="G183" i="11" s="1"/>
  <c r="F193" i="11"/>
  <c r="G193" i="11" s="1"/>
  <c r="F153" i="11"/>
  <c r="G153" i="11" s="1"/>
  <c r="F205" i="11"/>
  <c r="G205" i="11" s="1"/>
  <c r="F294" i="11"/>
  <c r="G294" i="11" s="1"/>
  <c r="F13" i="11"/>
  <c r="G13" i="11" s="1"/>
  <c r="F283" i="11"/>
  <c r="G283" i="11" s="1"/>
  <c r="F230" i="11"/>
  <c r="G230" i="11" s="1"/>
  <c r="F49" i="11"/>
  <c r="G49" i="11" s="1"/>
  <c r="F292" i="11"/>
  <c r="G292" i="11" s="1"/>
  <c r="F19" i="11"/>
  <c r="G19" i="11" s="1"/>
  <c r="F179" i="11"/>
  <c r="G179" i="11" s="1"/>
  <c r="F33" i="11"/>
  <c r="G33" i="11" s="1"/>
  <c r="F160" i="11"/>
  <c r="G160" i="11" s="1"/>
  <c r="F184" i="11"/>
  <c r="G184" i="11" s="1"/>
  <c r="F129" i="11"/>
  <c r="G129" i="11" s="1"/>
  <c r="F125" i="11"/>
  <c r="G125" i="11" s="1"/>
  <c r="F161" i="11"/>
  <c r="G161" i="11" s="1"/>
  <c r="F112" i="11"/>
  <c r="G112" i="11" s="1"/>
  <c r="F41" i="11"/>
  <c r="G41" i="11" s="1"/>
  <c r="F185" i="11"/>
  <c r="G185" i="11" s="1"/>
  <c r="F163" i="11"/>
  <c r="G163" i="11" s="1"/>
  <c r="F27" i="11"/>
  <c r="G27" i="11" s="1"/>
  <c r="F226" i="11"/>
  <c r="G226" i="11" s="1"/>
  <c r="F25" i="11"/>
  <c r="G25" i="11" s="1"/>
  <c r="F51" i="11"/>
  <c r="G51" i="11" s="1"/>
  <c r="F139" i="11"/>
  <c r="G139" i="11" s="1"/>
  <c r="F203" i="11"/>
  <c r="G203" i="11" s="1"/>
  <c r="F141" i="11"/>
  <c r="G141" i="11" s="1"/>
  <c r="F157" i="11"/>
  <c r="G157" i="11" s="1"/>
  <c r="F107" i="11"/>
  <c r="G107" i="11" s="1"/>
  <c r="F187" i="11"/>
  <c r="G187" i="11" s="1"/>
  <c r="F304" i="11"/>
  <c r="G304" i="11" s="1"/>
  <c r="F264" i="11"/>
  <c r="G264" i="11" s="1"/>
  <c r="F94" i="11"/>
  <c r="G94" i="11" s="1"/>
  <c r="F263" i="11"/>
  <c r="G263" i="11" s="1"/>
  <c r="F142" i="11"/>
  <c r="G142" i="11" s="1"/>
  <c r="F159" i="11"/>
  <c r="G159" i="11" s="1"/>
  <c r="F8" i="11"/>
  <c r="G8" i="11" s="1"/>
  <c r="F156" i="11"/>
  <c r="G156" i="11" s="1"/>
  <c r="F67" i="11"/>
  <c r="G67" i="11" s="1"/>
  <c r="F32" i="11"/>
  <c r="G32" i="11" s="1"/>
  <c r="F268" i="11"/>
  <c r="G268" i="11" s="1"/>
  <c r="F222" i="11"/>
  <c r="G222" i="11" s="1"/>
  <c r="F216" i="11"/>
  <c r="G216" i="11" s="1"/>
  <c r="F231" i="11"/>
  <c r="G231" i="11" s="1"/>
  <c r="F204" i="11"/>
  <c r="G204" i="11" s="1"/>
  <c r="F293" i="11"/>
  <c r="G293" i="11" s="1"/>
  <c r="F166" i="11"/>
  <c r="G166" i="11" s="1"/>
  <c r="F79" i="11"/>
  <c r="G79" i="11" s="1"/>
  <c r="F28" i="11"/>
  <c r="G28" i="11" s="1"/>
  <c r="F217" i="11"/>
  <c r="G217" i="11" s="1"/>
  <c r="F124" i="11"/>
  <c r="G124" i="11" s="1"/>
  <c r="F240" i="11"/>
  <c r="G240" i="11" s="1"/>
  <c r="F251" i="11"/>
  <c r="G251" i="11" s="1"/>
  <c r="F69" i="11"/>
  <c r="G69" i="11" s="1"/>
  <c r="F154" i="11"/>
  <c r="G154" i="11" s="1"/>
  <c r="F91" i="11"/>
  <c r="G91" i="11" s="1"/>
  <c r="F148" i="11"/>
  <c r="G148" i="11" s="1"/>
  <c r="F119" i="11"/>
  <c r="G119" i="11" s="1"/>
  <c r="F16" i="11"/>
  <c r="G16" i="11" s="1"/>
  <c r="F288" i="11"/>
  <c r="G288" i="11" s="1"/>
  <c r="F241" i="11"/>
  <c r="G241" i="11" s="1"/>
  <c r="F219" i="11"/>
  <c r="G219" i="11" s="1"/>
  <c r="F50" i="11"/>
  <c r="G50" i="11" s="1"/>
  <c r="F106" i="11"/>
  <c r="G106" i="11" s="1"/>
  <c r="F301" i="11"/>
  <c r="G301" i="11" s="1"/>
  <c r="F247" i="11"/>
  <c r="G247" i="11" s="1"/>
  <c r="F130" i="11"/>
  <c r="G130" i="11" s="1"/>
  <c r="F236" i="11"/>
  <c r="G236" i="11" s="1"/>
  <c r="F290" i="11"/>
  <c r="G290" i="11" s="1"/>
  <c r="F40" i="11"/>
  <c r="G40" i="11" s="1"/>
  <c r="F297" i="11"/>
  <c r="G297" i="11" s="1"/>
  <c r="F10" i="11"/>
  <c r="G10" i="11" s="1"/>
  <c r="F96" i="11"/>
  <c r="G96" i="11" s="1"/>
  <c r="F114" i="11"/>
  <c r="G114" i="11" s="1"/>
  <c r="F109" i="11"/>
  <c r="G109" i="11" s="1"/>
  <c r="F42" i="11"/>
  <c r="G42" i="11" s="1"/>
  <c r="F278" i="11"/>
  <c r="G278" i="11" s="1"/>
  <c r="F225" i="11"/>
  <c r="G225" i="11" s="1"/>
  <c r="F267" i="11"/>
  <c r="G267" i="11" s="1"/>
  <c r="F123" i="11"/>
  <c r="G123" i="11" s="1"/>
  <c r="F45" i="11"/>
  <c r="G45" i="11" s="1"/>
  <c r="F58" i="11"/>
  <c r="G58" i="11" s="1"/>
  <c r="F53" i="11"/>
  <c r="G53" i="11" s="1"/>
  <c r="F164" i="11"/>
  <c r="G164" i="11" s="1"/>
  <c r="F215" i="11"/>
  <c r="G215" i="11" s="1"/>
  <c r="F298" i="11"/>
  <c r="G298" i="11" s="1"/>
  <c r="F85" i="11"/>
  <c r="G85" i="11" s="1"/>
  <c r="F209" i="11"/>
  <c r="G209" i="11" s="1"/>
  <c r="F300" i="11"/>
  <c r="G300" i="11" s="1"/>
  <c r="F287" i="11"/>
  <c r="G287" i="11" s="1"/>
  <c r="F118" i="11"/>
  <c r="G118" i="11" s="1"/>
  <c r="F24" i="11"/>
  <c r="G24" i="11" s="1"/>
  <c r="F235" i="11"/>
  <c r="G235" i="11" s="1"/>
  <c r="F100" i="11"/>
  <c r="G100" i="11" s="1"/>
  <c r="F101" i="11"/>
  <c r="G101" i="11" s="1"/>
  <c r="F221" i="11"/>
  <c r="G221" i="11" s="1"/>
  <c r="F47" i="11"/>
  <c r="G47" i="11" s="1"/>
  <c r="F26" i="11"/>
  <c r="G26" i="11" s="1"/>
  <c r="F279" i="11"/>
  <c r="G279" i="11" s="1"/>
  <c r="F73" i="11"/>
  <c r="G73" i="11" s="1"/>
  <c r="F224" i="11"/>
  <c r="G224" i="11" s="1"/>
  <c r="F84" i="11"/>
  <c r="G84" i="11" s="1"/>
  <c r="F282" i="11"/>
  <c r="G282" i="11" s="1"/>
  <c r="F99" i="11"/>
  <c r="G99" i="11" s="1"/>
  <c r="F64" i="11"/>
  <c r="G64" i="11" s="1"/>
  <c r="F17" i="11"/>
  <c r="G17" i="11" s="1"/>
  <c r="F36" i="11"/>
  <c r="G36" i="11" s="1"/>
  <c r="F273" i="11"/>
  <c r="G273" i="11" s="1"/>
  <c r="F105" i="11"/>
  <c r="G105" i="11" s="1"/>
  <c r="F198" i="11"/>
  <c r="G198" i="11" s="1"/>
  <c r="F253" i="11"/>
  <c r="G253" i="11" s="1"/>
  <c r="F86" i="11"/>
  <c r="G86" i="11" s="1"/>
  <c r="F74" i="11"/>
  <c r="G74" i="11" s="1"/>
  <c r="F138" i="11"/>
  <c r="G138" i="11" s="1"/>
  <c r="F258" i="11"/>
  <c r="G258" i="11" s="1"/>
  <c r="F46" i="11"/>
  <c r="G46" i="11" s="1"/>
  <c r="F256" i="11"/>
  <c r="G256" i="11" s="1"/>
  <c r="F227" i="11"/>
  <c r="G227" i="11" s="1"/>
  <c r="F18" i="11"/>
  <c r="G18" i="11" s="1"/>
  <c r="F277" i="11"/>
  <c r="G277" i="11" s="1"/>
  <c r="F270" i="11"/>
  <c r="G270" i="11" s="1"/>
  <c r="F266" i="11"/>
  <c r="G266" i="11" s="1"/>
  <c r="F54" i="11"/>
  <c r="G54" i="11" s="1"/>
  <c r="F162" i="11"/>
  <c r="G162" i="11" s="1"/>
  <c r="F150" i="11"/>
  <c r="G150" i="11" s="1"/>
  <c r="F76" i="11"/>
  <c r="G76" i="11" s="1"/>
  <c r="F37" i="11"/>
  <c r="G37" i="11" s="1"/>
  <c r="F12" i="11"/>
  <c r="G12" i="11" s="1"/>
  <c r="F29" i="11"/>
  <c r="G29" i="11" s="1"/>
  <c r="F90" i="11"/>
  <c r="G90" i="11" s="1"/>
  <c r="F9" i="11"/>
  <c r="G9" i="11" s="1"/>
  <c r="F237" i="11"/>
  <c r="G237" i="11" s="1"/>
  <c r="F70" i="11"/>
  <c r="G70" i="11" s="1"/>
  <c r="F68" i="11"/>
  <c r="G68" i="11" s="1"/>
  <c r="F126" i="11"/>
  <c r="G126" i="11" s="1"/>
  <c r="F245" i="11"/>
  <c r="G245" i="11" s="1"/>
  <c r="F97" i="11"/>
  <c r="G97" i="11" s="1"/>
  <c r="F61" i="11"/>
  <c r="G61" i="11" s="1"/>
  <c r="F180" i="11"/>
  <c r="G180" i="11" s="1"/>
  <c r="F78" i="11"/>
  <c r="G78" i="11" s="1"/>
  <c r="F98" i="11"/>
  <c r="G98" i="11" s="1"/>
  <c r="F206" i="11"/>
  <c r="G206" i="11" s="1"/>
  <c r="F178" i="11"/>
  <c r="G178" i="11" s="1"/>
  <c r="F259" i="11"/>
  <c r="G259" i="11" s="1"/>
  <c r="F146" i="11"/>
  <c r="G146" i="11" s="1"/>
  <c r="F87" i="11"/>
  <c r="G87" i="11" s="1"/>
  <c r="F255" i="11"/>
  <c r="G255" i="11" s="1"/>
  <c r="F188" i="11"/>
  <c r="G188" i="11" s="1"/>
  <c r="F71" i="11"/>
  <c r="G71" i="11" s="1"/>
  <c r="F285" i="11"/>
  <c r="G285" i="11" s="1"/>
  <c r="F280" i="11"/>
  <c r="G280" i="11" s="1"/>
  <c r="F202" i="11"/>
  <c r="G202" i="11" s="1"/>
  <c r="F274" i="11"/>
  <c r="G274" i="11" s="1"/>
  <c r="F77" i="11"/>
  <c r="G77" i="11" s="1"/>
  <c r="F66" i="11"/>
  <c r="G66" i="11" s="1"/>
  <c r="F212" i="11"/>
  <c r="G212" i="11" s="1"/>
  <c r="F242" i="11"/>
  <c r="G242" i="11" s="1"/>
  <c r="F186" i="11"/>
  <c r="G186" i="11" s="1"/>
  <c r="F257" i="11"/>
  <c r="G257" i="11" s="1"/>
  <c r="F214" i="11"/>
  <c r="G214" i="11" s="1"/>
  <c r="F56" i="11"/>
  <c r="G56" i="11" s="1"/>
  <c r="F305" i="11"/>
  <c r="G305" i="11" s="1"/>
  <c r="F147" i="11"/>
  <c r="G147" i="11" s="1"/>
  <c r="F63" i="11"/>
  <c r="G63" i="11" s="1"/>
  <c r="F55" i="11"/>
  <c r="G55" i="11" s="1"/>
  <c r="F82" i="11"/>
  <c r="G82" i="11" s="1"/>
  <c r="F62" i="11"/>
  <c r="G62" i="11" s="1"/>
  <c r="F260" i="11"/>
  <c r="G260" i="11" s="1"/>
  <c r="F121" i="11"/>
  <c r="G121" i="11" s="1"/>
  <c r="F243" i="11"/>
  <c r="G243" i="11" s="1"/>
  <c r="F265" i="11"/>
  <c r="G265" i="11" s="1"/>
  <c r="F103" i="11"/>
  <c r="G103" i="11" s="1"/>
  <c r="F80" i="11"/>
  <c r="G80" i="11" s="1"/>
  <c r="F182" i="11"/>
  <c r="G182" i="11" s="1"/>
  <c r="F117" i="11"/>
  <c r="G117" i="11" s="1"/>
  <c r="F31" i="11"/>
  <c r="G31" i="11" s="1"/>
  <c r="F239" i="11"/>
  <c r="G239" i="11" s="1"/>
  <c r="F286" i="11"/>
  <c r="G286" i="11" s="1"/>
  <c r="F14" i="11"/>
  <c r="G14" i="11" s="1"/>
  <c r="F208" i="11"/>
  <c r="G208" i="11" s="1"/>
  <c r="F295" i="11"/>
  <c r="G295" i="11" s="1"/>
  <c r="F213" i="11"/>
  <c r="G213" i="11" s="1"/>
  <c r="F190" i="11"/>
  <c r="G190" i="11" s="1"/>
  <c r="F151" i="11"/>
  <c r="G151" i="11" s="1"/>
  <c r="F169" i="11"/>
  <c r="G169" i="11" s="1"/>
  <c r="F132" i="11"/>
  <c r="G132" i="11" s="1"/>
  <c r="F39" i="11"/>
  <c r="G39" i="11" s="1"/>
  <c r="F249" i="11"/>
  <c r="G249" i="11" s="1"/>
  <c r="F289" i="11"/>
  <c r="G289" i="11" s="1"/>
  <c r="F48" i="11"/>
  <c r="G48" i="11" s="1"/>
  <c r="F174" i="11"/>
  <c r="G174" i="11" s="1"/>
  <c r="F244" i="11"/>
  <c r="G244" i="11" s="1"/>
  <c r="F248" i="11"/>
  <c r="G248" i="11" s="1"/>
  <c r="F93" i="11"/>
  <c r="G93" i="11" s="1"/>
  <c r="F44" i="11"/>
  <c r="G44" i="11" s="1"/>
  <c r="F60" i="11"/>
  <c r="G60" i="11" s="1"/>
  <c r="F108" i="11"/>
  <c r="G108" i="11" s="1"/>
  <c r="F116" i="11"/>
  <c r="G116" i="11" s="1"/>
  <c r="F34" i="11"/>
  <c r="G34" i="11" s="1"/>
  <c r="F65" i="11"/>
  <c r="G65" i="11" s="1"/>
  <c r="F158" i="11"/>
  <c r="G158" i="11" s="1"/>
  <c r="F252" i="11"/>
  <c r="G252" i="11" s="1"/>
  <c r="F172" i="11"/>
  <c r="G172" i="11" s="1"/>
  <c r="F210" i="11"/>
  <c r="G210" i="11" s="1"/>
  <c r="F23" i="11"/>
  <c r="G23" i="11" s="1"/>
  <c r="F134" i="11"/>
  <c r="G134" i="11" s="1"/>
  <c r="F269" i="11"/>
  <c r="G269" i="11" s="1"/>
  <c r="F262" i="11"/>
  <c r="G262" i="11" s="1"/>
  <c r="F122" i="11"/>
  <c r="G122" i="11" s="1"/>
  <c r="F7" i="11"/>
  <c r="G7" i="11" s="1"/>
  <c r="F20" i="11"/>
  <c r="G20" i="11" s="1"/>
  <c r="F140" i="11"/>
  <c r="G140" i="11" s="1"/>
  <c r="F52" i="11"/>
  <c r="G52" i="11" s="1"/>
  <c r="F22" i="11"/>
  <c r="G22" i="11" s="1"/>
  <c r="F81" i="11"/>
  <c r="G81" i="11" s="1"/>
  <c r="F104" i="11"/>
  <c r="G104" i="11" s="1"/>
  <c r="F170" i="11"/>
  <c r="G170" i="11" s="1"/>
  <c r="F92" i="11"/>
  <c r="G92" i="11" s="1"/>
  <c r="F155" i="11"/>
  <c r="G155" i="11" s="1"/>
  <c r="F232" i="11"/>
  <c r="G232" i="11" s="1"/>
  <c r="F220" i="11"/>
  <c r="G220" i="11" s="1"/>
  <c r="F83" i="11"/>
  <c r="G83" i="11" s="1"/>
  <c r="F95" i="11"/>
  <c r="G95" i="11" s="1"/>
  <c r="F89" i="11"/>
  <c r="G89" i="11" s="1"/>
  <c r="F88" i="11"/>
  <c r="G88" i="11" s="1"/>
  <c r="F111" i="11"/>
  <c r="G111" i="11" s="1"/>
  <c r="F281" i="11"/>
  <c r="G281" i="11" s="1"/>
  <c r="F196" i="11"/>
  <c r="G196" i="11" s="1"/>
  <c r="F275" i="11"/>
  <c r="G275" i="11" s="1"/>
  <c r="F167" i="11"/>
  <c r="G167" i="11" s="1"/>
  <c r="F223" i="11"/>
  <c r="G223" i="11" s="1"/>
  <c r="F303" i="11"/>
  <c r="G303" i="11" s="1"/>
  <c r="F229" i="11"/>
  <c r="G229" i="11" s="1"/>
  <c r="F72" i="11"/>
  <c r="G72" i="11" s="1"/>
  <c r="F75" i="11"/>
  <c r="G75" i="11" s="1"/>
  <c r="F233" i="11"/>
  <c r="G233" i="11" s="1"/>
  <c r="F38" i="11"/>
  <c r="G38" i="11" s="1"/>
  <c r="F194" i="11"/>
  <c r="G194" i="11" s="1"/>
  <c r="F30" i="11"/>
  <c r="G30" i="11" s="1"/>
  <c r="F299" i="11"/>
  <c r="G299" i="11" s="1"/>
  <c r="F254" i="11"/>
  <c r="G254" i="11" s="1"/>
  <c r="F302" i="11"/>
  <c r="G302" i="11" s="1"/>
  <c r="F272" i="11"/>
  <c r="G272" i="11" s="1"/>
  <c r="F271" i="11"/>
  <c r="G271" i="11" s="1"/>
  <c r="F21" i="11"/>
  <c r="G21" i="11" s="1"/>
  <c r="F120" i="11"/>
  <c r="G120" i="11" s="1"/>
  <c r="F261" i="11"/>
  <c r="G261" i="11" s="1"/>
  <c r="F143" i="11"/>
  <c r="G143" i="11" s="1"/>
  <c r="F137" i="11"/>
  <c r="G137" i="11" s="1"/>
  <c r="F175" i="11"/>
  <c r="G175" i="11" s="1"/>
  <c r="F113" i="11"/>
  <c r="G113" i="11" s="1"/>
  <c r="F228" i="11"/>
  <c r="G228" i="11" s="1"/>
  <c r="K163" i="11"/>
  <c r="L163" i="11" s="1"/>
  <c r="K131" i="11"/>
  <c r="L131" i="11" s="1"/>
  <c r="K35" i="11"/>
  <c r="L35" i="11" s="1"/>
  <c r="K27" i="11"/>
  <c r="L27" i="11" s="1"/>
  <c r="K226" i="11"/>
  <c r="L226" i="11" s="1"/>
  <c r="K43" i="11"/>
  <c r="L43" i="11" s="1"/>
  <c r="K136" i="11"/>
  <c r="L136" i="11" s="1"/>
  <c r="K203" i="11"/>
  <c r="L203" i="11" s="1"/>
  <c r="K141" i="11"/>
  <c r="L141" i="11" s="1"/>
  <c r="K157" i="11"/>
  <c r="L157" i="11" s="1"/>
  <c r="K218" i="11"/>
  <c r="L218" i="11" s="1"/>
  <c r="K57" i="11"/>
  <c r="L57" i="11" s="1"/>
  <c r="K284" i="11"/>
  <c r="L284" i="11" s="1"/>
  <c r="K192" i="11"/>
  <c r="L192" i="11" s="1"/>
  <c r="K291" i="11"/>
  <c r="L291" i="11" s="1"/>
  <c r="K133" i="11"/>
  <c r="L133" i="11" s="1"/>
  <c r="K200" i="11"/>
  <c r="L200" i="11" s="1"/>
  <c r="K296" i="11"/>
  <c r="L296" i="11" s="1"/>
  <c r="K177" i="11"/>
  <c r="L177" i="11" s="1"/>
  <c r="K11" i="11"/>
  <c r="L11" i="11" s="1"/>
  <c r="K234" i="11"/>
  <c r="L234" i="11" s="1"/>
  <c r="K211" i="11"/>
  <c r="L211" i="11" s="1"/>
  <c r="K276" i="11"/>
  <c r="L276" i="11" s="1"/>
  <c r="K173" i="11"/>
  <c r="L173" i="11" s="1"/>
  <c r="K189" i="11"/>
  <c r="L189" i="11" s="1"/>
  <c r="K102" i="11"/>
  <c r="L102" i="11" s="1"/>
  <c r="K246" i="11"/>
  <c r="L246" i="11" s="1"/>
  <c r="K149" i="11"/>
  <c r="L149" i="11" s="1"/>
  <c r="K115" i="11"/>
  <c r="L115" i="11" s="1"/>
  <c r="K165" i="11"/>
  <c r="L165" i="11" s="1"/>
  <c r="K171" i="11"/>
  <c r="L171" i="11" s="1"/>
  <c r="K152" i="11"/>
  <c r="L152" i="11" s="1"/>
  <c r="K110" i="11"/>
  <c r="L110" i="11" s="1"/>
  <c r="K191" i="11"/>
  <c r="L191" i="11" s="1"/>
  <c r="K145" i="11"/>
  <c r="L145" i="11" s="1"/>
  <c r="K199" i="11"/>
  <c r="L199" i="11" s="1"/>
  <c r="K250" i="11"/>
  <c r="L250" i="11" s="1"/>
  <c r="K144" i="11"/>
  <c r="L144" i="11" s="1"/>
  <c r="K207" i="11"/>
  <c r="L207" i="11" s="1"/>
  <c r="K201" i="11"/>
  <c r="L201" i="11" s="1"/>
  <c r="K176" i="11"/>
  <c r="L176" i="11" s="1"/>
  <c r="K238" i="11"/>
  <c r="L238" i="11" s="1"/>
  <c r="K168" i="11"/>
  <c r="L168" i="11" s="1"/>
  <c r="K15" i="11"/>
  <c r="L15" i="11" s="1"/>
  <c r="K181" i="11"/>
  <c r="L181" i="11" s="1"/>
  <c r="K127" i="11"/>
  <c r="L127" i="11" s="1"/>
  <c r="K135" i="11"/>
  <c r="L135" i="11" s="1"/>
  <c r="K197" i="11"/>
  <c r="L197" i="11" s="1"/>
  <c r="K129" i="11"/>
  <c r="L129" i="11" s="1"/>
  <c r="K161" i="11"/>
  <c r="L161" i="11" s="1"/>
  <c r="K112" i="11"/>
  <c r="L112" i="11" s="1"/>
  <c r="K195" i="11"/>
  <c r="L195" i="11" s="1"/>
  <c r="K183" i="11"/>
  <c r="L183" i="11" s="1"/>
  <c r="K193" i="11"/>
  <c r="L193" i="11" s="1"/>
  <c r="K153" i="11"/>
  <c r="L153" i="11" s="1"/>
  <c r="K205" i="11"/>
  <c r="L205" i="11" s="1"/>
  <c r="K294" i="11"/>
  <c r="L294" i="11" s="1"/>
  <c r="K13" i="11"/>
  <c r="L13" i="11" s="1"/>
  <c r="K25" i="11"/>
  <c r="L25" i="11" s="1"/>
  <c r="K51" i="11"/>
  <c r="L51" i="11" s="1"/>
  <c r="K283" i="11"/>
  <c r="L283" i="11" s="1"/>
  <c r="K139" i="11"/>
  <c r="L139" i="11" s="1"/>
  <c r="K230" i="11"/>
  <c r="L230" i="11" s="1"/>
  <c r="K49" i="11"/>
  <c r="L49" i="11" s="1"/>
  <c r="K292" i="11"/>
  <c r="L292" i="11" s="1"/>
  <c r="K19" i="11"/>
  <c r="L19" i="11" s="1"/>
  <c r="K179" i="11"/>
  <c r="L179" i="11" s="1"/>
  <c r="K33" i="11"/>
  <c r="L33" i="11" s="1"/>
  <c r="K59" i="11"/>
  <c r="L59" i="11" s="1"/>
  <c r="K160" i="11"/>
  <c r="L160" i="11" s="1"/>
  <c r="K184" i="11"/>
  <c r="L184" i="11" s="1"/>
  <c r="K128" i="11"/>
  <c r="L128" i="11" s="1"/>
  <c r="K125" i="11"/>
  <c r="L125" i="11" s="1"/>
  <c r="K41" i="11"/>
  <c r="L41" i="11" s="1"/>
  <c r="K185" i="11"/>
  <c r="L185" i="11" s="1"/>
  <c r="K241" i="11"/>
  <c r="L241" i="11" s="1"/>
  <c r="K89" i="11"/>
  <c r="L89" i="11" s="1"/>
  <c r="K111" i="11"/>
  <c r="L111" i="11" s="1"/>
  <c r="K50" i="11"/>
  <c r="L50" i="11" s="1"/>
  <c r="K281" i="11"/>
  <c r="L281" i="11" s="1"/>
  <c r="K196" i="11"/>
  <c r="L196" i="11" s="1"/>
  <c r="K275" i="11"/>
  <c r="L275" i="11" s="1"/>
  <c r="K223" i="11"/>
  <c r="L223" i="11" s="1"/>
  <c r="K303" i="11"/>
  <c r="L303" i="11" s="1"/>
  <c r="K72" i="11"/>
  <c r="L72" i="11" s="1"/>
  <c r="K75" i="11"/>
  <c r="L75" i="11" s="1"/>
  <c r="K233" i="11"/>
  <c r="L233" i="11" s="1"/>
  <c r="K96" i="11"/>
  <c r="L96" i="11" s="1"/>
  <c r="K109" i="11"/>
  <c r="L109" i="11" s="1"/>
  <c r="K38" i="11"/>
  <c r="L38" i="11" s="1"/>
  <c r="K194" i="11"/>
  <c r="L194" i="11" s="1"/>
  <c r="K299" i="11"/>
  <c r="L299" i="11" s="1"/>
  <c r="K254" i="11"/>
  <c r="L254" i="11" s="1"/>
  <c r="K225" i="11"/>
  <c r="L225" i="11" s="1"/>
  <c r="K272" i="11"/>
  <c r="L272" i="11" s="1"/>
  <c r="K244" i="11"/>
  <c r="L244" i="11" s="1"/>
  <c r="K164" i="11"/>
  <c r="L164" i="11" s="1"/>
  <c r="K97" i="11"/>
  <c r="L97" i="11" s="1"/>
  <c r="K107" i="11"/>
  <c r="L107" i="11" s="1"/>
  <c r="K85" i="11"/>
  <c r="L85" i="11" s="1"/>
  <c r="K187" i="11"/>
  <c r="L187" i="11" s="1"/>
  <c r="K304" i="11"/>
  <c r="L304" i="11" s="1"/>
  <c r="K263" i="11"/>
  <c r="L263" i="11" s="1"/>
  <c r="K142" i="11"/>
  <c r="L142" i="11" s="1"/>
  <c r="K8" i="11"/>
  <c r="L8" i="11" s="1"/>
  <c r="K156" i="11"/>
  <c r="L156" i="11" s="1"/>
  <c r="K235" i="11"/>
  <c r="L235" i="11" s="1"/>
  <c r="K100" i="11"/>
  <c r="L100" i="11" s="1"/>
  <c r="K32" i="11"/>
  <c r="L32" i="11" s="1"/>
  <c r="K268" i="11"/>
  <c r="L268" i="11" s="1"/>
  <c r="K101" i="11"/>
  <c r="L101" i="11" s="1"/>
  <c r="K222" i="11"/>
  <c r="L222" i="11" s="1"/>
  <c r="K216" i="11"/>
  <c r="L216" i="11" s="1"/>
  <c r="K231" i="11"/>
  <c r="L231" i="11" s="1"/>
  <c r="K204" i="11"/>
  <c r="L204" i="11" s="1"/>
  <c r="K47" i="11"/>
  <c r="L47" i="11" s="1"/>
  <c r="K293" i="11"/>
  <c r="L293" i="11" s="1"/>
  <c r="K166" i="11"/>
  <c r="L166" i="11" s="1"/>
  <c r="K79" i="11"/>
  <c r="L79" i="11" s="1"/>
  <c r="K28" i="11"/>
  <c r="L28" i="11" s="1"/>
  <c r="K73" i="11"/>
  <c r="L73" i="11" s="1"/>
  <c r="K217" i="11"/>
  <c r="L217" i="11" s="1"/>
  <c r="K124" i="11"/>
  <c r="L124" i="11" s="1"/>
  <c r="K84" i="11"/>
  <c r="L84" i="11" s="1"/>
  <c r="K240" i="11"/>
  <c r="L240" i="11" s="1"/>
  <c r="K251" i="11"/>
  <c r="L251" i="11" s="1"/>
  <c r="K154" i="11"/>
  <c r="L154" i="11" s="1"/>
  <c r="K91" i="11"/>
  <c r="L91" i="11" s="1"/>
  <c r="K148" i="11"/>
  <c r="L148" i="11" s="1"/>
  <c r="K119" i="11"/>
  <c r="L119" i="11" s="1"/>
  <c r="K16" i="11"/>
  <c r="L16" i="11" s="1"/>
  <c r="K288" i="11"/>
  <c r="L288" i="11" s="1"/>
  <c r="K219" i="11"/>
  <c r="L219" i="11" s="1"/>
  <c r="K106" i="11"/>
  <c r="L106" i="11" s="1"/>
  <c r="K301" i="11"/>
  <c r="L301" i="11" s="1"/>
  <c r="K247" i="11"/>
  <c r="L247" i="11" s="1"/>
  <c r="K130" i="11"/>
  <c r="L130" i="11" s="1"/>
  <c r="K236" i="11"/>
  <c r="L236" i="11" s="1"/>
  <c r="K86" i="11"/>
  <c r="L86" i="11" s="1"/>
  <c r="K74" i="11"/>
  <c r="L74" i="11" s="1"/>
  <c r="K290" i="11"/>
  <c r="L290" i="11" s="1"/>
  <c r="K40" i="11"/>
  <c r="L40" i="11" s="1"/>
  <c r="K138" i="11"/>
  <c r="L138" i="11" s="1"/>
  <c r="K46" i="11"/>
  <c r="L46" i="11" s="1"/>
  <c r="K297" i="11"/>
  <c r="L297" i="11" s="1"/>
  <c r="K270" i="11"/>
  <c r="L270" i="11" s="1"/>
  <c r="K10" i="11"/>
  <c r="L10" i="11" s="1"/>
  <c r="K162" i="11"/>
  <c r="L162" i="11" s="1"/>
  <c r="K114" i="11"/>
  <c r="L114" i="11" s="1"/>
  <c r="K42" i="11"/>
  <c r="L42" i="11" s="1"/>
  <c r="K278" i="11"/>
  <c r="L278" i="11" s="1"/>
  <c r="K70" i="11"/>
  <c r="L70" i="11" s="1"/>
  <c r="K126" i="11"/>
  <c r="L126" i="11" s="1"/>
  <c r="K267" i="11"/>
  <c r="L267" i="11" s="1"/>
  <c r="K245" i="11"/>
  <c r="L245" i="11" s="1"/>
  <c r="K123" i="11"/>
  <c r="L123" i="11" s="1"/>
  <c r="K45" i="11"/>
  <c r="L45" i="11" s="1"/>
  <c r="K215" i="11"/>
  <c r="L215" i="11" s="1"/>
  <c r="K298" i="11"/>
  <c r="L298" i="11" s="1"/>
  <c r="K209" i="11"/>
  <c r="L209" i="11" s="1"/>
  <c r="K78" i="11"/>
  <c r="L78" i="11" s="1"/>
  <c r="K300" i="11"/>
  <c r="L300" i="11" s="1"/>
  <c r="K287" i="11"/>
  <c r="L287" i="11" s="1"/>
  <c r="K178" i="11"/>
  <c r="L178" i="11" s="1"/>
  <c r="K118" i="11"/>
  <c r="L118" i="11" s="1"/>
  <c r="K24" i="11"/>
  <c r="L24" i="11" s="1"/>
  <c r="K71" i="11"/>
  <c r="L71" i="11" s="1"/>
  <c r="K221" i="11"/>
  <c r="L221" i="11" s="1"/>
  <c r="K26" i="11"/>
  <c r="L26" i="11" s="1"/>
  <c r="K279" i="11"/>
  <c r="L279" i="11" s="1"/>
  <c r="K66" i="11"/>
  <c r="L66" i="11" s="1"/>
  <c r="K224" i="11"/>
  <c r="L224" i="11" s="1"/>
  <c r="K282" i="11"/>
  <c r="L282" i="11" s="1"/>
  <c r="K99" i="11"/>
  <c r="L99" i="11" s="1"/>
  <c r="K257" i="11"/>
  <c r="L257" i="11" s="1"/>
  <c r="K56" i="11"/>
  <c r="L56" i="11" s="1"/>
  <c r="K58" i="11"/>
  <c r="L58" i="11" s="1"/>
  <c r="K64" i="11"/>
  <c r="L64" i="11" s="1"/>
  <c r="K53" i="11"/>
  <c r="L53" i="11" s="1"/>
  <c r="K147" i="11"/>
  <c r="L147" i="11" s="1"/>
  <c r="K17" i="11"/>
  <c r="L17" i="11" s="1"/>
  <c r="K36" i="11"/>
  <c r="L36" i="11" s="1"/>
  <c r="K273" i="11"/>
  <c r="L273" i="11" s="1"/>
  <c r="K105" i="11"/>
  <c r="L105" i="11" s="1"/>
  <c r="K198" i="11"/>
  <c r="L198" i="11" s="1"/>
  <c r="K253" i="11"/>
  <c r="L253" i="11" s="1"/>
  <c r="K80" i="11"/>
  <c r="L80" i="11" s="1"/>
  <c r="K258" i="11"/>
  <c r="L258" i="11" s="1"/>
  <c r="K256" i="11"/>
  <c r="L256" i="11" s="1"/>
  <c r="K227" i="11"/>
  <c r="L227" i="11" s="1"/>
  <c r="K18" i="11"/>
  <c r="L18" i="11" s="1"/>
  <c r="K277" i="11"/>
  <c r="L277" i="11" s="1"/>
  <c r="K286" i="11"/>
  <c r="L286" i="11" s="1"/>
  <c r="K266" i="11"/>
  <c r="L266" i="11" s="1"/>
  <c r="K54" i="11"/>
  <c r="L54" i="11" s="1"/>
  <c r="K150" i="11"/>
  <c r="L150" i="11" s="1"/>
  <c r="K76" i="11"/>
  <c r="L76" i="11" s="1"/>
  <c r="K37" i="11"/>
  <c r="L37" i="11" s="1"/>
  <c r="K12" i="11"/>
  <c r="L12" i="11" s="1"/>
  <c r="K29" i="11"/>
  <c r="L29" i="11" s="1"/>
  <c r="K90" i="11"/>
  <c r="L90" i="11" s="1"/>
  <c r="K9" i="11"/>
  <c r="L9" i="11" s="1"/>
  <c r="K237" i="11"/>
  <c r="L237" i="11" s="1"/>
  <c r="K169" i="11"/>
  <c r="L169" i="11" s="1"/>
  <c r="K68" i="11"/>
  <c r="L68" i="11" s="1"/>
  <c r="K180" i="11"/>
  <c r="L180" i="11" s="1"/>
  <c r="K93" i="11"/>
  <c r="L93" i="11" s="1"/>
  <c r="K98" i="11"/>
  <c r="L98" i="11" s="1"/>
  <c r="K206" i="11"/>
  <c r="L206" i="11" s="1"/>
  <c r="K108" i="11"/>
  <c r="L108" i="11" s="1"/>
  <c r="K259" i="11"/>
  <c r="L259" i="11" s="1"/>
  <c r="K146" i="11"/>
  <c r="L146" i="11" s="1"/>
  <c r="K87" i="11"/>
  <c r="L87" i="11" s="1"/>
  <c r="K255" i="11"/>
  <c r="L255" i="11" s="1"/>
  <c r="K188" i="11"/>
  <c r="L188" i="11" s="1"/>
  <c r="K172" i="11"/>
  <c r="L172" i="11" s="1"/>
  <c r="K285" i="11"/>
  <c r="L285" i="11" s="1"/>
  <c r="K23" i="11"/>
  <c r="L23" i="11" s="1"/>
  <c r="K134" i="11"/>
  <c r="L134" i="11" s="1"/>
  <c r="K280" i="11"/>
  <c r="L280" i="11" s="1"/>
  <c r="K202" i="11"/>
  <c r="L202" i="11" s="1"/>
  <c r="K274" i="11"/>
  <c r="L274" i="11" s="1"/>
  <c r="K77" i="11"/>
  <c r="L77" i="11" s="1"/>
  <c r="K104" i="11"/>
  <c r="L104" i="11" s="1"/>
  <c r="K170" i="11"/>
  <c r="L170" i="11" s="1"/>
  <c r="K212" i="11"/>
  <c r="L212" i="11" s="1"/>
  <c r="K242" i="11"/>
  <c r="L242" i="11" s="1"/>
  <c r="K186" i="11"/>
  <c r="L186" i="11" s="1"/>
  <c r="K92" i="11"/>
  <c r="L92" i="11" s="1"/>
  <c r="K214" i="11"/>
  <c r="L214" i="11" s="1"/>
  <c r="K61" i="11"/>
  <c r="L61" i="11" s="1"/>
  <c r="K83" i="11"/>
  <c r="L83" i="11" s="1"/>
  <c r="K305" i="11"/>
  <c r="L305" i="11" s="1"/>
  <c r="K88" i="11"/>
  <c r="L88" i="11" s="1"/>
  <c r="K63" i="11"/>
  <c r="L63" i="11" s="1"/>
  <c r="K55" i="11"/>
  <c r="L55" i="11" s="1"/>
  <c r="K82" i="11"/>
  <c r="L82" i="11" s="1"/>
  <c r="K62" i="11"/>
  <c r="L62" i="11" s="1"/>
  <c r="K260" i="11"/>
  <c r="L260" i="11" s="1"/>
  <c r="K121" i="11"/>
  <c r="L121" i="11" s="1"/>
  <c r="K243" i="11"/>
  <c r="L243" i="11" s="1"/>
  <c r="K265" i="11"/>
  <c r="L265" i="11" s="1"/>
  <c r="K103" i="11"/>
  <c r="L103" i="11" s="1"/>
  <c r="K167" i="11"/>
  <c r="L167" i="11" s="1"/>
  <c r="K182" i="11"/>
  <c r="L182" i="11" s="1"/>
  <c r="K229" i="11"/>
  <c r="L229" i="11" s="1"/>
  <c r="K117" i="11"/>
  <c r="L117" i="11" s="1"/>
  <c r="K31" i="11"/>
  <c r="L31" i="11" s="1"/>
  <c r="K239" i="11"/>
  <c r="L239" i="11" s="1"/>
  <c r="K14" i="11"/>
  <c r="L14" i="11" s="1"/>
  <c r="K208" i="11"/>
  <c r="L208" i="11" s="1"/>
  <c r="K295" i="11"/>
  <c r="L295" i="11" s="1"/>
  <c r="K213" i="11"/>
  <c r="L213" i="11" s="1"/>
  <c r="K30" i="11"/>
  <c r="L30" i="11" s="1"/>
  <c r="K190" i="11"/>
  <c r="L190" i="11" s="1"/>
  <c r="K151" i="11"/>
  <c r="L151" i="11" s="1"/>
  <c r="K302" i="11"/>
  <c r="L302" i="11" s="1"/>
  <c r="K132" i="11"/>
  <c r="L132" i="11" s="1"/>
  <c r="K39" i="11"/>
  <c r="L39" i="11" s="1"/>
  <c r="K249" i="11"/>
  <c r="L249" i="11" s="1"/>
  <c r="K289" i="11"/>
  <c r="L289" i="11" s="1"/>
  <c r="K48" i="11"/>
  <c r="L48" i="11" s="1"/>
  <c r="K174" i="11"/>
  <c r="L174" i="11" s="1"/>
  <c r="K248" i="11"/>
  <c r="L248" i="11" s="1"/>
  <c r="K44" i="11"/>
  <c r="L44" i="11" s="1"/>
  <c r="K264" i="11"/>
  <c r="L264" i="11" s="1"/>
  <c r="K94" i="11"/>
  <c r="L94" i="11" s="1"/>
  <c r="K60" i="11"/>
  <c r="L60" i="11" s="1"/>
  <c r="K116" i="11"/>
  <c r="L116" i="11" s="1"/>
  <c r="K34" i="11"/>
  <c r="L34" i="11" s="1"/>
  <c r="K159" i="11"/>
  <c r="L159" i="11" s="1"/>
  <c r="K65" i="11"/>
  <c r="L65" i="11" s="1"/>
  <c r="K158" i="11"/>
  <c r="L158" i="11" s="1"/>
  <c r="K67" i="11"/>
  <c r="L67" i="11" s="1"/>
  <c r="K252" i="11"/>
  <c r="L252" i="11" s="1"/>
  <c r="K210" i="11"/>
  <c r="L210" i="11" s="1"/>
  <c r="K269" i="11"/>
  <c r="L269" i="11" s="1"/>
  <c r="K262" i="11"/>
  <c r="L262" i="11" s="1"/>
  <c r="K122" i="11"/>
  <c r="L122" i="11" s="1"/>
  <c r="K7" i="11"/>
  <c r="L7" i="11" s="1"/>
  <c r="K20" i="11"/>
  <c r="L20" i="11" s="1"/>
  <c r="K140" i="11"/>
  <c r="L140" i="11" s="1"/>
  <c r="K52" i="11"/>
  <c r="L52" i="11" s="1"/>
  <c r="K22" i="11"/>
  <c r="L22" i="11" s="1"/>
  <c r="K81" i="11"/>
  <c r="L81" i="11" s="1"/>
  <c r="K69" i="11"/>
  <c r="L69" i="11" s="1"/>
  <c r="K155" i="11"/>
  <c r="L155" i="11" s="1"/>
  <c r="K232" i="11"/>
  <c r="L232" i="11" s="1"/>
  <c r="K220" i="11"/>
  <c r="L220" i="11" s="1"/>
  <c r="K95" i="11"/>
  <c r="L95" i="11" s="1"/>
  <c r="K271" i="11"/>
  <c r="L271" i="11" s="1"/>
  <c r="K113" i="11"/>
  <c r="L113" i="11" s="1"/>
  <c r="K21" i="11"/>
  <c r="L21" i="11" s="1"/>
  <c r="K120" i="11"/>
  <c r="L120" i="11" s="1"/>
  <c r="K261" i="11"/>
  <c r="L261" i="11" s="1"/>
  <c r="K137" i="11"/>
  <c r="L137" i="11" s="1"/>
  <c r="K143" i="11"/>
  <c r="L143" i="11" s="1"/>
  <c r="K175" i="11"/>
  <c r="L175" i="11" s="1"/>
  <c r="K228" i="11"/>
  <c r="L228" i="11" s="1"/>
  <c r="M6" i="42"/>
  <c r="T6" i="42" l="1"/>
  <c r="C306" i="49"/>
  <c r="B6" i="49"/>
  <c r="A6" i="49"/>
  <c r="B306" i="49" l="1"/>
  <c r="C33" i="40" l="1"/>
  <c r="B6" i="13"/>
  <c r="A6" i="13"/>
  <c r="B6" i="39"/>
  <c r="A6" i="39"/>
  <c r="B6" i="12"/>
  <c r="A6" i="12"/>
  <c r="J306" i="11"/>
  <c r="D12" i="34"/>
  <c r="B12" i="34"/>
  <c r="A12" i="34"/>
  <c r="C6" i="37"/>
  <c r="B6" i="37"/>
  <c r="A6" i="37"/>
  <c r="C9" i="36"/>
  <c r="B9" i="36"/>
  <c r="A9" i="36"/>
  <c r="B12" i="9"/>
  <c r="A12" i="9"/>
  <c r="E15" i="48" l="1"/>
  <c r="E14" i="48"/>
  <c r="F15" i="48" s="1"/>
  <c r="D312" i="34"/>
  <c r="B306" i="37"/>
  <c r="C306" i="37"/>
  <c r="C309" i="36"/>
  <c r="B309" i="36"/>
  <c r="B306" i="12"/>
  <c r="B306" i="39"/>
  <c r="B306" i="13"/>
  <c r="B312" i="34"/>
  <c r="B312" i="9"/>
  <c r="G4" i="33" l="1"/>
  <c r="G5" i="33"/>
  <c r="B6" i="33" l="1"/>
  <c r="A6" i="33"/>
  <c r="B6" i="19"/>
  <c r="A6" i="19"/>
  <c r="R306" i="42"/>
  <c r="Q306" i="42"/>
  <c r="P306" i="42"/>
  <c r="O306" i="42"/>
  <c r="B306" i="42"/>
  <c r="F9" i="48" l="1"/>
  <c r="P312" i="19"/>
  <c r="B306" i="19"/>
  <c r="B306" i="33"/>
  <c r="E5" i="37" l="1"/>
  <c r="E8" i="36"/>
  <c r="D33" i="40"/>
  <c r="F8" i="36" s="1"/>
  <c r="E33" i="40"/>
  <c r="G8" i="36" s="1"/>
  <c r="F33" i="40"/>
  <c r="H8" i="36" s="1"/>
  <c r="G33" i="40"/>
  <c r="I8" i="36" s="1"/>
  <c r="H33" i="40"/>
  <c r="J8" i="36" s="1"/>
  <c r="D8" i="36"/>
  <c r="K306" i="19" l="1"/>
  <c r="C6" i="19"/>
  <c r="H6" i="19"/>
  <c r="I6" i="19"/>
  <c r="J6" i="19"/>
  <c r="E5" i="36"/>
  <c r="G5" i="36"/>
  <c r="I5" i="36"/>
  <c r="H5" i="36"/>
  <c r="G6" i="36"/>
  <c r="D5" i="36"/>
  <c r="D6" i="36"/>
  <c r="E6" i="36"/>
  <c r="F5" i="36"/>
  <c r="F6" i="36"/>
  <c r="H6" i="36"/>
  <c r="J5" i="36"/>
  <c r="I6" i="36"/>
  <c r="I23" i="36" l="1"/>
  <c r="I27" i="36"/>
  <c r="I31" i="36"/>
  <c r="I44" i="36"/>
  <c r="I47" i="36"/>
  <c r="I49" i="36"/>
  <c r="I52" i="36"/>
  <c r="I53" i="36"/>
  <c r="I56" i="36"/>
  <c r="I65" i="36"/>
  <c r="I66" i="36"/>
  <c r="I81" i="36"/>
  <c r="I82" i="36"/>
  <c r="I92" i="36"/>
  <c r="I19" i="36"/>
  <c r="I24" i="36"/>
  <c r="I28" i="36"/>
  <c r="I32" i="36"/>
  <c r="I48" i="36"/>
  <c r="I69" i="36"/>
  <c r="I70" i="36"/>
  <c r="I85" i="36"/>
  <c r="I86" i="36"/>
  <c r="I15" i="36"/>
  <c r="I40" i="36"/>
  <c r="I78" i="36"/>
  <c r="I103" i="36"/>
  <c r="I116" i="36"/>
  <c r="I120" i="36"/>
  <c r="I124" i="36"/>
  <c r="I128" i="36"/>
  <c r="I132" i="36"/>
  <c r="I136" i="36"/>
  <c r="I140" i="36"/>
  <c r="I20" i="36"/>
  <c r="I61" i="36"/>
  <c r="I73" i="36"/>
  <c r="I89" i="36"/>
  <c r="I98" i="36"/>
  <c r="I106" i="36"/>
  <c r="I108" i="36"/>
  <c r="I119" i="36"/>
  <c r="I173" i="36"/>
  <c r="I177" i="36"/>
  <c r="I187" i="36"/>
  <c r="I192" i="36"/>
  <c r="I207" i="36"/>
  <c r="I210" i="36"/>
  <c r="I230" i="36"/>
  <c r="I241" i="36"/>
  <c r="I246" i="36"/>
  <c r="I254" i="36"/>
  <c r="I255" i="36"/>
  <c r="I11" i="36"/>
  <c r="I57" i="36"/>
  <c r="I62" i="36"/>
  <c r="I94" i="36"/>
  <c r="I99" i="36"/>
  <c r="I107" i="36"/>
  <c r="I111" i="36"/>
  <c r="I112" i="36"/>
  <c r="I114" i="36"/>
  <c r="I12" i="36"/>
  <c r="I16" i="36"/>
  <c r="I36" i="36"/>
  <c r="I45" i="36"/>
  <c r="I74" i="36"/>
  <c r="I77" i="36"/>
  <c r="I95" i="36"/>
  <c r="I102" i="36"/>
  <c r="I104" i="36"/>
  <c r="I115" i="36"/>
  <c r="I121" i="36"/>
  <c r="I125" i="36"/>
  <c r="I129" i="36"/>
  <c r="I133" i="36"/>
  <c r="I137" i="36"/>
  <c r="I141" i="36"/>
  <c r="I145" i="36"/>
  <c r="I149" i="36"/>
  <c r="I153" i="36"/>
  <c r="I157" i="36"/>
  <c r="I161" i="36"/>
  <c r="I164" i="36"/>
  <c r="I168" i="36"/>
  <c r="I179" i="36"/>
  <c r="I184" i="36"/>
  <c r="I195" i="36"/>
  <c r="I215" i="36"/>
  <c r="I219" i="36"/>
  <c r="I222" i="36"/>
  <c r="I233" i="36"/>
  <c r="I238" i="36"/>
  <c r="I249" i="36"/>
  <c r="I260" i="36"/>
  <c r="I264" i="36"/>
  <c r="I268" i="36"/>
  <c r="I272" i="36"/>
  <c r="I276" i="36"/>
  <c r="I280" i="36"/>
  <c r="I284" i="36"/>
  <c r="I288" i="36"/>
  <c r="I292" i="36"/>
  <c r="I296" i="36"/>
  <c r="I300" i="36"/>
  <c r="I304" i="36"/>
  <c r="I308" i="36"/>
  <c r="I172" i="36"/>
  <c r="I188" i="36"/>
  <c r="I214" i="36"/>
  <c r="I234" i="36"/>
  <c r="I253" i="36"/>
  <c r="I148" i="36"/>
  <c r="I156" i="36"/>
  <c r="I169" i="36"/>
  <c r="I180" i="36"/>
  <c r="I200" i="36"/>
  <c r="I206" i="36"/>
  <c r="I211" i="36"/>
  <c r="I226" i="36"/>
  <c r="I245" i="36"/>
  <c r="I261" i="36"/>
  <c r="I269" i="36"/>
  <c r="I277" i="36"/>
  <c r="I285" i="36"/>
  <c r="I293" i="36"/>
  <c r="I301" i="36"/>
  <c r="I176" i="36"/>
  <c r="I191" i="36"/>
  <c r="I201" i="36"/>
  <c r="I203" i="36"/>
  <c r="I218" i="36"/>
  <c r="I223" i="36"/>
  <c r="I237" i="36"/>
  <c r="I250" i="36"/>
  <c r="I251" i="36"/>
  <c r="I144" i="36"/>
  <c r="I152" i="36"/>
  <c r="I160" i="36"/>
  <c r="I165" i="36"/>
  <c r="I183" i="36"/>
  <c r="I196" i="36"/>
  <c r="I229" i="36"/>
  <c r="I242" i="36"/>
  <c r="I258" i="36"/>
  <c r="I265" i="36"/>
  <c r="I273" i="36"/>
  <c r="I281" i="36"/>
  <c r="I289" i="36"/>
  <c r="I297" i="36"/>
  <c r="I305" i="36"/>
  <c r="I193" i="36"/>
  <c r="I306" i="36"/>
  <c r="I302" i="36"/>
  <c r="I298" i="36"/>
  <c r="I294" i="36"/>
  <c r="I290" i="36"/>
  <c r="I286" i="36"/>
  <c r="I282" i="36"/>
  <c r="I278" i="36"/>
  <c r="I274" i="36"/>
  <c r="I270" i="36"/>
  <c r="I266" i="36"/>
  <c r="I262" i="36"/>
  <c r="I240" i="36"/>
  <c r="I224" i="36"/>
  <c r="I216" i="36"/>
  <c r="I208" i="36"/>
  <c r="I194" i="36"/>
  <c r="I178" i="36"/>
  <c r="I162" i="36"/>
  <c r="I154" i="36"/>
  <c r="I138" i="36"/>
  <c r="I122" i="36"/>
  <c r="I117" i="36"/>
  <c r="I83" i="36"/>
  <c r="I79" i="36"/>
  <c r="I75" i="36"/>
  <c r="I71" i="36"/>
  <c r="I67" i="36"/>
  <c r="I63" i="36"/>
  <c r="I37" i="36"/>
  <c r="I51" i="36"/>
  <c r="I41" i="36"/>
  <c r="I13" i="36"/>
  <c r="I50" i="36"/>
  <c r="I25" i="36"/>
  <c r="I46" i="36"/>
  <c r="I21" i="36"/>
  <c r="I205" i="36"/>
  <c r="I197" i="36"/>
  <c r="I181" i="36"/>
  <c r="I247" i="36"/>
  <c r="I239" i="36"/>
  <c r="I231" i="36"/>
  <c r="I213" i="36"/>
  <c r="I202" i="36"/>
  <c r="I159" i="36"/>
  <c r="I236" i="36"/>
  <c r="I163" i="36"/>
  <c r="I88" i="36"/>
  <c r="I190" i="36"/>
  <c r="I166" i="36"/>
  <c r="I150" i="36"/>
  <c r="I134" i="36"/>
  <c r="I151" i="36"/>
  <c r="I143" i="36"/>
  <c r="I135" i="36"/>
  <c r="I127" i="36"/>
  <c r="I87" i="36"/>
  <c r="I100" i="36"/>
  <c r="I91" i="36"/>
  <c r="I90" i="36"/>
  <c r="I84" i="36"/>
  <c r="I76" i="36"/>
  <c r="I68" i="36"/>
  <c r="I60" i="36"/>
  <c r="I17" i="36"/>
  <c r="I29" i="36"/>
  <c r="I43" i="36"/>
  <c r="I42" i="36"/>
  <c r="I30" i="36"/>
  <c r="I22" i="36"/>
  <c r="I14" i="36"/>
  <c r="I221" i="36"/>
  <c r="I185" i="36"/>
  <c r="I171" i="36"/>
  <c r="I256" i="36"/>
  <c r="I217" i="36"/>
  <c r="I307" i="36"/>
  <c r="I303" i="36"/>
  <c r="I299" i="36"/>
  <c r="I295" i="36"/>
  <c r="I291" i="36"/>
  <c r="I287" i="36"/>
  <c r="I283" i="36"/>
  <c r="I279" i="36"/>
  <c r="I275" i="36"/>
  <c r="I271" i="36"/>
  <c r="I267" i="36"/>
  <c r="I263" i="36"/>
  <c r="I259" i="36"/>
  <c r="I252" i="36"/>
  <c r="I175" i="36"/>
  <c r="I248" i="36"/>
  <c r="I232" i="36"/>
  <c r="I220" i="36"/>
  <c r="I212" i="36"/>
  <c r="I204" i="36"/>
  <c r="I113" i="36"/>
  <c r="I186" i="36"/>
  <c r="I170" i="36"/>
  <c r="I146" i="36"/>
  <c r="I130" i="36"/>
  <c r="I105" i="36"/>
  <c r="I96" i="36"/>
  <c r="I54" i="36"/>
  <c r="I58" i="36"/>
  <c r="I55" i="36"/>
  <c r="I59" i="36"/>
  <c r="I39" i="36"/>
  <c r="I38" i="36"/>
  <c r="I10" i="36"/>
  <c r="I199" i="36"/>
  <c r="I189" i="36"/>
  <c r="I243" i="36"/>
  <c r="I235" i="36"/>
  <c r="I227" i="36"/>
  <c r="I257" i="36"/>
  <c r="I225" i="36"/>
  <c r="I209" i="36"/>
  <c r="I244" i="36"/>
  <c r="I228" i="36"/>
  <c r="I167" i="36"/>
  <c r="I101" i="36"/>
  <c r="I97" i="36"/>
  <c r="I93" i="36"/>
  <c r="I198" i="36"/>
  <c r="I182" i="36"/>
  <c r="I174" i="36"/>
  <c r="I158" i="36"/>
  <c r="I142" i="36"/>
  <c r="I126" i="36"/>
  <c r="I118" i="36"/>
  <c r="I109" i="36"/>
  <c r="I155" i="36"/>
  <c r="I147" i="36"/>
  <c r="I139" i="36"/>
  <c r="I131" i="36"/>
  <c r="I123" i="36"/>
  <c r="I110" i="36"/>
  <c r="I80" i="36"/>
  <c r="I72" i="36"/>
  <c r="I64" i="36"/>
  <c r="I33" i="36"/>
  <c r="I35" i="36"/>
  <c r="I34" i="36"/>
  <c r="I26" i="36"/>
  <c r="I18" i="36"/>
  <c r="F11" i="36"/>
  <c r="F16" i="36"/>
  <c r="F40" i="36"/>
  <c r="F42" i="36"/>
  <c r="F61" i="36"/>
  <c r="F63" i="36"/>
  <c r="F74" i="36"/>
  <c r="F77" i="36"/>
  <c r="F79" i="36"/>
  <c r="F12" i="36"/>
  <c r="F44" i="36"/>
  <c r="F50" i="36"/>
  <c r="F52" i="36"/>
  <c r="F56" i="36"/>
  <c r="F62" i="36"/>
  <c r="F65" i="36"/>
  <c r="F67" i="36"/>
  <c r="F78" i="36"/>
  <c r="F81" i="36"/>
  <c r="F83" i="36"/>
  <c r="F20" i="36"/>
  <c r="F32" i="36"/>
  <c r="F38" i="36"/>
  <c r="F66" i="36"/>
  <c r="F73" i="36"/>
  <c r="F75" i="36"/>
  <c r="F85" i="36"/>
  <c r="F89" i="36"/>
  <c r="F95" i="36"/>
  <c r="F96" i="36"/>
  <c r="F105" i="36"/>
  <c r="F112" i="36"/>
  <c r="F115" i="36"/>
  <c r="F122" i="36"/>
  <c r="F126" i="36"/>
  <c r="F130" i="36"/>
  <c r="F134" i="36"/>
  <c r="F138" i="36"/>
  <c r="F34" i="36"/>
  <c r="F48" i="36"/>
  <c r="F70" i="36"/>
  <c r="F103" i="36"/>
  <c r="F124" i="36"/>
  <c r="F128" i="36"/>
  <c r="F132" i="36"/>
  <c r="F136" i="36"/>
  <c r="F140" i="36"/>
  <c r="F144" i="36"/>
  <c r="F148" i="36"/>
  <c r="F152" i="36"/>
  <c r="F156" i="36"/>
  <c r="F160" i="36"/>
  <c r="F180" i="36"/>
  <c r="F182" i="36"/>
  <c r="F196" i="36"/>
  <c r="F198" i="36"/>
  <c r="F200" i="36"/>
  <c r="F212" i="36"/>
  <c r="F214" i="36"/>
  <c r="F218" i="36"/>
  <c r="F234" i="36"/>
  <c r="F236" i="36"/>
  <c r="F250" i="36"/>
  <c r="F261" i="36"/>
  <c r="F262" i="36"/>
  <c r="F265" i="36"/>
  <c r="F266" i="36"/>
  <c r="F269" i="36"/>
  <c r="F270" i="36"/>
  <c r="F273" i="36"/>
  <c r="F274" i="36"/>
  <c r="F277" i="36"/>
  <c r="F278" i="36"/>
  <c r="F281" i="36"/>
  <c r="F282" i="36"/>
  <c r="F285" i="36"/>
  <c r="F286" i="36"/>
  <c r="F289" i="36"/>
  <c r="F290" i="36"/>
  <c r="F293" i="36"/>
  <c r="F294" i="36"/>
  <c r="F297" i="36"/>
  <c r="F298" i="36"/>
  <c r="F301" i="36"/>
  <c r="F302" i="36"/>
  <c r="F305" i="36"/>
  <c r="F306" i="36"/>
  <c r="F30" i="36"/>
  <c r="F36" i="36"/>
  <c r="F53" i="36"/>
  <c r="F69" i="36"/>
  <c r="F71" i="36"/>
  <c r="F82" i="36"/>
  <c r="F109" i="36"/>
  <c r="F119" i="36"/>
  <c r="F24" i="36"/>
  <c r="F28" i="36"/>
  <c r="F46" i="36"/>
  <c r="F49" i="36"/>
  <c r="F86" i="36"/>
  <c r="F99" i="36"/>
  <c r="F100" i="36"/>
  <c r="F107" i="36"/>
  <c r="F108" i="36"/>
  <c r="F111" i="36"/>
  <c r="F166" i="36"/>
  <c r="F170" i="36"/>
  <c r="F172" i="36"/>
  <c r="F176" i="36"/>
  <c r="F188" i="36"/>
  <c r="F190" i="36"/>
  <c r="F204" i="36"/>
  <c r="F206" i="36"/>
  <c r="F224" i="36"/>
  <c r="F226" i="36"/>
  <c r="F228" i="36"/>
  <c r="F242" i="36"/>
  <c r="F244" i="36"/>
  <c r="F255" i="36"/>
  <c r="F256" i="36"/>
  <c r="F258" i="36"/>
  <c r="F164" i="36"/>
  <c r="F174" i="36"/>
  <c r="F184" i="36"/>
  <c r="F194" i="36"/>
  <c r="F216" i="36"/>
  <c r="F230" i="36"/>
  <c r="F240" i="36"/>
  <c r="F142" i="36"/>
  <c r="F150" i="36"/>
  <c r="F158" i="36"/>
  <c r="F186" i="36"/>
  <c r="F201" i="36"/>
  <c r="F208" i="36"/>
  <c r="F232" i="36"/>
  <c r="F254" i="36"/>
  <c r="F168" i="36"/>
  <c r="F178" i="36"/>
  <c r="F210" i="36"/>
  <c r="F220" i="36"/>
  <c r="F246" i="36"/>
  <c r="F252" i="36"/>
  <c r="F146" i="36"/>
  <c r="F154" i="36"/>
  <c r="F162" i="36"/>
  <c r="F192" i="36"/>
  <c r="F222" i="36"/>
  <c r="F238" i="36"/>
  <c r="F248" i="36"/>
  <c r="F288" i="36"/>
  <c r="F161" i="36"/>
  <c r="F145" i="36"/>
  <c r="F284" i="36"/>
  <c r="F133" i="36"/>
  <c r="F104" i="36"/>
  <c r="F31" i="36"/>
  <c r="F15" i="36"/>
  <c r="F280" i="36"/>
  <c r="F173" i="36"/>
  <c r="F308" i="36"/>
  <c r="F276" i="36"/>
  <c r="F149" i="36"/>
  <c r="F169" i="36"/>
  <c r="F120" i="36"/>
  <c r="F27" i="36"/>
  <c r="F129" i="36"/>
  <c r="F98" i="36"/>
  <c r="F59" i="36"/>
  <c r="F304" i="36"/>
  <c r="F272" i="36"/>
  <c r="F153" i="36"/>
  <c r="F300" i="36"/>
  <c r="F268" i="36"/>
  <c r="F177" i="36"/>
  <c r="F165" i="36"/>
  <c r="F102" i="36"/>
  <c r="F94" i="36"/>
  <c r="F23" i="36"/>
  <c r="F141" i="36"/>
  <c r="F125" i="36"/>
  <c r="F296" i="36"/>
  <c r="F264" i="36"/>
  <c r="F292" i="36"/>
  <c r="F260" i="36"/>
  <c r="F157" i="36"/>
  <c r="F117" i="36"/>
  <c r="F92" i="36"/>
  <c r="F137" i="36"/>
  <c r="F121" i="36"/>
  <c r="F19" i="36"/>
  <c r="F197" i="36"/>
  <c r="F181" i="36"/>
  <c r="F225" i="36"/>
  <c r="F209" i="36"/>
  <c r="F223" i="36"/>
  <c r="F215" i="36"/>
  <c r="F207" i="36"/>
  <c r="F183" i="36"/>
  <c r="F167" i="36"/>
  <c r="F101" i="36"/>
  <c r="F97" i="36"/>
  <c r="F93" i="36"/>
  <c r="F151" i="36"/>
  <c r="F135" i="36"/>
  <c r="F113" i="36"/>
  <c r="F91" i="36"/>
  <c r="F57" i="36"/>
  <c r="F80" i="36"/>
  <c r="F72" i="36"/>
  <c r="F64" i="36"/>
  <c r="F37" i="36"/>
  <c r="F41" i="36"/>
  <c r="F43" i="36"/>
  <c r="F10" i="36"/>
  <c r="F257" i="36"/>
  <c r="F185" i="36"/>
  <c r="F251" i="36"/>
  <c r="F241" i="36"/>
  <c r="F233" i="36"/>
  <c r="F202" i="36"/>
  <c r="F195" i="36"/>
  <c r="F179" i="36"/>
  <c r="F147" i="36"/>
  <c r="F131" i="36"/>
  <c r="F106" i="36"/>
  <c r="F90" i="36"/>
  <c r="F118" i="36"/>
  <c r="F45" i="36"/>
  <c r="F58" i="36"/>
  <c r="F39" i="36"/>
  <c r="F13" i="36"/>
  <c r="F25" i="36"/>
  <c r="F21" i="36"/>
  <c r="F22" i="36"/>
  <c r="F14" i="36"/>
  <c r="F247" i="36"/>
  <c r="F243" i="36"/>
  <c r="F239" i="36"/>
  <c r="F205" i="36"/>
  <c r="F199" i="36"/>
  <c r="F189" i="36"/>
  <c r="F249" i="36"/>
  <c r="F213" i="36"/>
  <c r="F219" i="36"/>
  <c r="F211" i="36"/>
  <c r="F203" i="36"/>
  <c r="F159" i="36"/>
  <c r="F191" i="36"/>
  <c r="F163" i="36"/>
  <c r="F88" i="36"/>
  <c r="F143" i="36"/>
  <c r="F127" i="36"/>
  <c r="F87" i="36"/>
  <c r="F84" i="36"/>
  <c r="F76" i="36"/>
  <c r="F68" i="36"/>
  <c r="F60" i="36"/>
  <c r="F51" i="36"/>
  <c r="F17" i="36"/>
  <c r="F35" i="36"/>
  <c r="F29" i="36"/>
  <c r="F47" i="36"/>
  <c r="F235" i="36"/>
  <c r="F231" i="36"/>
  <c r="F227" i="36"/>
  <c r="F221" i="36"/>
  <c r="F193" i="36"/>
  <c r="F171" i="36"/>
  <c r="F307" i="36"/>
  <c r="F303" i="36"/>
  <c r="F299" i="36"/>
  <c r="F295" i="36"/>
  <c r="F291" i="36"/>
  <c r="F287" i="36"/>
  <c r="F283" i="36"/>
  <c r="F279" i="36"/>
  <c r="F275" i="36"/>
  <c r="F271" i="36"/>
  <c r="F267" i="36"/>
  <c r="F263" i="36"/>
  <c r="F259" i="36"/>
  <c r="F253" i="36"/>
  <c r="F245" i="36"/>
  <c r="F237" i="36"/>
  <c r="F229" i="36"/>
  <c r="F217" i="36"/>
  <c r="F175" i="36"/>
  <c r="F187" i="36"/>
  <c r="F110" i="36"/>
  <c r="F155" i="36"/>
  <c r="F139" i="36"/>
  <c r="F123" i="36"/>
  <c r="F116" i="36"/>
  <c r="F114" i="36"/>
  <c r="F54" i="36"/>
  <c r="F55" i="36"/>
  <c r="F33" i="36"/>
  <c r="F26" i="36"/>
  <c r="F18" i="36"/>
  <c r="E12" i="36"/>
  <c r="E44" i="36"/>
  <c r="E52" i="36"/>
  <c r="E56" i="36"/>
  <c r="E62" i="36"/>
  <c r="E65" i="36"/>
  <c r="E78" i="36"/>
  <c r="E81" i="36"/>
  <c r="E23" i="36"/>
  <c r="E24" i="36"/>
  <c r="E27" i="36"/>
  <c r="E28" i="36"/>
  <c r="E32" i="36"/>
  <c r="E35" i="36"/>
  <c r="E47" i="36"/>
  <c r="E48" i="36"/>
  <c r="E53" i="36"/>
  <c r="E57" i="36"/>
  <c r="E59" i="36"/>
  <c r="E66" i="36"/>
  <c r="E69" i="36"/>
  <c r="E82" i="36"/>
  <c r="E85" i="36"/>
  <c r="E92" i="36"/>
  <c r="E11" i="36"/>
  <c r="E70" i="36"/>
  <c r="E102" i="36"/>
  <c r="E103" i="36"/>
  <c r="E124" i="36"/>
  <c r="E128" i="36"/>
  <c r="E132" i="36"/>
  <c r="E136" i="36"/>
  <c r="E140" i="36"/>
  <c r="E16" i="36"/>
  <c r="E36" i="36"/>
  <c r="E39" i="36"/>
  <c r="E43" i="36"/>
  <c r="E77" i="36"/>
  <c r="E104" i="36"/>
  <c r="E119" i="36"/>
  <c r="E121" i="36"/>
  <c r="E125" i="36"/>
  <c r="E129" i="36"/>
  <c r="E133" i="36"/>
  <c r="E137" i="36"/>
  <c r="E141" i="36"/>
  <c r="E145" i="36"/>
  <c r="E149" i="36"/>
  <c r="E153" i="36"/>
  <c r="E157" i="36"/>
  <c r="E161" i="36"/>
  <c r="E179" i="36"/>
  <c r="E192" i="36"/>
  <c r="E195" i="36"/>
  <c r="E201" i="36"/>
  <c r="E210" i="36"/>
  <c r="E215" i="36"/>
  <c r="E219" i="36"/>
  <c r="E230" i="36"/>
  <c r="E233" i="36"/>
  <c r="E246" i="36"/>
  <c r="E249" i="36"/>
  <c r="E254" i="36"/>
  <c r="E19" i="36"/>
  <c r="E40" i="36"/>
  <c r="E74" i="36"/>
  <c r="E86" i="36"/>
  <c r="E90" i="36"/>
  <c r="E98" i="36"/>
  <c r="E99" i="36"/>
  <c r="E106" i="36"/>
  <c r="E107" i="36"/>
  <c r="E111" i="36"/>
  <c r="E120" i="36"/>
  <c r="E15" i="36"/>
  <c r="E20" i="36"/>
  <c r="E31" i="36"/>
  <c r="E61" i="36"/>
  <c r="E73" i="36"/>
  <c r="E89" i="36"/>
  <c r="E94" i="36"/>
  <c r="E95" i="36"/>
  <c r="E112" i="36"/>
  <c r="E115" i="36"/>
  <c r="E118" i="36"/>
  <c r="E164" i="36"/>
  <c r="E168" i="36"/>
  <c r="E173" i="36"/>
  <c r="E177" i="36"/>
  <c r="E184" i="36"/>
  <c r="E187" i="36"/>
  <c r="E207" i="36"/>
  <c r="E222" i="36"/>
  <c r="E238" i="36"/>
  <c r="E241" i="36"/>
  <c r="E169" i="36"/>
  <c r="E176" i="36"/>
  <c r="E211" i="36"/>
  <c r="E218" i="36"/>
  <c r="E245" i="36"/>
  <c r="E250" i="36"/>
  <c r="E264" i="36"/>
  <c r="E272" i="36"/>
  <c r="E280" i="36"/>
  <c r="E288" i="36"/>
  <c r="E296" i="36"/>
  <c r="E304" i="36"/>
  <c r="E144" i="36"/>
  <c r="E152" i="36"/>
  <c r="E160" i="36"/>
  <c r="E191" i="36"/>
  <c r="E196" i="36"/>
  <c r="E203" i="36"/>
  <c r="E223" i="36"/>
  <c r="E237" i="36"/>
  <c r="E242" i="36"/>
  <c r="E258" i="36"/>
  <c r="E265" i="36"/>
  <c r="E273" i="36"/>
  <c r="E281" i="36"/>
  <c r="E289" i="36"/>
  <c r="E297" i="36"/>
  <c r="E305" i="36"/>
  <c r="E165" i="36"/>
  <c r="E172" i="36"/>
  <c r="E183" i="36"/>
  <c r="E188" i="36"/>
  <c r="E214" i="36"/>
  <c r="E229" i="36"/>
  <c r="E234" i="36"/>
  <c r="E260" i="36"/>
  <c r="E268" i="36"/>
  <c r="E276" i="36"/>
  <c r="E284" i="36"/>
  <c r="E292" i="36"/>
  <c r="E300" i="36"/>
  <c r="E308" i="36"/>
  <c r="E148" i="36"/>
  <c r="E156" i="36"/>
  <c r="E180" i="36"/>
  <c r="E200" i="36"/>
  <c r="E206" i="36"/>
  <c r="E226" i="36"/>
  <c r="E253" i="36"/>
  <c r="E255" i="36"/>
  <c r="E261" i="36"/>
  <c r="E269" i="36"/>
  <c r="E277" i="36"/>
  <c r="E285" i="36"/>
  <c r="E293" i="36"/>
  <c r="E301" i="36"/>
  <c r="E240" i="36"/>
  <c r="E174" i="36"/>
  <c r="E251" i="36"/>
  <c r="E150" i="36"/>
  <c r="E182" i="36"/>
  <c r="E134" i="36"/>
  <c r="E126" i="36"/>
  <c r="E114" i="36"/>
  <c r="E244" i="36"/>
  <c r="E166" i="36"/>
  <c r="E18" i="36"/>
  <c r="E216" i="36"/>
  <c r="E154" i="36"/>
  <c r="E220" i="36"/>
  <c r="E178" i="36"/>
  <c r="E186" i="36"/>
  <c r="E212" i="36"/>
  <c r="E108" i="36"/>
  <c r="E42" i="36"/>
  <c r="E228" i="36"/>
  <c r="E204" i="36"/>
  <c r="E14" i="36"/>
  <c r="E49" i="36"/>
  <c r="E30" i="36"/>
  <c r="E248" i="36"/>
  <c r="E232" i="36"/>
  <c r="E158" i="36"/>
  <c r="E142" i="36"/>
  <c r="E236" i="36"/>
  <c r="E138" i="36"/>
  <c r="E130" i="36"/>
  <c r="E122" i="36"/>
  <c r="E10" i="36"/>
  <c r="E190" i="36"/>
  <c r="E26" i="36"/>
  <c r="E34" i="36"/>
  <c r="E194" i="36"/>
  <c r="E162" i="36"/>
  <c r="E146" i="36"/>
  <c r="E208" i="36"/>
  <c r="E198" i="36"/>
  <c r="E224" i="36"/>
  <c r="E170" i="36"/>
  <c r="E38" i="36"/>
  <c r="E22" i="36"/>
  <c r="E205" i="36"/>
  <c r="E199" i="36"/>
  <c r="E189" i="36"/>
  <c r="E257" i="36"/>
  <c r="E213" i="36"/>
  <c r="E202" i="36"/>
  <c r="E247" i="36"/>
  <c r="E231" i="36"/>
  <c r="E159" i="36"/>
  <c r="E163" i="36"/>
  <c r="E155" i="36"/>
  <c r="E147" i="36"/>
  <c r="E139" i="36"/>
  <c r="E131" i="36"/>
  <c r="E123" i="36"/>
  <c r="E87" i="36"/>
  <c r="E100" i="36"/>
  <c r="E91" i="36"/>
  <c r="E84" i="36"/>
  <c r="E76" i="36"/>
  <c r="E68" i="36"/>
  <c r="E60" i="36"/>
  <c r="E51" i="36"/>
  <c r="E17" i="36"/>
  <c r="E29" i="36"/>
  <c r="E221" i="36"/>
  <c r="E193" i="36"/>
  <c r="E171" i="36"/>
  <c r="E306" i="36"/>
  <c r="E302" i="36"/>
  <c r="E298" i="36"/>
  <c r="E294" i="36"/>
  <c r="E290" i="36"/>
  <c r="E286" i="36"/>
  <c r="E282" i="36"/>
  <c r="E278" i="36"/>
  <c r="E274" i="36"/>
  <c r="E270" i="36"/>
  <c r="E266" i="36"/>
  <c r="E262" i="36"/>
  <c r="E256" i="36"/>
  <c r="E217" i="36"/>
  <c r="E252" i="36"/>
  <c r="E243" i="36"/>
  <c r="E227" i="36"/>
  <c r="E175" i="36"/>
  <c r="E113" i="36"/>
  <c r="E105" i="36"/>
  <c r="E96" i="36"/>
  <c r="E54" i="36"/>
  <c r="E58" i="36"/>
  <c r="E33" i="36"/>
  <c r="E197" i="36"/>
  <c r="E181" i="36"/>
  <c r="E239" i="36"/>
  <c r="E225" i="36"/>
  <c r="E209" i="36"/>
  <c r="E167" i="36"/>
  <c r="E101" i="36"/>
  <c r="E97" i="36"/>
  <c r="E93" i="36"/>
  <c r="E88" i="36"/>
  <c r="E109" i="36"/>
  <c r="E151" i="36"/>
  <c r="E143" i="36"/>
  <c r="E135" i="36"/>
  <c r="E127" i="36"/>
  <c r="E110" i="36"/>
  <c r="E116" i="36"/>
  <c r="E80" i="36"/>
  <c r="E72" i="36"/>
  <c r="E64" i="36"/>
  <c r="E37" i="36"/>
  <c r="E41" i="36"/>
  <c r="E185" i="36"/>
  <c r="E307" i="36"/>
  <c r="E303" i="36"/>
  <c r="E299" i="36"/>
  <c r="E295" i="36"/>
  <c r="E291" i="36"/>
  <c r="E287" i="36"/>
  <c r="E283" i="36"/>
  <c r="E279" i="36"/>
  <c r="E275" i="36"/>
  <c r="E271" i="36"/>
  <c r="E267" i="36"/>
  <c r="E263" i="36"/>
  <c r="E259" i="36"/>
  <c r="E235" i="36"/>
  <c r="E117" i="36"/>
  <c r="E83" i="36"/>
  <c r="E79" i="36"/>
  <c r="E75" i="36"/>
  <c r="E71" i="36"/>
  <c r="E67" i="36"/>
  <c r="E63" i="36"/>
  <c r="E45" i="36"/>
  <c r="E55" i="36"/>
  <c r="E13" i="36"/>
  <c r="E50" i="36"/>
  <c r="E25" i="36"/>
  <c r="E46" i="36"/>
  <c r="E21" i="36"/>
  <c r="J11" i="36"/>
  <c r="J12" i="36"/>
  <c r="J16" i="36"/>
  <c r="J40" i="36"/>
  <c r="J50" i="36"/>
  <c r="J59" i="36"/>
  <c r="J61" i="36"/>
  <c r="J62" i="36"/>
  <c r="J77" i="36"/>
  <c r="J78" i="36"/>
  <c r="J34" i="36"/>
  <c r="J44" i="36"/>
  <c r="J52" i="36"/>
  <c r="J53" i="36"/>
  <c r="J56" i="36"/>
  <c r="J65" i="36"/>
  <c r="J66" i="36"/>
  <c r="J81" i="36"/>
  <c r="J82" i="36"/>
  <c r="J92" i="36"/>
  <c r="J36" i="36"/>
  <c r="J54" i="36"/>
  <c r="J69" i="36"/>
  <c r="J74" i="36"/>
  <c r="J86" i="36"/>
  <c r="J95" i="36"/>
  <c r="J100" i="36"/>
  <c r="J104" i="36"/>
  <c r="J115" i="36"/>
  <c r="J24" i="36"/>
  <c r="J28" i="36"/>
  <c r="J38" i="36"/>
  <c r="J42" i="36"/>
  <c r="J103" i="36"/>
  <c r="J109" i="36"/>
  <c r="J120" i="36"/>
  <c r="J124" i="36"/>
  <c r="J128" i="36"/>
  <c r="J132" i="36"/>
  <c r="J136" i="36"/>
  <c r="J140" i="36"/>
  <c r="J144" i="36"/>
  <c r="J148" i="36"/>
  <c r="J152" i="36"/>
  <c r="J156" i="36"/>
  <c r="J160" i="36"/>
  <c r="J174" i="36"/>
  <c r="J178" i="36"/>
  <c r="J180" i="36"/>
  <c r="J194" i="36"/>
  <c r="J196" i="36"/>
  <c r="J200" i="36"/>
  <c r="J201" i="36"/>
  <c r="J208" i="36"/>
  <c r="J214" i="36"/>
  <c r="J218" i="36"/>
  <c r="J232" i="36"/>
  <c r="J234" i="36"/>
  <c r="J248" i="36"/>
  <c r="J250" i="36"/>
  <c r="J252" i="36"/>
  <c r="J256" i="36"/>
  <c r="J261" i="36"/>
  <c r="J265" i="36"/>
  <c r="J269" i="36"/>
  <c r="J273" i="36"/>
  <c r="J277" i="36"/>
  <c r="J281" i="36"/>
  <c r="J285" i="36"/>
  <c r="J289" i="36"/>
  <c r="J293" i="36"/>
  <c r="J297" i="36"/>
  <c r="J301" i="36"/>
  <c r="J305" i="36"/>
  <c r="J20" i="36"/>
  <c r="J32" i="36"/>
  <c r="J70" i="36"/>
  <c r="J73" i="36"/>
  <c r="J85" i="36"/>
  <c r="J89" i="36"/>
  <c r="J96" i="36"/>
  <c r="J119" i="36"/>
  <c r="J30" i="36"/>
  <c r="J48" i="36"/>
  <c r="J99" i="36"/>
  <c r="J107" i="36"/>
  <c r="J111" i="36"/>
  <c r="J112" i="36"/>
  <c r="J117" i="36"/>
  <c r="J122" i="36"/>
  <c r="J126" i="36"/>
  <c r="J130" i="36"/>
  <c r="J134" i="36"/>
  <c r="J138" i="36"/>
  <c r="J142" i="36"/>
  <c r="J146" i="36"/>
  <c r="J150" i="36"/>
  <c r="J154" i="36"/>
  <c r="J158" i="36"/>
  <c r="J162" i="36"/>
  <c r="J172" i="36"/>
  <c r="J176" i="36"/>
  <c r="J186" i="36"/>
  <c r="J188" i="36"/>
  <c r="J206" i="36"/>
  <c r="J216" i="36"/>
  <c r="J220" i="36"/>
  <c r="J226" i="36"/>
  <c r="J240" i="36"/>
  <c r="J242" i="36"/>
  <c r="J258" i="36"/>
  <c r="J262" i="36"/>
  <c r="J266" i="36"/>
  <c r="J270" i="36"/>
  <c r="J274" i="36"/>
  <c r="J278" i="36"/>
  <c r="J282" i="36"/>
  <c r="J286" i="36"/>
  <c r="J290" i="36"/>
  <c r="J294" i="36"/>
  <c r="J298" i="36"/>
  <c r="J302" i="36"/>
  <c r="J306" i="36"/>
  <c r="J168" i="36"/>
  <c r="J198" i="36"/>
  <c r="J204" i="36"/>
  <c r="J210" i="36"/>
  <c r="J224" i="36"/>
  <c r="J244" i="36"/>
  <c r="J246" i="36"/>
  <c r="J166" i="36"/>
  <c r="J190" i="36"/>
  <c r="J192" i="36"/>
  <c r="J222" i="36"/>
  <c r="J236" i="36"/>
  <c r="J238" i="36"/>
  <c r="J255" i="36"/>
  <c r="J164" i="36"/>
  <c r="J182" i="36"/>
  <c r="J184" i="36"/>
  <c r="J228" i="36"/>
  <c r="J230" i="36"/>
  <c r="J170" i="36"/>
  <c r="J212" i="36"/>
  <c r="J254" i="36"/>
  <c r="J235" i="36"/>
  <c r="J231" i="36"/>
  <c r="J227" i="36"/>
  <c r="J221" i="36"/>
  <c r="J193" i="36"/>
  <c r="J171" i="36"/>
  <c r="J253" i="36"/>
  <c r="J245" i="36"/>
  <c r="J237" i="36"/>
  <c r="J229" i="36"/>
  <c r="J217" i="36"/>
  <c r="J175" i="36"/>
  <c r="J187" i="36"/>
  <c r="J110" i="36"/>
  <c r="J147" i="36"/>
  <c r="J131" i="36"/>
  <c r="J108" i="36"/>
  <c r="J177" i="36"/>
  <c r="J161" i="36"/>
  <c r="J114" i="36"/>
  <c r="J102" i="36"/>
  <c r="J83" i="36"/>
  <c r="J75" i="36"/>
  <c r="J67" i="36"/>
  <c r="J57" i="36"/>
  <c r="J45" i="36"/>
  <c r="J58" i="36"/>
  <c r="J55" i="36"/>
  <c r="J33" i="36"/>
  <c r="J46" i="36"/>
  <c r="J22" i="36"/>
  <c r="J14" i="36"/>
  <c r="J31" i="36"/>
  <c r="J23" i="36"/>
  <c r="J15" i="36"/>
  <c r="J197" i="36"/>
  <c r="J181" i="36"/>
  <c r="J308" i="36"/>
  <c r="J304" i="36"/>
  <c r="J300" i="36"/>
  <c r="J296" i="36"/>
  <c r="J292" i="36"/>
  <c r="J288" i="36"/>
  <c r="J284" i="36"/>
  <c r="J280" i="36"/>
  <c r="J276" i="36"/>
  <c r="J272" i="36"/>
  <c r="J268" i="36"/>
  <c r="J264" i="36"/>
  <c r="J260" i="36"/>
  <c r="J225" i="36"/>
  <c r="J209" i="36"/>
  <c r="J219" i="36"/>
  <c r="J211" i="36"/>
  <c r="J203" i="36"/>
  <c r="J183" i="36"/>
  <c r="J167" i="36"/>
  <c r="J101" i="36"/>
  <c r="J97" i="36"/>
  <c r="J93" i="36"/>
  <c r="J143" i="36"/>
  <c r="J127" i="36"/>
  <c r="J173" i="36"/>
  <c r="J157" i="36"/>
  <c r="J149" i="36"/>
  <c r="J141" i="36"/>
  <c r="J133" i="36"/>
  <c r="J125" i="36"/>
  <c r="J116" i="36"/>
  <c r="J113" i="36"/>
  <c r="J98" i="36"/>
  <c r="J80" i="36"/>
  <c r="J72" i="36"/>
  <c r="J64" i="36"/>
  <c r="J37" i="36"/>
  <c r="J41" i="36"/>
  <c r="J43" i="36"/>
  <c r="J49" i="36"/>
  <c r="J257" i="36"/>
  <c r="J185" i="36"/>
  <c r="J307" i="36"/>
  <c r="J303" i="36"/>
  <c r="J299" i="36"/>
  <c r="J295" i="36"/>
  <c r="J291" i="36"/>
  <c r="J287" i="36"/>
  <c r="J283" i="36"/>
  <c r="J279" i="36"/>
  <c r="J275" i="36"/>
  <c r="J271" i="36"/>
  <c r="J267" i="36"/>
  <c r="J263" i="36"/>
  <c r="J259" i="36"/>
  <c r="J241" i="36"/>
  <c r="J233" i="36"/>
  <c r="J202" i="36"/>
  <c r="J195" i="36"/>
  <c r="J179" i="36"/>
  <c r="J155" i="36"/>
  <c r="J139" i="36"/>
  <c r="J123" i="36"/>
  <c r="J106" i="36"/>
  <c r="J118" i="36"/>
  <c r="J90" i="36"/>
  <c r="J169" i="36"/>
  <c r="J94" i="36"/>
  <c r="J79" i="36"/>
  <c r="J71" i="36"/>
  <c r="J63" i="36"/>
  <c r="J39" i="36"/>
  <c r="J13" i="36"/>
  <c r="J25" i="36"/>
  <c r="J21" i="36"/>
  <c r="J26" i="36"/>
  <c r="J18" i="36"/>
  <c r="J27" i="36"/>
  <c r="J19" i="36"/>
  <c r="J247" i="36"/>
  <c r="J243" i="36"/>
  <c r="J239" i="36"/>
  <c r="J205" i="36"/>
  <c r="J199" i="36"/>
  <c r="J189" i="36"/>
  <c r="J249" i="36"/>
  <c r="J251" i="36"/>
  <c r="J213" i="36"/>
  <c r="J223" i="36"/>
  <c r="J215" i="36"/>
  <c r="J207" i="36"/>
  <c r="J159" i="36"/>
  <c r="J191" i="36"/>
  <c r="J163" i="36"/>
  <c r="J88" i="36"/>
  <c r="J151" i="36"/>
  <c r="J135" i="36"/>
  <c r="J105" i="36"/>
  <c r="J165" i="36"/>
  <c r="J153" i="36"/>
  <c r="J145" i="36"/>
  <c r="J137" i="36"/>
  <c r="J129" i="36"/>
  <c r="J121" i="36"/>
  <c r="J91" i="36"/>
  <c r="J87" i="36"/>
  <c r="J84" i="36"/>
  <c r="J76" i="36"/>
  <c r="J68" i="36"/>
  <c r="J60" i="36"/>
  <c r="J51" i="36"/>
  <c r="J17" i="36"/>
  <c r="J35" i="36"/>
  <c r="J29" i="36"/>
  <c r="J47" i="36"/>
  <c r="J10" i="36"/>
  <c r="H19" i="36"/>
  <c r="H22" i="36"/>
  <c r="H24" i="36"/>
  <c r="H26" i="36"/>
  <c r="H28" i="36"/>
  <c r="H32" i="36"/>
  <c r="H34" i="36"/>
  <c r="H46" i="36"/>
  <c r="H48" i="36"/>
  <c r="H68" i="36"/>
  <c r="H69" i="36"/>
  <c r="H84" i="36"/>
  <c r="H85" i="36"/>
  <c r="H91" i="36"/>
  <c r="H15" i="36"/>
  <c r="H18" i="36"/>
  <c r="H20" i="36"/>
  <c r="H30" i="36"/>
  <c r="H36" i="36"/>
  <c r="H38" i="36"/>
  <c r="H72" i="36"/>
  <c r="H73" i="36"/>
  <c r="H89" i="36"/>
  <c r="H42" i="36"/>
  <c r="H61" i="36"/>
  <c r="H65" i="36"/>
  <c r="H76" i="36"/>
  <c r="H80" i="36"/>
  <c r="H87" i="36"/>
  <c r="H98" i="36"/>
  <c r="H106" i="36"/>
  <c r="H109" i="36"/>
  <c r="H118" i="36"/>
  <c r="H119" i="36"/>
  <c r="H11" i="36"/>
  <c r="H47" i="36"/>
  <c r="H50" i="36"/>
  <c r="H94" i="36"/>
  <c r="H99" i="36"/>
  <c r="H105" i="36"/>
  <c r="H107" i="36"/>
  <c r="H110" i="36"/>
  <c r="H111" i="36"/>
  <c r="H114" i="36"/>
  <c r="H166" i="36"/>
  <c r="H170" i="36"/>
  <c r="H172" i="36"/>
  <c r="H176" i="36"/>
  <c r="H188" i="36"/>
  <c r="H190" i="36"/>
  <c r="H204" i="36"/>
  <c r="H206" i="36"/>
  <c r="H224" i="36"/>
  <c r="H226" i="36"/>
  <c r="H228" i="36"/>
  <c r="H242" i="36"/>
  <c r="H244" i="36"/>
  <c r="H257" i="36"/>
  <c r="H258" i="36"/>
  <c r="H14" i="36"/>
  <c r="H16" i="36"/>
  <c r="H52" i="36"/>
  <c r="H56" i="36"/>
  <c r="H59" i="36"/>
  <c r="H60" i="36"/>
  <c r="H64" i="36"/>
  <c r="H77" i="36"/>
  <c r="H81" i="36"/>
  <c r="H95" i="36"/>
  <c r="H102" i="36"/>
  <c r="H115" i="36"/>
  <c r="H117" i="36"/>
  <c r="H122" i="36"/>
  <c r="H126" i="36"/>
  <c r="H130" i="36"/>
  <c r="H134" i="36"/>
  <c r="H10" i="36"/>
  <c r="H23" i="36"/>
  <c r="H27" i="36"/>
  <c r="H40" i="36"/>
  <c r="H44" i="36"/>
  <c r="H54" i="36"/>
  <c r="H92" i="36"/>
  <c r="H103" i="36"/>
  <c r="H113" i="36"/>
  <c r="H124" i="36"/>
  <c r="H128" i="36"/>
  <c r="H132" i="36"/>
  <c r="H136" i="36"/>
  <c r="H140" i="36"/>
  <c r="H144" i="36"/>
  <c r="H148" i="36"/>
  <c r="H152" i="36"/>
  <c r="H156" i="36"/>
  <c r="H160" i="36"/>
  <c r="H180" i="36"/>
  <c r="H182" i="36"/>
  <c r="H196" i="36"/>
  <c r="H198" i="36"/>
  <c r="H200" i="36"/>
  <c r="H212" i="36"/>
  <c r="H214" i="36"/>
  <c r="H218" i="36"/>
  <c r="H234" i="36"/>
  <c r="H236" i="36"/>
  <c r="H250" i="36"/>
  <c r="H253" i="36"/>
  <c r="H261" i="36"/>
  <c r="H265" i="36"/>
  <c r="H269" i="36"/>
  <c r="H273" i="36"/>
  <c r="H277" i="36"/>
  <c r="H281" i="36"/>
  <c r="H285" i="36"/>
  <c r="H289" i="36"/>
  <c r="H293" i="36"/>
  <c r="H297" i="36"/>
  <c r="H301" i="36"/>
  <c r="H305" i="36"/>
  <c r="H146" i="36"/>
  <c r="H154" i="36"/>
  <c r="H162" i="36"/>
  <c r="H192" i="36"/>
  <c r="H222" i="36"/>
  <c r="H238" i="36"/>
  <c r="H248" i="36"/>
  <c r="H164" i="36"/>
  <c r="H174" i="36"/>
  <c r="H184" i="36"/>
  <c r="H194" i="36"/>
  <c r="H216" i="36"/>
  <c r="H230" i="36"/>
  <c r="H240" i="36"/>
  <c r="H264" i="36"/>
  <c r="H272" i="36"/>
  <c r="H280" i="36"/>
  <c r="H288" i="36"/>
  <c r="H296" i="36"/>
  <c r="H304" i="36"/>
  <c r="H138" i="36"/>
  <c r="H142" i="36"/>
  <c r="H150" i="36"/>
  <c r="H158" i="36"/>
  <c r="H186" i="36"/>
  <c r="H208" i="36"/>
  <c r="H232" i="36"/>
  <c r="H254" i="36"/>
  <c r="H256" i="36"/>
  <c r="H168" i="36"/>
  <c r="H178" i="36"/>
  <c r="H210" i="36"/>
  <c r="H220" i="36"/>
  <c r="H246" i="36"/>
  <c r="H252" i="36"/>
  <c r="H260" i="36"/>
  <c r="H268" i="36"/>
  <c r="H276" i="36"/>
  <c r="H284" i="36"/>
  <c r="H292" i="36"/>
  <c r="H300" i="36"/>
  <c r="H308" i="36"/>
  <c r="H202" i="36"/>
  <c r="H55" i="36"/>
  <c r="H185" i="36"/>
  <c r="H171" i="36"/>
  <c r="H241" i="36"/>
  <c r="H233" i="36"/>
  <c r="H306" i="36"/>
  <c r="H302" i="36"/>
  <c r="H298" i="36"/>
  <c r="H294" i="36"/>
  <c r="H290" i="36"/>
  <c r="H286" i="36"/>
  <c r="H282" i="36"/>
  <c r="H278" i="36"/>
  <c r="H274" i="36"/>
  <c r="H270" i="36"/>
  <c r="H266" i="36"/>
  <c r="H262" i="36"/>
  <c r="H249" i="36"/>
  <c r="H299" i="36"/>
  <c r="H283" i="36"/>
  <c r="H267" i="36"/>
  <c r="H175" i="36"/>
  <c r="H195" i="36"/>
  <c r="H179" i="36"/>
  <c r="H116" i="36"/>
  <c r="H173" i="36"/>
  <c r="H157" i="36"/>
  <c r="H141" i="36"/>
  <c r="H125" i="36"/>
  <c r="H112" i="36"/>
  <c r="H101" i="36"/>
  <c r="H90" i="36"/>
  <c r="H108" i="36"/>
  <c r="H151" i="36"/>
  <c r="H143" i="36"/>
  <c r="H135" i="36"/>
  <c r="H127" i="36"/>
  <c r="H104" i="36"/>
  <c r="H96" i="36"/>
  <c r="H39" i="36"/>
  <c r="H82" i="36"/>
  <c r="H66" i="36"/>
  <c r="H31" i="36"/>
  <c r="H247" i="36"/>
  <c r="H243" i="36"/>
  <c r="H239" i="36"/>
  <c r="H205" i="36"/>
  <c r="H189" i="36"/>
  <c r="H213" i="36"/>
  <c r="H295" i="36"/>
  <c r="H279" i="36"/>
  <c r="H263" i="36"/>
  <c r="H199" i="36"/>
  <c r="H223" i="36"/>
  <c r="H215" i="36"/>
  <c r="H207" i="36"/>
  <c r="H201" i="36"/>
  <c r="H191" i="36"/>
  <c r="H167" i="36"/>
  <c r="H177" i="36"/>
  <c r="H161" i="36"/>
  <c r="H153" i="36"/>
  <c r="H137" i="36"/>
  <c r="H121" i="36"/>
  <c r="H97" i="36"/>
  <c r="H120" i="36"/>
  <c r="H58" i="36"/>
  <c r="H35" i="36"/>
  <c r="H78" i="36"/>
  <c r="H62" i="36"/>
  <c r="H235" i="36"/>
  <c r="H231" i="36"/>
  <c r="H227" i="36"/>
  <c r="H221" i="36"/>
  <c r="H193" i="36"/>
  <c r="H245" i="36"/>
  <c r="H237" i="36"/>
  <c r="H229" i="36"/>
  <c r="H217" i="36"/>
  <c r="H307" i="36"/>
  <c r="H291" i="36"/>
  <c r="H275" i="36"/>
  <c r="H259" i="36"/>
  <c r="H187" i="36"/>
  <c r="H165" i="36"/>
  <c r="H149" i="36"/>
  <c r="H133" i="36"/>
  <c r="H93" i="36"/>
  <c r="H155" i="36"/>
  <c r="H147" i="36"/>
  <c r="H139" i="36"/>
  <c r="H131" i="36"/>
  <c r="H123" i="36"/>
  <c r="H83" i="36"/>
  <c r="H79" i="36"/>
  <c r="H75" i="36"/>
  <c r="H71" i="36"/>
  <c r="H67" i="36"/>
  <c r="H63" i="36"/>
  <c r="H51" i="36"/>
  <c r="H45" i="36"/>
  <c r="H33" i="36"/>
  <c r="H13" i="36"/>
  <c r="H74" i="36"/>
  <c r="H53" i="36"/>
  <c r="H25" i="36"/>
  <c r="H49" i="36"/>
  <c r="H21" i="36"/>
  <c r="H12" i="36"/>
  <c r="H197" i="36"/>
  <c r="H181" i="36"/>
  <c r="H255" i="36"/>
  <c r="H303" i="36"/>
  <c r="H287" i="36"/>
  <c r="H271" i="36"/>
  <c r="H251" i="36"/>
  <c r="H225" i="36"/>
  <c r="H209" i="36"/>
  <c r="H159" i="36"/>
  <c r="H219" i="36"/>
  <c r="H211" i="36"/>
  <c r="H203" i="36"/>
  <c r="H183" i="36"/>
  <c r="H163" i="36"/>
  <c r="H169" i="36"/>
  <c r="H145" i="36"/>
  <c r="H129" i="36"/>
  <c r="H88" i="36"/>
  <c r="H100" i="36"/>
  <c r="H57" i="36"/>
  <c r="H37" i="36"/>
  <c r="H41" i="36"/>
  <c r="H17" i="36"/>
  <c r="H43" i="36"/>
  <c r="H29" i="36"/>
  <c r="H86" i="36"/>
  <c r="H70" i="36"/>
  <c r="D10" i="36"/>
  <c r="D14" i="36"/>
  <c r="D23" i="36"/>
  <c r="D24" i="36"/>
  <c r="D27" i="36"/>
  <c r="D28" i="36"/>
  <c r="D32" i="36"/>
  <c r="D47" i="36"/>
  <c r="D48" i="36"/>
  <c r="D50" i="36"/>
  <c r="D60" i="36"/>
  <c r="D69" i="36"/>
  <c r="D76" i="36"/>
  <c r="D85" i="36"/>
  <c r="D92" i="36"/>
  <c r="D19" i="36"/>
  <c r="D20" i="36"/>
  <c r="D34" i="36"/>
  <c r="D36" i="36"/>
  <c r="D54" i="36"/>
  <c r="D64" i="36"/>
  <c r="D73" i="36"/>
  <c r="D80" i="36"/>
  <c r="D89" i="36"/>
  <c r="D16" i="36"/>
  <c r="D52" i="36"/>
  <c r="D56" i="36"/>
  <c r="D77" i="36"/>
  <c r="D81" i="36"/>
  <c r="D117" i="36"/>
  <c r="D119" i="36"/>
  <c r="D22" i="36"/>
  <c r="D26" i="36"/>
  <c r="D30" i="36"/>
  <c r="D40" i="36"/>
  <c r="D44" i="36"/>
  <c r="D68" i="36"/>
  <c r="D98" i="36"/>
  <c r="D99" i="36"/>
  <c r="D106" i="36"/>
  <c r="D107" i="36"/>
  <c r="D109" i="36"/>
  <c r="D111" i="36"/>
  <c r="D172" i="36"/>
  <c r="D174" i="36"/>
  <c r="D176" i="36"/>
  <c r="D178" i="36"/>
  <c r="D188" i="36"/>
  <c r="D194" i="36"/>
  <c r="D206" i="36"/>
  <c r="D208" i="36"/>
  <c r="D226" i="36"/>
  <c r="D232" i="36"/>
  <c r="D242" i="36"/>
  <c r="D248" i="36"/>
  <c r="D253" i="36"/>
  <c r="D258" i="36"/>
  <c r="D15" i="36"/>
  <c r="D18" i="36"/>
  <c r="D61" i="36"/>
  <c r="D65" i="36"/>
  <c r="D94" i="36"/>
  <c r="D95" i="36"/>
  <c r="D115" i="36"/>
  <c r="D11" i="36"/>
  <c r="D38" i="36"/>
  <c r="D42" i="36"/>
  <c r="D72" i="36"/>
  <c r="D84" i="36"/>
  <c r="D102" i="36"/>
  <c r="D103" i="36"/>
  <c r="D114" i="36"/>
  <c r="D122" i="36"/>
  <c r="D124" i="36"/>
  <c r="D126" i="36"/>
  <c r="D128" i="36"/>
  <c r="D130" i="36"/>
  <c r="D132" i="36"/>
  <c r="D134" i="36"/>
  <c r="D136" i="36"/>
  <c r="D138" i="36"/>
  <c r="D140" i="36"/>
  <c r="D142" i="36"/>
  <c r="D144" i="36"/>
  <c r="D146" i="36"/>
  <c r="D148" i="36"/>
  <c r="D150" i="36"/>
  <c r="D152" i="36"/>
  <c r="D154" i="36"/>
  <c r="D156" i="36"/>
  <c r="D158" i="36"/>
  <c r="D160" i="36"/>
  <c r="D162" i="36"/>
  <c r="D180" i="36"/>
  <c r="D186" i="36"/>
  <c r="D196" i="36"/>
  <c r="D200" i="36"/>
  <c r="D214" i="36"/>
  <c r="D216" i="36"/>
  <c r="D218" i="36"/>
  <c r="D220" i="36"/>
  <c r="D234" i="36"/>
  <c r="D240" i="36"/>
  <c r="D250" i="36"/>
  <c r="D260" i="36"/>
  <c r="D261" i="36"/>
  <c r="D264" i="36"/>
  <c r="D265" i="36"/>
  <c r="D268" i="36"/>
  <c r="D269" i="36"/>
  <c r="D272" i="36"/>
  <c r="D273" i="36"/>
  <c r="D276" i="36"/>
  <c r="D277" i="36"/>
  <c r="D280" i="36"/>
  <c r="D281" i="36"/>
  <c r="D284" i="36"/>
  <c r="D285" i="36"/>
  <c r="D288" i="36"/>
  <c r="D289" i="36"/>
  <c r="D292" i="36"/>
  <c r="D293" i="36"/>
  <c r="D296" i="36"/>
  <c r="D297" i="36"/>
  <c r="D300" i="36"/>
  <c r="D301" i="36"/>
  <c r="D304" i="36"/>
  <c r="D305" i="36"/>
  <c r="D308" i="36"/>
  <c r="D182" i="36"/>
  <c r="D228" i="36"/>
  <c r="D254" i="36"/>
  <c r="D168" i="36"/>
  <c r="D170" i="36"/>
  <c r="D210" i="36"/>
  <c r="D212" i="36"/>
  <c r="D246" i="36"/>
  <c r="D256" i="36"/>
  <c r="D192" i="36"/>
  <c r="D198" i="36"/>
  <c r="D204" i="36"/>
  <c r="D222" i="36"/>
  <c r="D224" i="36"/>
  <c r="D238" i="36"/>
  <c r="D244" i="36"/>
  <c r="D164" i="36"/>
  <c r="D166" i="36"/>
  <c r="D184" i="36"/>
  <c r="D190" i="36"/>
  <c r="D230" i="36"/>
  <c r="D236" i="36"/>
  <c r="D147" i="36"/>
  <c r="D298" i="36"/>
  <c r="D282" i="36"/>
  <c r="D266" i="36"/>
  <c r="D143" i="36"/>
  <c r="D302" i="36"/>
  <c r="D286" i="36"/>
  <c r="D263" i="36"/>
  <c r="D207" i="36"/>
  <c r="D105" i="36"/>
  <c r="D78" i="36"/>
  <c r="D211" i="36"/>
  <c r="D74" i="36"/>
  <c r="D66" i="36"/>
  <c r="D307" i="36"/>
  <c r="D291" i="36"/>
  <c r="D275" i="36"/>
  <c r="D259" i="36"/>
  <c r="D139" i="36"/>
  <c r="D295" i="36"/>
  <c r="D278" i="36"/>
  <c r="D262" i="36"/>
  <c r="D131" i="36"/>
  <c r="D123" i="36"/>
  <c r="D87" i="36"/>
  <c r="D279" i="36"/>
  <c r="D215" i="36"/>
  <c r="D306" i="36"/>
  <c r="D290" i="36"/>
  <c r="D274" i="36"/>
  <c r="D219" i="36"/>
  <c r="D294" i="36"/>
  <c r="D271" i="36"/>
  <c r="D203" i="36"/>
  <c r="D12" i="36"/>
  <c r="D62" i="36"/>
  <c r="D86" i="36"/>
  <c r="D46" i="36"/>
  <c r="D155" i="36"/>
  <c r="D299" i="36"/>
  <c r="D283" i="36"/>
  <c r="D267" i="36"/>
  <c r="D151" i="36"/>
  <c r="D303" i="36"/>
  <c r="D287" i="36"/>
  <c r="D270" i="36"/>
  <c r="D223" i="36"/>
  <c r="D135" i="36"/>
  <c r="D127" i="36"/>
  <c r="D118" i="36"/>
  <c r="D252" i="36"/>
  <c r="D51" i="36"/>
  <c r="D70" i="36"/>
  <c r="D82" i="36"/>
  <c r="D247" i="36"/>
  <c r="D243" i="36"/>
  <c r="D239" i="36"/>
  <c r="D205" i="36"/>
  <c r="D189" i="36"/>
  <c r="D249" i="36"/>
  <c r="D213" i="36"/>
  <c r="D202" i="36"/>
  <c r="D257" i="36"/>
  <c r="D201" i="36"/>
  <c r="D191" i="36"/>
  <c r="D167" i="36"/>
  <c r="D88" i="36"/>
  <c r="D169" i="36"/>
  <c r="D145" i="36"/>
  <c r="D129" i="36"/>
  <c r="D120" i="36"/>
  <c r="D110" i="36"/>
  <c r="D35" i="36"/>
  <c r="D235" i="36"/>
  <c r="D231" i="36"/>
  <c r="D227" i="36"/>
  <c r="D221" i="36"/>
  <c r="D193" i="36"/>
  <c r="D245" i="36"/>
  <c r="D237" i="36"/>
  <c r="D229" i="36"/>
  <c r="D217" i="36"/>
  <c r="D187" i="36"/>
  <c r="D173" i="36"/>
  <c r="D157" i="36"/>
  <c r="D141" i="36"/>
  <c r="D125" i="36"/>
  <c r="D101" i="36"/>
  <c r="D83" i="36"/>
  <c r="D79" i="36"/>
  <c r="D75" i="36"/>
  <c r="D71" i="36"/>
  <c r="D67" i="36"/>
  <c r="D63" i="36"/>
  <c r="D45" i="36"/>
  <c r="D55" i="36"/>
  <c r="D33" i="36"/>
  <c r="D13" i="36"/>
  <c r="D53" i="36"/>
  <c r="D25" i="36"/>
  <c r="D49" i="36"/>
  <c r="D21" i="36"/>
  <c r="D31" i="36"/>
  <c r="D199" i="36"/>
  <c r="D197" i="36"/>
  <c r="D181" i="36"/>
  <c r="D255" i="36"/>
  <c r="D251" i="36"/>
  <c r="D225" i="36"/>
  <c r="D209" i="36"/>
  <c r="D159" i="36"/>
  <c r="D183" i="36"/>
  <c r="D163" i="36"/>
  <c r="D177" i="36"/>
  <c r="D161" i="36"/>
  <c r="D153" i="36"/>
  <c r="D137" i="36"/>
  <c r="D121" i="36"/>
  <c r="D113" i="36"/>
  <c r="D100" i="36"/>
  <c r="D97" i="36"/>
  <c r="D91" i="36"/>
  <c r="D57" i="36"/>
  <c r="D37" i="36"/>
  <c r="D41" i="36"/>
  <c r="D17" i="36"/>
  <c r="D43" i="36"/>
  <c r="D29" i="36"/>
  <c r="D185" i="36"/>
  <c r="D171" i="36"/>
  <c r="D241" i="36"/>
  <c r="D233" i="36"/>
  <c r="D175" i="36"/>
  <c r="D195" i="36"/>
  <c r="D179" i="36"/>
  <c r="D116" i="36"/>
  <c r="D165" i="36"/>
  <c r="D149" i="36"/>
  <c r="D133" i="36"/>
  <c r="D112" i="36"/>
  <c r="D90" i="36"/>
  <c r="D108" i="36"/>
  <c r="D104" i="36"/>
  <c r="D96" i="36"/>
  <c r="D93" i="36"/>
  <c r="D58" i="36"/>
  <c r="D39" i="36"/>
  <c r="D59" i="36"/>
  <c r="G13" i="36"/>
  <c r="G15" i="36"/>
  <c r="G18" i="36"/>
  <c r="G20" i="36"/>
  <c r="G30" i="36"/>
  <c r="G36" i="36"/>
  <c r="G38" i="36"/>
  <c r="G70" i="36"/>
  <c r="G72" i="36"/>
  <c r="G73" i="36"/>
  <c r="G75" i="36"/>
  <c r="G86" i="36"/>
  <c r="G89" i="36"/>
  <c r="G10" i="36"/>
  <c r="G11" i="36"/>
  <c r="G14" i="36"/>
  <c r="G16" i="36"/>
  <c r="G40" i="36"/>
  <c r="G42" i="36"/>
  <c r="G45" i="36"/>
  <c r="G60" i="36"/>
  <c r="G61" i="36"/>
  <c r="G63" i="36"/>
  <c r="G74" i="36"/>
  <c r="G76" i="36"/>
  <c r="G77" i="36"/>
  <c r="G79" i="36"/>
  <c r="G24" i="36"/>
  <c r="G28" i="36"/>
  <c r="G31" i="36"/>
  <c r="G46" i="36"/>
  <c r="G47" i="36"/>
  <c r="G49" i="36"/>
  <c r="G50" i="36"/>
  <c r="G55" i="36"/>
  <c r="G84" i="36"/>
  <c r="G94" i="36"/>
  <c r="G99" i="36"/>
  <c r="G107" i="36"/>
  <c r="G108" i="36"/>
  <c r="G111" i="36"/>
  <c r="G114" i="36"/>
  <c r="G25" i="36"/>
  <c r="G29" i="36"/>
  <c r="G32" i="36"/>
  <c r="G52" i="36"/>
  <c r="G56" i="36"/>
  <c r="G59" i="36"/>
  <c r="G62" i="36"/>
  <c r="G64" i="36"/>
  <c r="G66" i="36"/>
  <c r="G67" i="36"/>
  <c r="G81" i="36"/>
  <c r="G85" i="36"/>
  <c r="G95" i="36"/>
  <c r="G96" i="36"/>
  <c r="G102" i="36"/>
  <c r="G112" i="36"/>
  <c r="G115" i="36"/>
  <c r="G117" i="36"/>
  <c r="G122" i="36"/>
  <c r="G126" i="36"/>
  <c r="G130" i="36"/>
  <c r="G134" i="36"/>
  <c r="G138" i="36"/>
  <c r="G142" i="36"/>
  <c r="G146" i="36"/>
  <c r="G150" i="36"/>
  <c r="G154" i="36"/>
  <c r="G158" i="36"/>
  <c r="G162" i="36"/>
  <c r="G164" i="36"/>
  <c r="G165" i="36"/>
  <c r="G168" i="36"/>
  <c r="G169" i="36"/>
  <c r="G175" i="36"/>
  <c r="G183" i="36"/>
  <c r="G184" i="36"/>
  <c r="G186" i="36"/>
  <c r="G203" i="36"/>
  <c r="G216" i="36"/>
  <c r="G220" i="36"/>
  <c r="G222" i="36"/>
  <c r="G223" i="36"/>
  <c r="G237" i="36"/>
  <c r="G238" i="36"/>
  <c r="G240" i="36"/>
  <c r="G251" i="36"/>
  <c r="G260" i="36"/>
  <c r="G264" i="36"/>
  <c r="G268" i="36"/>
  <c r="G272" i="36"/>
  <c r="G276" i="36"/>
  <c r="G280" i="36"/>
  <c r="G284" i="36"/>
  <c r="G288" i="36"/>
  <c r="G292" i="36"/>
  <c r="G296" i="36"/>
  <c r="G300" i="36"/>
  <c r="G304" i="36"/>
  <c r="G308" i="36"/>
  <c r="G12" i="36"/>
  <c r="G22" i="36"/>
  <c r="G23" i="36"/>
  <c r="G26" i="36"/>
  <c r="G27" i="36"/>
  <c r="G34" i="36"/>
  <c r="G44" i="36"/>
  <c r="G48" i="36"/>
  <c r="G68" i="36"/>
  <c r="G91" i="36"/>
  <c r="G92" i="36"/>
  <c r="G103" i="36"/>
  <c r="G104" i="36"/>
  <c r="G121" i="36"/>
  <c r="G124" i="36"/>
  <c r="G125" i="36"/>
  <c r="G128" i="36"/>
  <c r="G129" i="36"/>
  <c r="G132" i="36"/>
  <c r="G133" i="36"/>
  <c r="G136" i="36"/>
  <c r="G137" i="36"/>
  <c r="G19" i="36"/>
  <c r="G53" i="36"/>
  <c r="G65" i="36"/>
  <c r="G69" i="36"/>
  <c r="G71" i="36"/>
  <c r="G78" i="36"/>
  <c r="G80" i="36"/>
  <c r="G82" i="36"/>
  <c r="G83" i="36"/>
  <c r="G98" i="36"/>
  <c r="G106" i="36"/>
  <c r="G109" i="36"/>
  <c r="G119" i="36"/>
  <c r="G120" i="36"/>
  <c r="G123" i="36"/>
  <c r="G127" i="36"/>
  <c r="G131" i="36"/>
  <c r="G135" i="36"/>
  <c r="G139" i="36"/>
  <c r="G143" i="36"/>
  <c r="G147" i="36"/>
  <c r="G151" i="36"/>
  <c r="G155" i="36"/>
  <c r="G159" i="36"/>
  <c r="G174" i="36"/>
  <c r="G178" i="36"/>
  <c r="G191" i="36"/>
  <c r="G192" i="36"/>
  <c r="G194" i="36"/>
  <c r="G201" i="36"/>
  <c r="G208" i="36"/>
  <c r="G210" i="36"/>
  <c r="G211" i="36"/>
  <c r="G217" i="36"/>
  <c r="G229" i="36"/>
  <c r="G230" i="36"/>
  <c r="G232" i="36"/>
  <c r="G245" i="36"/>
  <c r="G246" i="36"/>
  <c r="G248" i="36"/>
  <c r="G252" i="36"/>
  <c r="G254" i="36"/>
  <c r="G259" i="36"/>
  <c r="G263" i="36"/>
  <c r="G267" i="36"/>
  <c r="G271" i="36"/>
  <c r="G275" i="36"/>
  <c r="G279" i="36"/>
  <c r="G283" i="36"/>
  <c r="G287" i="36"/>
  <c r="G291" i="36"/>
  <c r="G295" i="36"/>
  <c r="G299" i="36"/>
  <c r="G303" i="36"/>
  <c r="G307" i="36"/>
  <c r="G148" i="36"/>
  <c r="G156" i="36"/>
  <c r="G166" i="36"/>
  <c r="G173" i="36"/>
  <c r="G180" i="36"/>
  <c r="G190" i="36"/>
  <c r="G200" i="36"/>
  <c r="G206" i="36"/>
  <c r="G215" i="36"/>
  <c r="G226" i="36"/>
  <c r="G236" i="36"/>
  <c r="G249" i="36"/>
  <c r="G255" i="36"/>
  <c r="G261" i="36"/>
  <c r="G269" i="36"/>
  <c r="G277" i="36"/>
  <c r="G285" i="36"/>
  <c r="G293" i="36"/>
  <c r="G301" i="36"/>
  <c r="G140" i="36"/>
  <c r="G141" i="36"/>
  <c r="G149" i="36"/>
  <c r="G157" i="36"/>
  <c r="G167" i="36"/>
  <c r="G176" i="36"/>
  <c r="G182" i="36"/>
  <c r="G195" i="36"/>
  <c r="G207" i="36"/>
  <c r="G218" i="36"/>
  <c r="G228" i="36"/>
  <c r="G241" i="36"/>
  <c r="G250" i="36"/>
  <c r="G262" i="36"/>
  <c r="G270" i="36"/>
  <c r="G278" i="36"/>
  <c r="G286" i="36"/>
  <c r="G294" i="36"/>
  <c r="G302" i="36"/>
  <c r="G144" i="36"/>
  <c r="G152" i="36"/>
  <c r="G160" i="36"/>
  <c r="G170" i="36"/>
  <c r="G177" i="36"/>
  <c r="G187" i="36"/>
  <c r="G196" i="36"/>
  <c r="G212" i="36"/>
  <c r="G219" i="36"/>
  <c r="G233" i="36"/>
  <c r="G242" i="36"/>
  <c r="G258" i="36"/>
  <c r="G265" i="36"/>
  <c r="G273" i="36"/>
  <c r="G281" i="36"/>
  <c r="G289" i="36"/>
  <c r="G297" i="36"/>
  <c r="G305" i="36"/>
  <c r="G145" i="36"/>
  <c r="G153" i="36"/>
  <c r="G161" i="36"/>
  <c r="G172" i="36"/>
  <c r="G179" i="36"/>
  <c r="G188" i="36"/>
  <c r="G198" i="36"/>
  <c r="G204" i="36"/>
  <c r="G214" i="36"/>
  <c r="G224" i="36"/>
  <c r="G234" i="36"/>
  <c r="G244" i="36"/>
  <c r="G266" i="36"/>
  <c r="G274" i="36"/>
  <c r="G282" i="36"/>
  <c r="G290" i="36"/>
  <c r="G298" i="36"/>
  <c r="G306" i="36"/>
  <c r="G213" i="36"/>
  <c r="G58" i="36"/>
  <c r="G163" i="36"/>
  <c r="G225" i="36"/>
  <c r="G209" i="36"/>
  <c r="G100" i="36"/>
  <c r="G21" i="36"/>
  <c r="G197" i="36"/>
  <c r="G181" i="36"/>
  <c r="G257" i="36"/>
  <c r="G253" i="36"/>
  <c r="G235" i="36"/>
  <c r="G221" i="36"/>
  <c r="G205" i="36"/>
  <c r="G116" i="36"/>
  <c r="G97" i="36"/>
  <c r="G54" i="36"/>
  <c r="G199" i="36"/>
  <c r="G185" i="36"/>
  <c r="G171" i="36"/>
  <c r="G256" i="36"/>
  <c r="G247" i="36"/>
  <c r="G231" i="36"/>
  <c r="G110" i="36"/>
  <c r="G93" i="36"/>
  <c r="G57" i="36"/>
  <c r="G51" i="36"/>
  <c r="G43" i="36"/>
  <c r="G189" i="36"/>
  <c r="G243" i="36"/>
  <c r="G227" i="36"/>
  <c r="G113" i="36"/>
  <c r="G90" i="36"/>
  <c r="G118" i="36"/>
  <c r="G105" i="36"/>
  <c r="G88" i="36"/>
  <c r="G33" i="36"/>
  <c r="G39" i="36"/>
  <c r="G193" i="36"/>
  <c r="G239" i="36"/>
  <c r="G202" i="36"/>
  <c r="G101" i="36"/>
  <c r="G87" i="36"/>
  <c r="G37" i="36"/>
  <c r="G41" i="36"/>
  <c r="G35" i="36"/>
  <c r="G17" i="36"/>
  <c r="L6" i="19"/>
  <c r="F6" i="49" s="1"/>
  <c r="G6" i="49" s="1"/>
  <c r="E306" i="11"/>
  <c r="D306" i="49"/>
  <c r="B306" i="11"/>
  <c r="F306" i="19"/>
  <c r="I306" i="19"/>
  <c r="J306" i="19"/>
  <c r="N306" i="19"/>
  <c r="C306" i="19"/>
  <c r="D306" i="19"/>
  <c r="E306" i="19"/>
  <c r="H306" i="19"/>
  <c r="G306" i="19"/>
  <c r="B305" i="25"/>
  <c r="E6" i="13"/>
  <c r="F6" i="13" s="1"/>
  <c r="D9" i="36"/>
  <c r="J9" i="36"/>
  <c r="I9" i="36"/>
  <c r="F9" i="36"/>
  <c r="H9" i="36"/>
  <c r="E9" i="36"/>
  <c r="G9" i="36"/>
  <c r="K149" i="36" l="1"/>
  <c r="E152" i="34" s="1"/>
  <c r="E146" i="12" s="1"/>
  <c r="K171" i="36"/>
  <c r="E174" i="34" s="1"/>
  <c r="E168" i="12" s="1"/>
  <c r="K177" i="36"/>
  <c r="E180" i="34" s="1"/>
  <c r="E174" i="12" s="1"/>
  <c r="K181" i="36"/>
  <c r="E184" i="34" s="1"/>
  <c r="E178" i="12" s="1"/>
  <c r="K13" i="36"/>
  <c r="E16" i="34" s="1"/>
  <c r="E10" i="12" s="1"/>
  <c r="K217" i="36"/>
  <c r="E220" i="34" s="1"/>
  <c r="E214" i="12" s="1"/>
  <c r="K235" i="36"/>
  <c r="E238" i="34" s="1"/>
  <c r="E232" i="12" s="1"/>
  <c r="K200" i="36"/>
  <c r="E203" i="34" s="1"/>
  <c r="E197" i="12" s="1"/>
  <c r="K26" i="36"/>
  <c r="E29" i="34" s="1"/>
  <c r="E23" i="12" s="1"/>
  <c r="K16" i="36"/>
  <c r="E19" i="34" s="1"/>
  <c r="E13" i="12" s="1"/>
  <c r="K20" i="36"/>
  <c r="E23" i="34" s="1"/>
  <c r="E17" i="12" s="1"/>
  <c r="K48" i="36"/>
  <c r="E51" i="34" s="1"/>
  <c r="E45" i="12" s="1"/>
  <c r="K108" i="36"/>
  <c r="E111" i="34" s="1"/>
  <c r="E105" i="12" s="1"/>
  <c r="K195" i="36"/>
  <c r="E198" i="34" s="1"/>
  <c r="E192" i="12" s="1"/>
  <c r="K209" i="36"/>
  <c r="E212" i="34" s="1"/>
  <c r="E206" i="12" s="1"/>
  <c r="K202" i="36"/>
  <c r="E205" i="34" s="1"/>
  <c r="E199" i="12" s="1"/>
  <c r="K81" i="36"/>
  <c r="E84" i="34" s="1"/>
  <c r="E78" i="12" s="1"/>
  <c r="K86" i="36"/>
  <c r="E89" i="34" s="1"/>
  <c r="E83" i="12" s="1"/>
  <c r="K74" i="36"/>
  <c r="E77" i="34" s="1"/>
  <c r="E71" i="12" s="1"/>
  <c r="K39" i="36"/>
  <c r="E42" i="34" s="1"/>
  <c r="E36" i="12" s="1"/>
  <c r="K104" i="36"/>
  <c r="E107" i="34" s="1"/>
  <c r="E101" i="12" s="1"/>
  <c r="K133" i="36"/>
  <c r="E136" i="34" s="1"/>
  <c r="E130" i="12" s="1"/>
  <c r="K241" i="36"/>
  <c r="E244" i="34" s="1"/>
  <c r="E238" i="12" s="1"/>
  <c r="K43" i="36"/>
  <c r="E46" i="34" s="1"/>
  <c r="E40" i="12" s="1"/>
  <c r="K57" i="36"/>
  <c r="E60" i="34" s="1"/>
  <c r="E54" i="12" s="1"/>
  <c r="K113" i="36"/>
  <c r="E116" i="34" s="1"/>
  <c r="E110" i="12" s="1"/>
  <c r="K161" i="36"/>
  <c r="E164" i="34" s="1"/>
  <c r="E158" i="12" s="1"/>
  <c r="K31" i="36"/>
  <c r="E34" i="34" s="1"/>
  <c r="E28" i="12" s="1"/>
  <c r="K53" i="36"/>
  <c r="E56" i="34" s="1"/>
  <c r="E50" i="12" s="1"/>
  <c r="K45" i="36"/>
  <c r="E48" i="34" s="1"/>
  <c r="E42" i="12" s="1"/>
  <c r="K125" i="36"/>
  <c r="E128" i="34" s="1"/>
  <c r="E122" i="12" s="1"/>
  <c r="K245" i="36"/>
  <c r="E248" i="34" s="1"/>
  <c r="E242" i="12" s="1"/>
  <c r="K120" i="36"/>
  <c r="E123" i="34" s="1"/>
  <c r="E117" i="12" s="1"/>
  <c r="K88" i="36"/>
  <c r="E91" i="34" s="1"/>
  <c r="E85" i="12" s="1"/>
  <c r="K189" i="36"/>
  <c r="E192" i="34" s="1"/>
  <c r="E186" i="12" s="1"/>
  <c r="K131" i="36"/>
  <c r="E134" i="34" s="1"/>
  <c r="E128" i="12" s="1"/>
  <c r="K164" i="36"/>
  <c r="E167" i="34" s="1"/>
  <c r="E161" i="12" s="1"/>
  <c r="K301" i="36"/>
  <c r="E304" i="34" s="1"/>
  <c r="E298" i="12" s="1"/>
  <c r="K293" i="36"/>
  <c r="E296" i="34" s="1"/>
  <c r="E290" i="12" s="1"/>
  <c r="K269" i="36"/>
  <c r="E272" i="34" s="1"/>
  <c r="E266" i="12" s="1"/>
  <c r="K261" i="36"/>
  <c r="E264" i="34" s="1"/>
  <c r="E258" i="12" s="1"/>
  <c r="K234" i="36"/>
  <c r="E237" i="34" s="1"/>
  <c r="E231" i="12" s="1"/>
  <c r="K156" i="36"/>
  <c r="E159" i="34" s="1"/>
  <c r="E153" i="12" s="1"/>
  <c r="K132" i="36"/>
  <c r="E135" i="34" s="1"/>
  <c r="E129" i="12" s="1"/>
  <c r="K124" i="36"/>
  <c r="E127" i="34" s="1"/>
  <c r="E121" i="12" s="1"/>
  <c r="K102" i="36"/>
  <c r="E105" i="34" s="1"/>
  <c r="E99" i="12" s="1"/>
  <c r="K28" i="36"/>
  <c r="E31" i="34" s="1"/>
  <c r="E25" i="12" s="1"/>
  <c r="K21" i="36"/>
  <c r="E24" i="34" s="1"/>
  <c r="E18" i="12" s="1"/>
  <c r="K63" i="36"/>
  <c r="E66" i="34" s="1"/>
  <c r="E60" i="12" s="1"/>
  <c r="K193" i="36"/>
  <c r="E196" i="34" s="1"/>
  <c r="E190" i="12" s="1"/>
  <c r="K46" i="36"/>
  <c r="E49" i="34" s="1"/>
  <c r="E43" i="12" s="1"/>
  <c r="K246" i="36"/>
  <c r="E249" i="34" s="1"/>
  <c r="E243" i="12" s="1"/>
  <c r="K11" i="36"/>
  <c r="E14" i="34" s="1"/>
  <c r="E8" i="12" s="1"/>
  <c r="K93" i="36"/>
  <c r="E96" i="34" s="1"/>
  <c r="E90" i="12" s="1"/>
  <c r="K90" i="36"/>
  <c r="E93" i="34" s="1"/>
  <c r="E87" i="12" s="1"/>
  <c r="K165" i="36"/>
  <c r="E168" i="34" s="1"/>
  <c r="E162" i="12" s="1"/>
  <c r="K175" i="36"/>
  <c r="E178" i="34" s="1"/>
  <c r="E172" i="12" s="1"/>
  <c r="K185" i="36"/>
  <c r="E188" i="34" s="1"/>
  <c r="E182" i="12" s="1"/>
  <c r="K41" i="36"/>
  <c r="E44" i="34" s="1"/>
  <c r="E38" i="12" s="1"/>
  <c r="K97" i="36"/>
  <c r="E100" i="34" s="1"/>
  <c r="E94" i="12" s="1"/>
  <c r="K137" i="36"/>
  <c r="E140" i="34" s="1"/>
  <c r="E134" i="12" s="1"/>
  <c r="K163" i="36"/>
  <c r="E166" i="34" s="1"/>
  <c r="E160" i="12" s="1"/>
  <c r="K225" i="36"/>
  <c r="E228" i="34" s="1"/>
  <c r="E222" i="12" s="1"/>
  <c r="K197" i="36"/>
  <c r="E200" i="34" s="1"/>
  <c r="E194" i="12" s="1"/>
  <c r="K49" i="36"/>
  <c r="E52" i="34" s="1"/>
  <c r="E46" i="12" s="1"/>
  <c r="K33" i="36"/>
  <c r="E36" i="34" s="1"/>
  <c r="E30" i="12" s="1"/>
  <c r="K67" i="36"/>
  <c r="E70" i="34" s="1"/>
  <c r="E64" i="12" s="1"/>
  <c r="K83" i="36"/>
  <c r="E86" i="34" s="1"/>
  <c r="E80" i="12" s="1"/>
  <c r="K157" i="36"/>
  <c r="E160" i="34" s="1"/>
  <c r="E154" i="12" s="1"/>
  <c r="K229" i="36"/>
  <c r="E232" i="34" s="1"/>
  <c r="E226" i="12" s="1"/>
  <c r="K221" i="36"/>
  <c r="E224" i="34" s="1"/>
  <c r="E218" i="12" s="1"/>
  <c r="K35" i="36"/>
  <c r="E38" i="34" s="1"/>
  <c r="E32" i="12" s="1"/>
  <c r="K145" i="36"/>
  <c r="E148" i="34" s="1"/>
  <c r="E142" i="12" s="1"/>
  <c r="K191" i="36"/>
  <c r="E194" i="34" s="1"/>
  <c r="E188" i="12" s="1"/>
  <c r="K213" i="36"/>
  <c r="E216" i="34" s="1"/>
  <c r="E210" i="12" s="1"/>
  <c r="K239" i="36"/>
  <c r="E242" i="34" s="1"/>
  <c r="E236" i="12" s="1"/>
  <c r="K147" i="36"/>
  <c r="E150" i="34" s="1"/>
  <c r="E144" i="12" s="1"/>
  <c r="K184" i="36"/>
  <c r="E187" i="34" s="1"/>
  <c r="E181" i="12" s="1"/>
  <c r="K238" i="36"/>
  <c r="E241" i="34" s="1"/>
  <c r="E235" i="12" s="1"/>
  <c r="K254" i="36"/>
  <c r="E257" i="34" s="1"/>
  <c r="E251" i="12" s="1"/>
  <c r="K305" i="36"/>
  <c r="E308" i="34" s="1"/>
  <c r="E302" i="12" s="1"/>
  <c r="K297" i="36"/>
  <c r="E300" i="34" s="1"/>
  <c r="E294" i="12" s="1"/>
  <c r="K289" i="36"/>
  <c r="E292" i="34" s="1"/>
  <c r="E286" i="12" s="1"/>
  <c r="K281" i="36"/>
  <c r="E284" i="34" s="1"/>
  <c r="E278" i="12" s="1"/>
  <c r="K273" i="36"/>
  <c r="E276" i="34" s="1"/>
  <c r="E270" i="12" s="1"/>
  <c r="K265" i="36"/>
  <c r="E268" i="34" s="1"/>
  <c r="E262" i="12" s="1"/>
  <c r="K250" i="36"/>
  <c r="E253" i="34" s="1"/>
  <c r="E247" i="12" s="1"/>
  <c r="K218" i="36"/>
  <c r="E221" i="34" s="1"/>
  <c r="E215" i="12" s="1"/>
  <c r="K196" i="36"/>
  <c r="E199" i="34" s="1"/>
  <c r="E193" i="12" s="1"/>
  <c r="K160" i="36"/>
  <c r="E163" i="34" s="1"/>
  <c r="E157" i="12" s="1"/>
  <c r="K152" i="36"/>
  <c r="E155" i="34" s="1"/>
  <c r="E149" i="12" s="1"/>
  <c r="K144" i="36"/>
  <c r="E147" i="34" s="1"/>
  <c r="E141" i="12" s="1"/>
  <c r="K136" i="36"/>
  <c r="E139" i="34" s="1"/>
  <c r="E133" i="12" s="1"/>
  <c r="K128" i="36"/>
  <c r="E131" i="34" s="1"/>
  <c r="E125" i="12" s="1"/>
  <c r="K115" i="36"/>
  <c r="E118" i="34" s="1"/>
  <c r="E112" i="12" s="1"/>
  <c r="K61" i="36"/>
  <c r="E64" i="34" s="1"/>
  <c r="E58" i="12" s="1"/>
  <c r="K226" i="36"/>
  <c r="E229" i="34" s="1"/>
  <c r="E223" i="12" s="1"/>
  <c r="K188" i="36"/>
  <c r="E191" i="34" s="1"/>
  <c r="E185" i="12" s="1"/>
  <c r="K172" i="36"/>
  <c r="E175" i="34" s="1"/>
  <c r="E169" i="12" s="1"/>
  <c r="K106" i="36"/>
  <c r="E109" i="34" s="1"/>
  <c r="E103" i="12" s="1"/>
  <c r="K44" i="36"/>
  <c r="E47" i="34" s="1"/>
  <c r="E41" i="12" s="1"/>
  <c r="K77" i="36"/>
  <c r="E80" i="34" s="1"/>
  <c r="E74" i="12" s="1"/>
  <c r="K89" i="36"/>
  <c r="E92" i="34" s="1"/>
  <c r="E86" i="12" s="1"/>
  <c r="K19" i="36"/>
  <c r="E22" i="34" s="1"/>
  <c r="E16" i="12" s="1"/>
  <c r="K69" i="36"/>
  <c r="E72" i="34" s="1"/>
  <c r="E66" i="12" s="1"/>
  <c r="K47" i="36"/>
  <c r="E50" i="34" s="1"/>
  <c r="E44" i="12" s="1"/>
  <c r="K24" i="36"/>
  <c r="E27" i="34" s="1"/>
  <c r="E21" i="12" s="1"/>
  <c r="K62" i="36"/>
  <c r="E65" i="34" s="1"/>
  <c r="E59" i="12" s="1"/>
  <c r="K295" i="36"/>
  <c r="E298" i="34" s="1"/>
  <c r="E292" i="12" s="1"/>
  <c r="K66" i="36"/>
  <c r="E69" i="34" s="1"/>
  <c r="E63" i="12" s="1"/>
  <c r="K94" i="36"/>
  <c r="E97" i="34" s="1"/>
  <c r="E91" i="12" s="1"/>
  <c r="K260" i="36"/>
  <c r="E263" i="34" s="1"/>
  <c r="E257" i="12" s="1"/>
  <c r="K276" i="36"/>
  <c r="E279" i="34" s="1"/>
  <c r="E273" i="12" s="1"/>
  <c r="K292" i="36"/>
  <c r="E295" i="34" s="1"/>
  <c r="E289" i="12" s="1"/>
  <c r="K308" i="36"/>
  <c r="E311" i="34" s="1"/>
  <c r="E305" i="12" s="1"/>
  <c r="K23" i="36"/>
  <c r="E26" i="34" s="1"/>
  <c r="E20" i="12" s="1"/>
  <c r="K117" i="36"/>
  <c r="E120" i="34" s="1"/>
  <c r="E114" i="12" s="1"/>
  <c r="K267" i="36"/>
  <c r="E270" i="34" s="1"/>
  <c r="E264" i="12" s="1"/>
  <c r="K283" i="36"/>
  <c r="E286" i="34" s="1"/>
  <c r="E280" i="12" s="1"/>
  <c r="K299" i="36"/>
  <c r="E302" i="34" s="1"/>
  <c r="E296" i="12" s="1"/>
  <c r="K80" i="36"/>
  <c r="E83" i="34" s="1"/>
  <c r="E77" i="12" s="1"/>
  <c r="K135" i="36"/>
  <c r="E138" i="34" s="1"/>
  <c r="E132" i="12" s="1"/>
  <c r="K54" i="36"/>
  <c r="E57" i="34" s="1"/>
  <c r="E51" i="12" s="1"/>
  <c r="K270" i="36"/>
  <c r="E273" i="34" s="1"/>
  <c r="E267" i="12" s="1"/>
  <c r="K286" i="36"/>
  <c r="E289" i="34" s="1"/>
  <c r="E283" i="12" s="1"/>
  <c r="K302" i="36"/>
  <c r="E305" i="34" s="1"/>
  <c r="E299" i="12" s="1"/>
  <c r="K60" i="36"/>
  <c r="E63" i="34" s="1"/>
  <c r="E57" i="12" s="1"/>
  <c r="K87" i="36"/>
  <c r="E90" i="34" s="1"/>
  <c r="E84" i="12" s="1"/>
  <c r="K211" i="36"/>
  <c r="E214" i="34" s="1"/>
  <c r="E208" i="12" s="1"/>
  <c r="K207" i="36"/>
  <c r="E210" i="34" s="1"/>
  <c r="E204" i="12" s="1"/>
  <c r="K258" i="36"/>
  <c r="E261" i="34" s="1"/>
  <c r="E255" i="12" s="1"/>
  <c r="K174" i="36"/>
  <c r="E177" i="34" s="1"/>
  <c r="E171" i="12" s="1"/>
  <c r="K244" i="36"/>
  <c r="E247" i="34" s="1"/>
  <c r="E241" i="12" s="1"/>
  <c r="K170" i="36"/>
  <c r="E173" i="34" s="1"/>
  <c r="E167" i="12" s="1"/>
  <c r="K212" i="36"/>
  <c r="E215" i="34" s="1"/>
  <c r="E209" i="12" s="1"/>
  <c r="K150" i="36"/>
  <c r="E153" i="34" s="1"/>
  <c r="E147" i="12" s="1"/>
  <c r="K154" i="36"/>
  <c r="E157" i="34" s="1"/>
  <c r="E151" i="12" s="1"/>
  <c r="K179" i="36"/>
  <c r="E182" i="34" s="1"/>
  <c r="E176" i="12" s="1"/>
  <c r="K59" i="36"/>
  <c r="E62" i="34" s="1"/>
  <c r="E56" i="12" s="1"/>
  <c r="K96" i="36"/>
  <c r="E99" i="34" s="1"/>
  <c r="E93" i="12" s="1"/>
  <c r="K112" i="36"/>
  <c r="E115" i="34" s="1"/>
  <c r="E109" i="12" s="1"/>
  <c r="K116" i="36"/>
  <c r="E119" i="34" s="1"/>
  <c r="E113" i="12" s="1"/>
  <c r="K233" i="36"/>
  <c r="E236" i="34" s="1"/>
  <c r="E230" i="12" s="1"/>
  <c r="K29" i="36"/>
  <c r="E32" i="34" s="1"/>
  <c r="E26" i="12" s="1"/>
  <c r="K37" i="36"/>
  <c r="E40" i="34" s="1"/>
  <c r="E34" i="12" s="1"/>
  <c r="K100" i="36"/>
  <c r="E103" i="34" s="1"/>
  <c r="E97" i="12" s="1"/>
  <c r="K153" i="36"/>
  <c r="E156" i="34" s="1"/>
  <c r="E150" i="12" s="1"/>
  <c r="K183" i="36"/>
  <c r="E186" i="34" s="1"/>
  <c r="E180" i="12" s="1"/>
  <c r="K251" i="36"/>
  <c r="E254" i="34" s="1"/>
  <c r="E248" i="12" s="1"/>
  <c r="K199" i="36"/>
  <c r="E202" i="34" s="1"/>
  <c r="E196" i="12" s="1"/>
  <c r="K25" i="36"/>
  <c r="E28" i="34" s="1"/>
  <c r="E22" i="12" s="1"/>
  <c r="K55" i="36"/>
  <c r="E58" i="34" s="1"/>
  <c r="E52" i="12" s="1"/>
  <c r="K71" i="36"/>
  <c r="E74" i="34" s="1"/>
  <c r="E68" i="12" s="1"/>
  <c r="K101" i="36"/>
  <c r="E104" i="34" s="1"/>
  <c r="E98" i="12" s="1"/>
  <c r="K173" i="36"/>
  <c r="E176" i="34" s="1"/>
  <c r="E170" i="12" s="1"/>
  <c r="K237" i="36"/>
  <c r="E240" i="34" s="1"/>
  <c r="E234" i="12" s="1"/>
  <c r="K227" i="36"/>
  <c r="E230" i="34" s="1"/>
  <c r="E224" i="12" s="1"/>
  <c r="K110" i="36"/>
  <c r="E113" i="34" s="1"/>
  <c r="E107" i="12" s="1"/>
  <c r="K169" i="36"/>
  <c r="E172" i="34" s="1"/>
  <c r="E166" i="12" s="1"/>
  <c r="K201" i="36"/>
  <c r="E204" i="34" s="1"/>
  <c r="E198" i="12" s="1"/>
  <c r="K249" i="36"/>
  <c r="E252" i="34" s="1"/>
  <c r="E246" i="12" s="1"/>
  <c r="K243" i="36"/>
  <c r="E246" i="34" s="1"/>
  <c r="E240" i="12" s="1"/>
  <c r="K236" i="36"/>
  <c r="E239" i="34" s="1"/>
  <c r="E233" i="12" s="1"/>
  <c r="K192" i="36"/>
  <c r="E195" i="34" s="1"/>
  <c r="E189" i="12" s="1"/>
  <c r="K210" i="36"/>
  <c r="E213" i="34" s="1"/>
  <c r="E207" i="12" s="1"/>
  <c r="K103" i="36"/>
  <c r="E106" i="34" s="1"/>
  <c r="E100" i="12" s="1"/>
  <c r="K95" i="36"/>
  <c r="E98" i="34" s="1"/>
  <c r="E92" i="12" s="1"/>
  <c r="K208" i="36"/>
  <c r="E211" i="34" s="1"/>
  <c r="E205" i="12" s="1"/>
  <c r="K111" i="36"/>
  <c r="E114" i="34" s="1"/>
  <c r="E108" i="12" s="1"/>
  <c r="K99" i="36"/>
  <c r="E102" i="34" s="1"/>
  <c r="E96" i="12" s="1"/>
  <c r="K40" i="36"/>
  <c r="E43" i="34" s="1"/>
  <c r="E37" i="12" s="1"/>
  <c r="K119" i="36"/>
  <c r="E122" i="34" s="1"/>
  <c r="E116" i="12" s="1"/>
  <c r="K56" i="36"/>
  <c r="E59" i="34" s="1"/>
  <c r="E53" i="12" s="1"/>
  <c r="K36" i="36"/>
  <c r="E39" i="34" s="1"/>
  <c r="E33" i="12" s="1"/>
  <c r="K32" i="36"/>
  <c r="E35" i="34" s="1"/>
  <c r="E29" i="12" s="1"/>
  <c r="K70" i="36"/>
  <c r="E73" i="34" s="1"/>
  <c r="E67" i="12" s="1"/>
  <c r="K12" i="36"/>
  <c r="E15" i="34" s="1"/>
  <c r="E9" i="12" s="1"/>
  <c r="K78" i="36"/>
  <c r="E81" i="34" s="1"/>
  <c r="E75" i="12" s="1"/>
  <c r="K82" i="36"/>
  <c r="E85" i="34" s="1"/>
  <c r="E79" i="12" s="1"/>
  <c r="K262" i="36"/>
  <c r="E265" i="34" s="1"/>
  <c r="E259" i="12" s="1"/>
  <c r="K278" i="36"/>
  <c r="E281" i="34" s="1"/>
  <c r="E275" i="12" s="1"/>
  <c r="K294" i="36"/>
  <c r="E297" i="34" s="1"/>
  <c r="E291" i="12" s="1"/>
  <c r="K264" i="36"/>
  <c r="E267" i="34" s="1"/>
  <c r="E261" i="12" s="1"/>
  <c r="K280" i="36"/>
  <c r="E283" i="34" s="1"/>
  <c r="E277" i="12" s="1"/>
  <c r="K296" i="36"/>
  <c r="E299" i="34" s="1"/>
  <c r="E293" i="12" s="1"/>
  <c r="K271" i="36"/>
  <c r="E274" i="34" s="1"/>
  <c r="E268" i="12" s="1"/>
  <c r="K287" i="36"/>
  <c r="E290" i="34" s="1"/>
  <c r="E284" i="12" s="1"/>
  <c r="K303" i="36"/>
  <c r="E306" i="34" s="1"/>
  <c r="E300" i="12" s="1"/>
  <c r="K143" i="36"/>
  <c r="E146" i="34" s="1"/>
  <c r="E140" i="12" s="1"/>
  <c r="K256" i="36"/>
  <c r="E259" i="34" s="1"/>
  <c r="E253" i="12" s="1"/>
  <c r="K274" i="36"/>
  <c r="E277" i="34" s="1"/>
  <c r="E271" i="12" s="1"/>
  <c r="K290" i="36"/>
  <c r="E293" i="34" s="1"/>
  <c r="E287" i="12" s="1"/>
  <c r="K306" i="36"/>
  <c r="E309" i="34" s="1"/>
  <c r="E303" i="12" s="1"/>
  <c r="K139" i="36"/>
  <c r="E142" i="34" s="1"/>
  <c r="E136" i="12" s="1"/>
  <c r="K68" i="36"/>
  <c r="E71" i="34" s="1"/>
  <c r="E65" i="12" s="1"/>
  <c r="K215" i="36"/>
  <c r="E218" i="34" s="1"/>
  <c r="E212" i="12" s="1"/>
  <c r="K126" i="36"/>
  <c r="E129" i="34" s="1"/>
  <c r="E123" i="12" s="1"/>
  <c r="K182" i="36"/>
  <c r="E185" i="34" s="1"/>
  <c r="E179" i="12" s="1"/>
  <c r="K186" i="36"/>
  <c r="E189" i="34" s="1"/>
  <c r="E183" i="12" s="1"/>
  <c r="K220" i="36"/>
  <c r="E223" i="34" s="1"/>
  <c r="E217" i="12" s="1"/>
  <c r="K166" i="36"/>
  <c r="E169" i="34" s="1"/>
  <c r="E163" i="12" s="1"/>
  <c r="K216" i="36"/>
  <c r="E219" i="34" s="1"/>
  <c r="E213" i="12" s="1"/>
  <c r="K159" i="36"/>
  <c r="E162" i="34" s="1"/>
  <c r="E156" i="12" s="1"/>
  <c r="K75" i="36"/>
  <c r="E78" i="34" s="1"/>
  <c r="E72" i="12" s="1"/>
  <c r="K187" i="36"/>
  <c r="E190" i="34" s="1"/>
  <c r="E184" i="12" s="1"/>
  <c r="K231" i="36"/>
  <c r="E234" i="34" s="1"/>
  <c r="E228" i="12" s="1"/>
  <c r="K257" i="36"/>
  <c r="E260" i="34" s="1"/>
  <c r="E254" i="12" s="1"/>
  <c r="K247" i="36"/>
  <c r="E250" i="34" s="1"/>
  <c r="E244" i="12" s="1"/>
  <c r="K230" i="36"/>
  <c r="E233" i="34" s="1"/>
  <c r="E227" i="12" s="1"/>
  <c r="K222" i="36"/>
  <c r="E225" i="34" s="1"/>
  <c r="E219" i="12" s="1"/>
  <c r="K285" i="36"/>
  <c r="E288" i="34" s="1"/>
  <c r="E282" i="12" s="1"/>
  <c r="K277" i="36"/>
  <c r="E280" i="34" s="1"/>
  <c r="E274" i="12" s="1"/>
  <c r="K214" i="36"/>
  <c r="E217" i="34" s="1"/>
  <c r="E211" i="12" s="1"/>
  <c r="K180" i="36"/>
  <c r="E183" i="34" s="1"/>
  <c r="E177" i="12" s="1"/>
  <c r="K148" i="36"/>
  <c r="E151" i="34" s="1"/>
  <c r="E145" i="12" s="1"/>
  <c r="K140" i="36"/>
  <c r="E143" i="34" s="1"/>
  <c r="E137" i="12" s="1"/>
  <c r="K38" i="36"/>
  <c r="E41" i="34" s="1"/>
  <c r="E35" i="12" s="1"/>
  <c r="K242" i="36"/>
  <c r="E245" i="34" s="1"/>
  <c r="E239" i="12" s="1"/>
  <c r="K206" i="36"/>
  <c r="E209" i="34" s="1"/>
  <c r="E203" i="12" s="1"/>
  <c r="K176" i="36"/>
  <c r="E179" i="34" s="1"/>
  <c r="E173" i="12" s="1"/>
  <c r="K52" i="36"/>
  <c r="E55" i="34" s="1"/>
  <c r="E49" i="12" s="1"/>
  <c r="K73" i="36"/>
  <c r="E76" i="34" s="1"/>
  <c r="E70" i="12" s="1"/>
  <c r="K85" i="36"/>
  <c r="E88" i="34" s="1"/>
  <c r="E82" i="12" s="1"/>
  <c r="K219" i="36"/>
  <c r="E222" i="34" s="1"/>
  <c r="E216" i="12" s="1"/>
  <c r="K263" i="36"/>
  <c r="E266" i="34" s="1"/>
  <c r="E260" i="12" s="1"/>
  <c r="K268" i="36"/>
  <c r="E271" i="34" s="1"/>
  <c r="E265" i="12" s="1"/>
  <c r="K284" i="36"/>
  <c r="E287" i="34" s="1"/>
  <c r="E281" i="12" s="1"/>
  <c r="K300" i="36"/>
  <c r="E303" i="34" s="1"/>
  <c r="E297" i="12" s="1"/>
  <c r="K50" i="36"/>
  <c r="E53" i="34" s="1"/>
  <c r="E47" i="12" s="1"/>
  <c r="K259" i="36"/>
  <c r="E262" i="34" s="1"/>
  <c r="E256" i="12" s="1"/>
  <c r="K275" i="36"/>
  <c r="E278" i="34" s="1"/>
  <c r="E272" i="12" s="1"/>
  <c r="K291" i="36"/>
  <c r="E294" i="34" s="1"/>
  <c r="E288" i="12" s="1"/>
  <c r="K307" i="36"/>
  <c r="E310" i="34" s="1"/>
  <c r="E304" i="12" s="1"/>
  <c r="K64" i="36"/>
  <c r="E67" i="34" s="1"/>
  <c r="E61" i="12" s="1"/>
  <c r="K151" i="36"/>
  <c r="E154" i="34" s="1"/>
  <c r="E148" i="12" s="1"/>
  <c r="K105" i="36"/>
  <c r="E108" i="34" s="1"/>
  <c r="E102" i="12" s="1"/>
  <c r="K92" i="36"/>
  <c r="E95" i="34" s="1"/>
  <c r="E89" i="12" s="1"/>
  <c r="K18" i="36"/>
  <c r="E21" i="34" s="1"/>
  <c r="E15" i="12" s="1"/>
  <c r="K76" i="36"/>
  <c r="E79" i="34" s="1"/>
  <c r="E73" i="12" s="1"/>
  <c r="K14" i="36"/>
  <c r="E17" i="34" s="1"/>
  <c r="E11" i="12" s="1"/>
  <c r="K118" i="36"/>
  <c r="E121" i="34" s="1"/>
  <c r="E115" i="12" s="1"/>
  <c r="K223" i="36"/>
  <c r="E226" i="34" s="1"/>
  <c r="E220" i="12" s="1"/>
  <c r="K142" i="36"/>
  <c r="E145" i="34" s="1"/>
  <c r="E139" i="12" s="1"/>
  <c r="K198" i="36"/>
  <c r="E201" i="34" s="1"/>
  <c r="E195" i="12" s="1"/>
  <c r="K232" i="36"/>
  <c r="E235" i="34" s="1"/>
  <c r="E229" i="12" s="1"/>
  <c r="K30" i="36"/>
  <c r="E33" i="34" s="1"/>
  <c r="E27" i="12" s="1"/>
  <c r="K190" i="36"/>
  <c r="E193" i="34" s="1"/>
  <c r="E187" i="12" s="1"/>
  <c r="K122" i="36"/>
  <c r="E125" i="34" s="1"/>
  <c r="E119" i="12" s="1"/>
  <c r="K178" i="36"/>
  <c r="E181" i="34" s="1"/>
  <c r="E175" i="12" s="1"/>
  <c r="K224" i="36"/>
  <c r="E227" i="34" s="1"/>
  <c r="E221" i="12" s="1"/>
  <c r="K255" i="36"/>
  <c r="E258" i="34" s="1"/>
  <c r="E252" i="12" s="1"/>
  <c r="K58" i="36"/>
  <c r="E61" i="34" s="1"/>
  <c r="E55" i="12" s="1"/>
  <c r="K17" i="36"/>
  <c r="E20" i="34" s="1"/>
  <c r="E14" i="12" s="1"/>
  <c r="K91" i="36"/>
  <c r="E94" i="34" s="1"/>
  <c r="E88" i="12" s="1"/>
  <c r="K121" i="36"/>
  <c r="E124" i="34" s="1"/>
  <c r="E118" i="12" s="1"/>
  <c r="K79" i="36"/>
  <c r="E82" i="34" s="1"/>
  <c r="E76" i="12" s="1"/>
  <c r="K141" i="36"/>
  <c r="E144" i="34" s="1"/>
  <c r="E138" i="12" s="1"/>
  <c r="K129" i="36"/>
  <c r="E132" i="34" s="1"/>
  <c r="E126" i="12" s="1"/>
  <c r="K167" i="36"/>
  <c r="E170" i="34" s="1"/>
  <c r="E164" i="12" s="1"/>
  <c r="K205" i="36"/>
  <c r="E208" i="34" s="1"/>
  <c r="E202" i="12" s="1"/>
  <c r="K168" i="36"/>
  <c r="E171" i="34" s="1"/>
  <c r="E165" i="12" s="1"/>
  <c r="K162" i="36"/>
  <c r="E165" i="34" s="1"/>
  <c r="E159" i="12" s="1"/>
  <c r="K146" i="36"/>
  <c r="E149" i="34" s="1"/>
  <c r="E143" i="12" s="1"/>
  <c r="K130" i="36"/>
  <c r="E133" i="34" s="1"/>
  <c r="E127" i="12" s="1"/>
  <c r="K65" i="36"/>
  <c r="E68" i="34" s="1"/>
  <c r="E62" i="12" s="1"/>
  <c r="K107" i="36"/>
  <c r="E110" i="34" s="1"/>
  <c r="E104" i="12" s="1"/>
  <c r="K27" i="36"/>
  <c r="E30" i="34" s="1"/>
  <c r="E24" i="12" s="1"/>
  <c r="K279" i="36"/>
  <c r="E282" i="34" s="1"/>
  <c r="E276" i="12" s="1"/>
  <c r="K98" i="36"/>
  <c r="E101" i="34" s="1"/>
  <c r="E95" i="12" s="1"/>
  <c r="K272" i="36"/>
  <c r="E275" i="34" s="1"/>
  <c r="E269" i="12" s="1"/>
  <c r="K288" i="36"/>
  <c r="E291" i="34" s="1"/>
  <c r="E285" i="12" s="1"/>
  <c r="K304" i="36"/>
  <c r="E307" i="34" s="1"/>
  <c r="E301" i="12" s="1"/>
  <c r="K15" i="36"/>
  <c r="E18" i="34" s="1"/>
  <c r="E12" i="12" s="1"/>
  <c r="K72" i="36"/>
  <c r="E75" i="34" s="1"/>
  <c r="E69" i="12" s="1"/>
  <c r="K127" i="36"/>
  <c r="E130" i="34" s="1"/>
  <c r="E124" i="12" s="1"/>
  <c r="K109" i="36"/>
  <c r="E112" i="34" s="1"/>
  <c r="E106" i="12" s="1"/>
  <c r="K252" i="36"/>
  <c r="E255" i="34" s="1"/>
  <c r="E249" i="12" s="1"/>
  <c r="K266" i="36"/>
  <c r="E269" i="34" s="1"/>
  <c r="E263" i="12" s="1"/>
  <c r="K282" i="36"/>
  <c r="E285" i="34" s="1"/>
  <c r="E279" i="12" s="1"/>
  <c r="K298" i="36"/>
  <c r="E301" i="34" s="1"/>
  <c r="E295" i="12" s="1"/>
  <c r="K84" i="36"/>
  <c r="E87" i="34" s="1"/>
  <c r="E81" i="12" s="1"/>
  <c r="K123" i="36"/>
  <c r="E126" i="34" s="1"/>
  <c r="E120" i="12" s="1"/>
  <c r="K155" i="36"/>
  <c r="E158" i="34" s="1"/>
  <c r="E152" i="12" s="1"/>
  <c r="K114" i="36"/>
  <c r="E117" i="34" s="1"/>
  <c r="K253" i="36"/>
  <c r="E256" i="34" s="1"/>
  <c r="E250" i="12" s="1"/>
  <c r="K51" i="36"/>
  <c r="E54" i="34" s="1"/>
  <c r="E48" i="12" s="1"/>
  <c r="K203" i="36"/>
  <c r="E206" i="34" s="1"/>
  <c r="E200" i="12" s="1"/>
  <c r="K22" i="36"/>
  <c r="E25" i="34" s="1"/>
  <c r="E19" i="12" s="1"/>
  <c r="K10" i="36"/>
  <c r="E13" i="34" s="1"/>
  <c r="E7" i="12" s="1"/>
  <c r="K34" i="36"/>
  <c r="E37" i="34" s="1"/>
  <c r="E31" i="12" s="1"/>
  <c r="K158" i="36"/>
  <c r="E161" i="34" s="1"/>
  <c r="E155" i="12" s="1"/>
  <c r="K228" i="36"/>
  <c r="E231" i="34" s="1"/>
  <c r="E225" i="12" s="1"/>
  <c r="K204" i="36"/>
  <c r="E207" i="34" s="1"/>
  <c r="K248" i="36"/>
  <c r="E251" i="34" s="1"/>
  <c r="E245" i="12" s="1"/>
  <c r="K42" i="36"/>
  <c r="E45" i="34" s="1"/>
  <c r="E39" i="12" s="1"/>
  <c r="K134" i="36"/>
  <c r="E137" i="34" s="1"/>
  <c r="E131" i="12" s="1"/>
  <c r="K138" i="36"/>
  <c r="E141" i="34" s="1"/>
  <c r="E135" i="12" s="1"/>
  <c r="K194" i="36"/>
  <c r="E197" i="34" s="1"/>
  <c r="E191" i="12" s="1"/>
  <c r="K240" i="36"/>
  <c r="E243" i="34" s="1"/>
  <c r="E237" i="12" s="1"/>
  <c r="K9" i="36"/>
  <c r="L306" i="19"/>
  <c r="P6" i="19"/>
  <c r="O306" i="19"/>
  <c r="P310" i="19" s="1"/>
  <c r="I309" i="36"/>
  <c r="E309" i="36"/>
  <c r="J309" i="36"/>
  <c r="H309" i="36"/>
  <c r="F309" i="36"/>
  <c r="D309" i="36"/>
  <c r="G309" i="36"/>
  <c r="E201" i="12" l="1"/>
  <c r="F28" i="48"/>
  <c r="E111" i="12"/>
  <c r="K309" i="36"/>
  <c r="G306" i="49"/>
  <c r="R6" i="19"/>
  <c r="E12" i="34"/>
  <c r="F306" i="49"/>
  <c r="D305" i="25"/>
  <c r="H7" i="49" l="1"/>
  <c r="H11" i="49"/>
  <c r="I11" i="49" s="1"/>
  <c r="H15" i="49"/>
  <c r="I15" i="49" s="1"/>
  <c r="H19" i="49"/>
  <c r="I19" i="49" s="1"/>
  <c r="H23" i="49"/>
  <c r="I23" i="49" s="1"/>
  <c r="H27" i="49"/>
  <c r="I27" i="49" s="1"/>
  <c r="H31" i="49"/>
  <c r="I31" i="49" s="1"/>
  <c r="H35" i="49"/>
  <c r="I35" i="49" s="1"/>
  <c r="H39" i="49"/>
  <c r="I39" i="49" s="1"/>
  <c r="H43" i="49"/>
  <c r="I43" i="49" s="1"/>
  <c r="H47" i="49"/>
  <c r="I47" i="49" s="1"/>
  <c r="H51" i="49"/>
  <c r="I51" i="49" s="1"/>
  <c r="H55" i="49"/>
  <c r="I55" i="49" s="1"/>
  <c r="H8" i="49"/>
  <c r="I8" i="49" s="1"/>
  <c r="H12" i="49"/>
  <c r="I12" i="49" s="1"/>
  <c r="H16" i="49"/>
  <c r="I16" i="49" s="1"/>
  <c r="H20" i="49"/>
  <c r="I20" i="49" s="1"/>
  <c r="H24" i="49"/>
  <c r="I24" i="49" s="1"/>
  <c r="H28" i="49"/>
  <c r="I28" i="49" s="1"/>
  <c r="H32" i="49"/>
  <c r="I32" i="49" s="1"/>
  <c r="H36" i="49"/>
  <c r="I36" i="49" s="1"/>
  <c r="H40" i="49"/>
  <c r="I40" i="49" s="1"/>
  <c r="H44" i="49"/>
  <c r="I44" i="49" s="1"/>
  <c r="H48" i="49"/>
  <c r="I48" i="49" s="1"/>
  <c r="H52" i="49"/>
  <c r="I52" i="49" s="1"/>
  <c r="H56" i="49"/>
  <c r="I56" i="49" s="1"/>
  <c r="H60" i="49"/>
  <c r="I60" i="49" s="1"/>
  <c r="H64" i="49"/>
  <c r="I64" i="49" s="1"/>
  <c r="H68" i="49"/>
  <c r="I68" i="49" s="1"/>
  <c r="H72" i="49"/>
  <c r="I72" i="49" s="1"/>
  <c r="H9" i="49"/>
  <c r="I9" i="49" s="1"/>
  <c r="H13" i="49"/>
  <c r="I13" i="49" s="1"/>
  <c r="H17" i="49"/>
  <c r="I17" i="49" s="1"/>
  <c r="H21" i="49"/>
  <c r="I21" i="49" s="1"/>
  <c r="H25" i="49"/>
  <c r="I25" i="49" s="1"/>
  <c r="H29" i="49"/>
  <c r="I29" i="49" s="1"/>
  <c r="H33" i="49"/>
  <c r="I33" i="49" s="1"/>
  <c r="H37" i="49"/>
  <c r="I37" i="49" s="1"/>
  <c r="H41" i="49"/>
  <c r="I41" i="49" s="1"/>
  <c r="H45" i="49"/>
  <c r="I45" i="49" s="1"/>
  <c r="H49" i="49"/>
  <c r="I49" i="49" s="1"/>
  <c r="H53" i="49"/>
  <c r="I53" i="49" s="1"/>
  <c r="H57" i="49"/>
  <c r="I57" i="49" s="1"/>
  <c r="H61" i="49"/>
  <c r="I61" i="49" s="1"/>
  <c r="H65" i="49"/>
  <c r="I65" i="49" s="1"/>
  <c r="H69" i="49"/>
  <c r="I69" i="49" s="1"/>
  <c r="H73" i="49"/>
  <c r="I73" i="49" s="1"/>
  <c r="H10" i="49"/>
  <c r="I10" i="49" s="1"/>
  <c r="H18" i="49"/>
  <c r="I18" i="49" s="1"/>
  <c r="H34" i="49"/>
  <c r="I34" i="49" s="1"/>
  <c r="H50" i="49"/>
  <c r="I50" i="49" s="1"/>
  <c r="H62" i="49"/>
  <c r="I62" i="49" s="1"/>
  <c r="H63" i="49"/>
  <c r="I63" i="49" s="1"/>
  <c r="H70" i="49"/>
  <c r="I70" i="49" s="1"/>
  <c r="H71" i="49"/>
  <c r="I71" i="49" s="1"/>
  <c r="H79" i="49"/>
  <c r="I79" i="49" s="1"/>
  <c r="H83" i="49"/>
  <c r="I83" i="49" s="1"/>
  <c r="H87" i="49"/>
  <c r="I87" i="49" s="1"/>
  <c r="H91" i="49"/>
  <c r="I91" i="49" s="1"/>
  <c r="H95" i="49"/>
  <c r="I95" i="49" s="1"/>
  <c r="H99" i="49"/>
  <c r="I99" i="49" s="1"/>
  <c r="H103" i="49"/>
  <c r="I103" i="49" s="1"/>
  <c r="H107" i="49"/>
  <c r="I107" i="49" s="1"/>
  <c r="H111" i="49"/>
  <c r="H115" i="49"/>
  <c r="H119" i="49"/>
  <c r="I119" i="49" s="1"/>
  <c r="H123" i="49"/>
  <c r="H127" i="49"/>
  <c r="I127" i="49" s="1"/>
  <c r="H22" i="49"/>
  <c r="I22" i="49" s="1"/>
  <c r="H38" i="49"/>
  <c r="I38" i="49" s="1"/>
  <c r="H54" i="49"/>
  <c r="I54" i="49" s="1"/>
  <c r="H80" i="49"/>
  <c r="I80" i="49" s="1"/>
  <c r="H84" i="49"/>
  <c r="I84" i="49" s="1"/>
  <c r="H88" i="49"/>
  <c r="I88" i="49" s="1"/>
  <c r="H92" i="49"/>
  <c r="I92" i="49" s="1"/>
  <c r="H96" i="49"/>
  <c r="I96" i="49" s="1"/>
  <c r="H100" i="49"/>
  <c r="I100" i="49" s="1"/>
  <c r="H104" i="49"/>
  <c r="I104" i="49" s="1"/>
  <c r="H108" i="49"/>
  <c r="H112" i="49"/>
  <c r="I112" i="49" s="1"/>
  <c r="H116" i="49"/>
  <c r="H120" i="49"/>
  <c r="H124" i="49"/>
  <c r="H14" i="49"/>
  <c r="H26" i="49"/>
  <c r="I26" i="49" s="1"/>
  <c r="H42" i="49"/>
  <c r="I42" i="49" s="1"/>
  <c r="H58" i="49"/>
  <c r="I58" i="49" s="1"/>
  <c r="H59" i="49"/>
  <c r="I59" i="49" s="1"/>
  <c r="H66" i="49"/>
  <c r="I66" i="49" s="1"/>
  <c r="H67" i="49"/>
  <c r="I67" i="49" s="1"/>
  <c r="H74" i="49"/>
  <c r="I74" i="49" s="1"/>
  <c r="H75" i="49"/>
  <c r="I75" i="49" s="1"/>
  <c r="H76" i="49"/>
  <c r="I76" i="49" s="1"/>
  <c r="H77" i="49"/>
  <c r="I77" i="49" s="1"/>
  <c r="H81" i="49"/>
  <c r="I81" i="49" s="1"/>
  <c r="H85" i="49"/>
  <c r="I85" i="49" s="1"/>
  <c r="H89" i="49"/>
  <c r="I89" i="49" s="1"/>
  <c r="H93" i="49"/>
  <c r="I93" i="49" s="1"/>
  <c r="H97" i="49"/>
  <c r="I97" i="49" s="1"/>
  <c r="H101" i="49"/>
  <c r="I101" i="49" s="1"/>
  <c r="H30" i="49"/>
  <c r="I30" i="49" s="1"/>
  <c r="H46" i="49"/>
  <c r="I46" i="49" s="1"/>
  <c r="H82" i="49"/>
  <c r="I82" i="49" s="1"/>
  <c r="H90" i="49"/>
  <c r="I90" i="49" s="1"/>
  <c r="H98" i="49"/>
  <c r="I98" i="49" s="1"/>
  <c r="H121" i="49"/>
  <c r="H122" i="49"/>
  <c r="H125" i="49"/>
  <c r="H126" i="49"/>
  <c r="I126" i="49" s="1"/>
  <c r="H129" i="49"/>
  <c r="H133" i="49"/>
  <c r="I133" i="49" s="1"/>
  <c r="H137" i="49"/>
  <c r="H141" i="49"/>
  <c r="I141" i="49" s="1"/>
  <c r="H145" i="49"/>
  <c r="I145" i="49" s="1"/>
  <c r="H149" i="49"/>
  <c r="I149" i="49" s="1"/>
  <c r="H153" i="49"/>
  <c r="I153" i="49" s="1"/>
  <c r="H157" i="49"/>
  <c r="I157" i="49" s="1"/>
  <c r="H161" i="49"/>
  <c r="I161" i="49" s="1"/>
  <c r="H165" i="49"/>
  <c r="I165" i="49" s="1"/>
  <c r="H169" i="49"/>
  <c r="I169" i="49" s="1"/>
  <c r="H173" i="49"/>
  <c r="I173" i="49" s="1"/>
  <c r="H177" i="49"/>
  <c r="I177" i="49" s="1"/>
  <c r="H181" i="49"/>
  <c r="I181" i="49" s="1"/>
  <c r="H185" i="49"/>
  <c r="I185" i="49" s="1"/>
  <c r="H113" i="49"/>
  <c r="H114" i="49"/>
  <c r="H117" i="49"/>
  <c r="I117" i="49" s="1"/>
  <c r="H118" i="49"/>
  <c r="H130" i="49"/>
  <c r="H134" i="49"/>
  <c r="I134" i="49" s="1"/>
  <c r="H138" i="49"/>
  <c r="I138" i="49" s="1"/>
  <c r="H142" i="49"/>
  <c r="H146" i="49"/>
  <c r="H150" i="49"/>
  <c r="H154" i="49"/>
  <c r="I154" i="49" s="1"/>
  <c r="H158" i="49"/>
  <c r="I158" i="49" s="1"/>
  <c r="H162" i="49"/>
  <c r="I162" i="49" s="1"/>
  <c r="H166" i="49"/>
  <c r="I166" i="49" s="1"/>
  <c r="H170" i="49"/>
  <c r="I170" i="49" s="1"/>
  <c r="H174" i="49"/>
  <c r="I174" i="49" s="1"/>
  <c r="H178" i="49"/>
  <c r="I178" i="49" s="1"/>
  <c r="H182" i="49"/>
  <c r="I182" i="49" s="1"/>
  <c r="H186" i="49"/>
  <c r="I186" i="49" s="1"/>
  <c r="H78" i="49"/>
  <c r="I78" i="49" s="1"/>
  <c r="H86" i="49"/>
  <c r="I86" i="49" s="1"/>
  <c r="H94" i="49"/>
  <c r="I94" i="49" s="1"/>
  <c r="H102" i="49"/>
  <c r="I102" i="49" s="1"/>
  <c r="H109" i="49"/>
  <c r="I109" i="49" s="1"/>
  <c r="H110" i="49"/>
  <c r="I110" i="49" s="1"/>
  <c r="H131" i="49"/>
  <c r="I131" i="49" s="1"/>
  <c r="H135" i="49"/>
  <c r="I135" i="49" s="1"/>
  <c r="H139" i="49"/>
  <c r="I139" i="49" s="1"/>
  <c r="H143" i="49"/>
  <c r="H147" i="49"/>
  <c r="H151" i="49"/>
  <c r="I151" i="49" s="1"/>
  <c r="H155" i="49"/>
  <c r="I155" i="49" s="1"/>
  <c r="H159" i="49"/>
  <c r="I159" i="49" s="1"/>
  <c r="H163" i="49"/>
  <c r="I163" i="49" s="1"/>
  <c r="H167" i="49"/>
  <c r="I167" i="49" s="1"/>
  <c r="H171" i="49"/>
  <c r="I171" i="49" s="1"/>
  <c r="H175" i="49"/>
  <c r="I175" i="49" s="1"/>
  <c r="H105" i="49"/>
  <c r="I105" i="49" s="1"/>
  <c r="H106" i="49"/>
  <c r="H128" i="49"/>
  <c r="H132" i="49"/>
  <c r="I132" i="49" s="1"/>
  <c r="H136" i="49"/>
  <c r="I136" i="49" s="1"/>
  <c r="H140" i="49"/>
  <c r="I140" i="49" s="1"/>
  <c r="H144" i="49"/>
  <c r="H148" i="49"/>
  <c r="H152" i="49"/>
  <c r="I152" i="49" s="1"/>
  <c r="H156" i="49"/>
  <c r="I156" i="49" s="1"/>
  <c r="H160" i="49"/>
  <c r="I160" i="49" s="1"/>
  <c r="H164" i="49"/>
  <c r="I164" i="49" s="1"/>
  <c r="H168" i="49"/>
  <c r="I168" i="49" s="1"/>
  <c r="H172" i="49"/>
  <c r="I172" i="49" s="1"/>
  <c r="H176" i="49"/>
  <c r="I176" i="49" s="1"/>
  <c r="H180" i="49"/>
  <c r="I180" i="49" s="1"/>
  <c r="H183" i="49"/>
  <c r="I183" i="49" s="1"/>
  <c r="H184" i="49"/>
  <c r="H189" i="49"/>
  <c r="I189" i="49" s="1"/>
  <c r="H190" i="49"/>
  <c r="I190" i="49" s="1"/>
  <c r="H194" i="49"/>
  <c r="I194" i="49" s="1"/>
  <c r="H198" i="49"/>
  <c r="I198" i="49" s="1"/>
  <c r="H202" i="49"/>
  <c r="I202" i="49" s="1"/>
  <c r="H206" i="49"/>
  <c r="I206" i="49" s="1"/>
  <c r="H210" i="49"/>
  <c r="I210" i="49" s="1"/>
  <c r="H214" i="49"/>
  <c r="I214" i="49" s="1"/>
  <c r="H218" i="49"/>
  <c r="I218" i="49" s="1"/>
  <c r="H222" i="49"/>
  <c r="I222" i="49" s="1"/>
  <c r="H226" i="49"/>
  <c r="I226" i="49" s="1"/>
  <c r="H230" i="49"/>
  <c r="I230" i="49" s="1"/>
  <c r="H234" i="49"/>
  <c r="I234" i="49" s="1"/>
  <c r="H238" i="49"/>
  <c r="I238" i="49" s="1"/>
  <c r="H242" i="49"/>
  <c r="I242" i="49" s="1"/>
  <c r="H191" i="49"/>
  <c r="I191" i="49" s="1"/>
  <c r="H195" i="49"/>
  <c r="H199" i="49"/>
  <c r="I199" i="49" s="1"/>
  <c r="H203" i="49"/>
  <c r="I203" i="49" s="1"/>
  <c r="H207" i="49"/>
  <c r="I207" i="49" s="1"/>
  <c r="H211" i="49"/>
  <c r="I211" i="49" s="1"/>
  <c r="H215" i="49"/>
  <c r="I215" i="49" s="1"/>
  <c r="H219" i="49"/>
  <c r="I219" i="49" s="1"/>
  <c r="H223" i="49"/>
  <c r="I223" i="49" s="1"/>
  <c r="H227" i="49"/>
  <c r="I227" i="49" s="1"/>
  <c r="H231" i="49"/>
  <c r="I231" i="49" s="1"/>
  <c r="H235" i="49"/>
  <c r="I235" i="49" s="1"/>
  <c r="H239" i="49"/>
  <c r="I239" i="49" s="1"/>
  <c r="H243" i="49"/>
  <c r="I243" i="49" s="1"/>
  <c r="H247" i="49"/>
  <c r="I247" i="49" s="1"/>
  <c r="H251" i="49"/>
  <c r="I251" i="49" s="1"/>
  <c r="H192" i="49"/>
  <c r="I192" i="49" s="1"/>
  <c r="H196" i="49"/>
  <c r="H200" i="49"/>
  <c r="I200" i="49" s="1"/>
  <c r="H204" i="49"/>
  <c r="I204" i="49" s="1"/>
  <c r="H208" i="49"/>
  <c r="I208" i="49" s="1"/>
  <c r="H212" i="49"/>
  <c r="I212" i="49" s="1"/>
  <c r="H216" i="49"/>
  <c r="I216" i="49" s="1"/>
  <c r="H220" i="49"/>
  <c r="I220" i="49" s="1"/>
  <c r="H224" i="49"/>
  <c r="I224" i="49" s="1"/>
  <c r="H228" i="49"/>
  <c r="I228" i="49" s="1"/>
  <c r="H232" i="49"/>
  <c r="I232" i="49" s="1"/>
  <c r="H236" i="49"/>
  <c r="I236" i="49" s="1"/>
  <c r="H240" i="49"/>
  <c r="I240" i="49" s="1"/>
  <c r="H244" i="49"/>
  <c r="I244" i="49" s="1"/>
  <c r="H248" i="49"/>
  <c r="I248" i="49" s="1"/>
  <c r="H252" i="49"/>
  <c r="I252" i="49" s="1"/>
  <c r="H188" i="49"/>
  <c r="I188" i="49" s="1"/>
  <c r="H193" i="49"/>
  <c r="I193" i="49" s="1"/>
  <c r="H205" i="49"/>
  <c r="I205" i="49" s="1"/>
  <c r="H221" i="49"/>
  <c r="I221" i="49" s="1"/>
  <c r="H237" i="49"/>
  <c r="I237" i="49" s="1"/>
  <c r="H257" i="49"/>
  <c r="I257" i="49" s="1"/>
  <c r="H261" i="49"/>
  <c r="I261" i="49" s="1"/>
  <c r="H265" i="49"/>
  <c r="I265" i="49" s="1"/>
  <c r="H269" i="49"/>
  <c r="H273" i="49"/>
  <c r="H277" i="49"/>
  <c r="I277" i="49" s="1"/>
  <c r="H281" i="49"/>
  <c r="I281" i="49" s="1"/>
  <c r="H285" i="49"/>
  <c r="I285" i="49" s="1"/>
  <c r="H289" i="49"/>
  <c r="I289" i="49" s="1"/>
  <c r="H293" i="49"/>
  <c r="I293" i="49" s="1"/>
  <c r="H297" i="49"/>
  <c r="H301" i="49"/>
  <c r="I301" i="49" s="1"/>
  <c r="H305" i="49"/>
  <c r="I305" i="49" s="1"/>
  <c r="H209" i="49"/>
  <c r="I209" i="49" s="1"/>
  <c r="H225" i="49"/>
  <c r="I225" i="49" s="1"/>
  <c r="H241" i="49"/>
  <c r="I241" i="49" s="1"/>
  <c r="H246" i="49"/>
  <c r="I246" i="49" s="1"/>
  <c r="H253" i="49"/>
  <c r="I253" i="49" s="1"/>
  <c r="H254" i="49"/>
  <c r="I254" i="49" s="1"/>
  <c r="H258" i="49"/>
  <c r="I258" i="49" s="1"/>
  <c r="H262" i="49"/>
  <c r="I262" i="49" s="1"/>
  <c r="H266" i="49"/>
  <c r="I266" i="49" s="1"/>
  <c r="H270" i="49"/>
  <c r="H274" i="49"/>
  <c r="H278" i="49"/>
  <c r="H282" i="49"/>
  <c r="H286" i="49"/>
  <c r="I286" i="49" s="1"/>
  <c r="H290" i="49"/>
  <c r="I290" i="49" s="1"/>
  <c r="H294" i="49"/>
  <c r="H298" i="49"/>
  <c r="H302" i="49"/>
  <c r="I302" i="49" s="1"/>
  <c r="H179" i="49"/>
  <c r="I179" i="49" s="1"/>
  <c r="H187" i="49"/>
  <c r="I187" i="49" s="1"/>
  <c r="H197" i="49"/>
  <c r="I197" i="49" s="1"/>
  <c r="H213" i="49"/>
  <c r="I213" i="49" s="1"/>
  <c r="H229" i="49"/>
  <c r="I229" i="49" s="1"/>
  <c r="H245" i="49"/>
  <c r="I245" i="49" s="1"/>
  <c r="H255" i="49"/>
  <c r="I255" i="49" s="1"/>
  <c r="H259" i="49"/>
  <c r="I259" i="49" s="1"/>
  <c r="H263" i="49"/>
  <c r="I263" i="49" s="1"/>
  <c r="H267" i="49"/>
  <c r="H271" i="49"/>
  <c r="H275" i="49"/>
  <c r="H279" i="49"/>
  <c r="I279" i="49" s="1"/>
  <c r="H283" i="49"/>
  <c r="I283" i="49" s="1"/>
  <c r="H287" i="49"/>
  <c r="H291" i="49"/>
  <c r="I291" i="49" s="1"/>
  <c r="H295" i="49"/>
  <c r="I295" i="49" s="1"/>
  <c r="H299" i="49"/>
  <c r="I299" i="49" s="1"/>
  <c r="H303" i="49"/>
  <c r="I303" i="49" s="1"/>
  <c r="H201" i="49"/>
  <c r="I201" i="49" s="1"/>
  <c r="E47" i="48" s="1"/>
  <c r="H217" i="49"/>
  <c r="I217" i="49" s="1"/>
  <c r="H233" i="49"/>
  <c r="I233" i="49" s="1"/>
  <c r="H249" i="49"/>
  <c r="I249" i="49" s="1"/>
  <c r="H250" i="49"/>
  <c r="I250" i="49" s="1"/>
  <c r="H256" i="49"/>
  <c r="I256" i="49" s="1"/>
  <c r="H260" i="49"/>
  <c r="I260" i="49" s="1"/>
  <c r="H264" i="49"/>
  <c r="I264" i="49" s="1"/>
  <c r="H268" i="49"/>
  <c r="H272" i="49"/>
  <c r="H276" i="49"/>
  <c r="I276" i="49" s="1"/>
  <c r="H280" i="49"/>
  <c r="I280" i="49" s="1"/>
  <c r="H284" i="49"/>
  <c r="I284" i="49" s="1"/>
  <c r="H288" i="49"/>
  <c r="H292" i="49"/>
  <c r="I292" i="49" s="1"/>
  <c r="H296" i="49"/>
  <c r="H300" i="49"/>
  <c r="I300" i="49" s="1"/>
  <c r="H304" i="49"/>
  <c r="E5" i="25"/>
  <c r="AK6" i="42"/>
  <c r="J6" i="49"/>
  <c r="AC6" i="42"/>
  <c r="AM6" i="42"/>
  <c r="AE6" i="42"/>
  <c r="C6" i="33"/>
  <c r="C12" i="9"/>
  <c r="C312" i="9" s="1"/>
  <c r="H6" i="49"/>
  <c r="E312" i="34"/>
  <c r="C6" i="39"/>
  <c r="C6" i="12"/>
  <c r="E6" i="12" s="1"/>
  <c r="C6" i="13"/>
  <c r="E6" i="33" l="1"/>
  <c r="D6" i="37" s="1"/>
  <c r="C6" i="11"/>
  <c r="C12" i="34"/>
  <c r="H306" i="49"/>
  <c r="I306" i="49" l="1"/>
  <c r="F6" i="11" l="1"/>
  <c r="G6" i="11" s="1"/>
  <c r="K6" i="11" l="1"/>
  <c r="L6" i="11" l="1"/>
  <c r="F306" i="42" l="1"/>
  <c r="M306" i="42" l="1"/>
  <c r="M306" i="19"/>
  <c r="P309" i="19" l="1"/>
  <c r="P316" i="19" s="1"/>
  <c r="T306" i="42"/>
  <c r="P306" i="19"/>
  <c r="R306" i="19" l="1"/>
  <c r="H46" i="40" s="1"/>
  <c r="K47" i="40" s="1"/>
  <c r="C306" i="12"/>
  <c r="E306" i="12" s="1"/>
  <c r="C306" i="13"/>
  <c r="B47" i="40" l="1"/>
  <c r="G40" i="40"/>
  <c r="AK306" i="42"/>
  <c r="AM306" i="42"/>
  <c r="AC306" i="42"/>
  <c r="AE306" i="42"/>
  <c r="C306" i="39"/>
  <c r="E5" i="9"/>
  <c r="E305" i="25"/>
  <c r="C306" i="33"/>
  <c r="E306" i="33" s="1"/>
  <c r="J306" i="49"/>
  <c r="K5" i="49" s="1"/>
  <c r="Q306" i="19"/>
  <c r="C305" i="25" s="1"/>
  <c r="K8" i="49" l="1"/>
  <c r="L8" i="49" s="1"/>
  <c r="K12" i="49"/>
  <c r="L12" i="49" s="1"/>
  <c r="K16" i="49"/>
  <c r="L16" i="49" s="1"/>
  <c r="K20" i="49"/>
  <c r="L20" i="49" s="1"/>
  <c r="K24" i="49"/>
  <c r="L24" i="49" s="1"/>
  <c r="K28" i="49"/>
  <c r="L28" i="49" s="1"/>
  <c r="K32" i="49"/>
  <c r="L32" i="49" s="1"/>
  <c r="K36" i="49"/>
  <c r="L36" i="49" s="1"/>
  <c r="K40" i="49"/>
  <c r="L40" i="49" s="1"/>
  <c r="K44" i="49"/>
  <c r="L44" i="49" s="1"/>
  <c r="K48" i="49"/>
  <c r="L48" i="49" s="1"/>
  <c r="K52" i="49"/>
  <c r="L52" i="49" s="1"/>
  <c r="K56" i="49"/>
  <c r="L56" i="49" s="1"/>
  <c r="K9" i="49"/>
  <c r="L9" i="49" s="1"/>
  <c r="K13" i="49"/>
  <c r="L13" i="49" s="1"/>
  <c r="K17" i="49"/>
  <c r="L17" i="49" s="1"/>
  <c r="K21" i="49"/>
  <c r="L21" i="49" s="1"/>
  <c r="K25" i="49"/>
  <c r="L25" i="49" s="1"/>
  <c r="K29" i="49"/>
  <c r="L29" i="49" s="1"/>
  <c r="K33" i="49"/>
  <c r="L33" i="49" s="1"/>
  <c r="K37" i="49"/>
  <c r="L37" i="49" s="1"/>
  <c r="K41" i="49"/>
  <c r="L41" i="49" s="1"/>
  <c r="K45" i="49"/>
  <c r="L45" i="49" s="1"/>
  <c r="K49" i="49"/>
  <c r="L49" i="49" s="1"/>
  <c r="K53" i="49"/>
  <c r="L53" i="49" s="1"/>
  <c r="K57" i="49"/>
  <c r="L57" i="49" s="1"/>
  <c r="K61" i="49"/>
  <c r="L61" i="49" s="1"/>
  <c r="K65" i="49"/>
  <c r="L65" i="49" s="1"/>
  <c r="K69" i="49"/>
  <c r="L69" i="49" s="1"/>
  <c r="K73" i="49"/>
  <c r="L73" i="49" s="1"/>
  <c r="K10" i="49"/>
  <c r="L10" i="49" s="1"/>
  <c r="K14" i="49"/>
  <c r="L14" i="49" s="1"/>
  <c r="K18" i="49"/>
  <c r="L18" i="49" s="1"/>
  <c r="K22" i="49"/>
  <c r="L22" i="49" s="1"/>
  <c r="K26" i="49"/>
  <c r="L26" i="49" s="1"/>
  <c r="K30" i="49"/>
  <c r="L30" i="49" s="1"/>
  <c r="K34" i="49"/>
  <c r="L34" i="49" s="1"/>
  <c r="K38" i="49"/>
  <c r="L38" i="49" s="1"/>
  <c r="K42" i="49"/>
  <c r="L42" i="49" s="1"/>
  <c r="K46" i="49"/>
  <c r="L46" i="49" s="1"/>
  <c r="K50" i="49"/>
  <c r="L50" i="49" s="1"/>
  <c r="K54" i="49"/>
  <c r="L54" i="49" s="1"/>
  <c r="K58" i="49"/>
  <c r="L58" i="49" s="1"/>
  <c r="K62" i="49"/>
  <c r="L62" i="49" s="1"/>
  <c r="K66" i="49"/>
  <c r="L66" i="49" s="1"/>
  <c r="K70" i="49"/>
  <c r="L70" i="49" s="1"/>
  <c r="K74" i="49"/>
  <c r="L74" i="49" s="1"/>
  <c r="K11" i="49"/>
  <c r="L11" i="49" s="1"/>
  <c r="K19" i="49"/>
  <c r="L19" i="49" s="1"/>
  <c r="K35" i="49"/>
  <c r="L35" i="49" s="1"/>
  <c r="K51" i="49"/>
  <c r="L51" i="49" s="1"/>
  <c r="K59" i="49"/>
  <c r="L59" i="49" s="1"/>
  <c r="K67" i="49"/>
  <c r="L67" i="49" s="1"/>
  <c r="K75" i="49"/>
  <c r="L75" i="49" s="1"/>
  <c r="K76" i="49"/>
  <c r="L76" i="49" s="1"/>
  <c r="K80" i="49"/>
  <c r="L80" i="49" s="1"/>
  <c r="K84" i="49"/>
  <c r="L84" i="49" s="1"/>
  <c r="K88" i="49"/>
  <c r="L88" i="49" s="1"/>
  <c r="K92" i="49"/>
  <c r="L92" i="49" s="1"/>
  <c r="K96" i="49"/>
  <c r="L96" i="49" s="1"/>
  <c r="K100" i="49"/>
  <c r="L100" i="49" s="1"/>
  <c r="K104" i="49"/>
  <c r="L104" i="49" s="1"/>
  <c r="K108" i="49"/>
  <c r="L108" i="49" s="1"/>
  <c r="K112" i="49"/>
  <c r="L112" i="49" s="1"/>
  <c r="K116" i="49"/>
  <c r="L116" i="49" s="1"/>
  <c r="K120" i="49"/>
  <c r="L120" i="49" s="1"/>
  <c r="K124" i="49"/>
  <c r="L124" i="49" s="1"/>
  <c r="K23" i="49"/>
  <c r="L23" i="49" s="1"/>
  <c r="K39" i="49"/>
  <c r="L39" i="49" s="1"/>
  <c r="K55" i="49"/>
  <c r="L55" i="49" s="1"/>
  <c r="K64" i="49"/>
  <c r="L64" i="49" s="1"/>
  <c r="K72" i="49"/>
  <c r="L72" i="49" s="1"/>
  <c r="K77" i="49"/>
  <c r="L77" i="49" s="1"/>
  <c r="K81" i="49"/>
  <c r="L81" i="49" s="1"/>
  <c r="K85" i="49"/>
  <c r="L85" i="49" s="1"/>
  <c r="K89" i="49"/>
  <c r="L89" i="49" s="1"/>
  <c r="K93" i="49"/>
  <c r="L93" i="49" s="1"/>
  <c r="K97" i="49"/>
  <c r="L97" i="49" s="1"/>
  <c r="K101" i="49"/>
  <c r="L101" i="49" s="1"/>
  <c r="K105" i="49"/>
  <c r="L105" i="49" s="1"/>
  <c r="K109" i="49"/>
  <c r="L109" i="49" s="1"/>
  <c r="K113" i="49"/>
  <c r="L113" i="49" s="1"/>
  <c r="K117" i="49"/>
  <c r="L117" i="49" s="1"/>
  <c r="K121" i="49"/>
  <c r="L121" i="49" s="1"/>
  <c r="K125" i="49"/>
  <c r="L125" i="49" s="1"/>
  <c r="K7" i="49"/>
  <c r="L7" i="49" s="1"/>
  <c r="K27" i="49"/>
  <c r="L27" i="49" s="1"/>
  <c r="K43" i="49"/>
  <c r="L43" i="49" s="1"/>
  <c r="K63" i="49"/>
  <c r="L63" i="49" s="1"/>
  <c r="K71" i="49"/>
  <c r="L71" i="49" s="1"/>
  <c r="K78" i="49"/>
  <c r="L78" i="49" s="1"/>
  <c r="K82" i="49"/>
  <c r="L82" i="49" s="1"/>
  <c r="K86" i="49"/>
  <c r="L86" i="49" s="1"/>
  <c r="K90" i="49"/>
  <c r="L90" i="49" s="1"/>
  <c r="K94" i="49"/>
  <c r="L94" i="49" s="1"/>
  <c r="K98" i="49"/>
  <c r="L98" i="49" s="1"/>
  <c r="K102" i="49"/>
  <c r="L102" i="49" s="1"/>
  <c r="K15" i="49"/>
  <c r="L15" i="49" s="1"/>
  <c r="K31" i="49"/>
  <c r="L31" i="49" s="1"/>
  <c r="K47" i="49"/>
  <c r="L47" i="49" s="1"/>
  <c r="K60" i="49"/>
  <c r="L60" i="49" s="1"/>
  <c r="K68" i="49"/>
  <c r="L68" i="49" s="1"/>
  <c r="K83" i="49"/>
  <c r="L83" i="49" s="1"/>
  <c r="K91" i="49"/>
  <c r="L91" i="49" s="1"/>
  <c r="K99" i="49"/>
  <c r="L99" i="49" s="1"/>
  <c r="K110" i="49"/>
  <c r="L110" i="49" s="1"/>
  <c r="K111" i="49"/>
  <c r="K114" i="49"/>
  <c r="L114" i="49" s="1"/>
  <c r="K115" i="49"/>
  <c r="L115" i="49" s="1"/>
  <c r="K118" i="49"/>
  <c r="L118" i="49" s="1"/>
  <c r="K130" i="49"/>
  <c r="L130" i="49" s="1"/>
  <c r="K134" i="49"/>
  <c r="L134" i="49" s="1"/>
  <c r="K138" i="49"/>
  <c r="L138" i="49" s="1"/>
  <c r="K142" i="49"/>
  <c r="L142" i="49" s="1"/>
  <c r="K146" i="49"/>
  <c r="L146" i="49" s="1"/>
  <c r="K150" i="49"/>
  <c r="L150" i="49" s="1"/>
  <c r="K154" i="49"/>
  <c r="L154" i="49" s="1"/>
  <c r="K158" i="49"/>
  <c r="L158" i="49" s="1"/>
  <c r="K162" i="49"/>
  <c r="L162" i="49" s="1"/>
  <c r="K166" i="49"/>
  <c r="L166" i="49" s="1"/>
  <c r="K170" i="49"/>
  <c r="L170" i="49" s="1"/>
  <c r="K174" i="49"/>
  <c r="L174" i="49" s="1"/>
  <c r="K178" i="49"/>
  <c r="L178" i="49" s="1"/>
  <c r="K182" i="49"/>
  <c r="L182" i="49" s="1"/>
  <c r="K186" i="49"/>
  <c r="L186" i="49" s="1"/>
  <c r="K107" i="49"/>
  <c r="L107" i="49" s="1"/>
  <c r="K127" i="49"/>
  <c r="L127" i="49" s="1"/>
  <c r="K131" i="49"/>
  <c r="L131" i="49" s="1"/>
  <c r="K135" i="49"/>
  <c r="L135" i="49" s="1"/>
  <c r="K139" i="49"/>
  <c r="L139" i="49" s="1"/>
  <c r="K143" i="49"/>
  <c r="L143" i="49" s="1"/>
  <c r="K147" i="49"/>
  <c r="L147" i="49" s="1"/>
  <c r="K151" i="49"/>
  <c r="L151" i="49" s="1"/>
  <c r="K155" i="49"/>
  <c r="L155" i="49" s="1"/>
  <c r="K159" i="49"/>
  <c r="L159" i="49" s="1"/>
  <c r="K163" i="49"/>
  <c r="L163" i="49" s="1"/>
  <c r="K167" i="49"/>
  <c r="L167" i="49" s="1"/>
  <c r="K171" i="49"/>
  <c r="L171" i="49" s="1"/>
  <c r="K175" i="49"/>
  <c r="L175" i="49" s="1"/>
  <c r="K179" i="49"/>
  <c r="L179" i="49" s="1"/>
  <c r="K183" i="49"/>
  <c r="L183" i="49" s="1"/>
  <c r="K187" i="49"/>
  <c r="L187" i="49" s="1"/>
  <c r="K79" i="49"/>
  <c r="L79" i="49" s="1"/>
  <c r="K87" i="49"/>
  <c r="L87" i="49" s="1"/>
  <c r="K95" i="49"/>
  <c r="L95" i="49" s="1"/>
  <c r="K103" i="49"/>
  <c r="L103" i="49" s="1"/>
  <c r="K106" i="49"/>
  <c r="L106" i="49" s="1"/>
  <c r="K126" i="49"/>
  <c r="L126" i="49" s="1"/>
  <c r="K128" i="49"/>
  <c r="L128" i="49" s="1"/>
  <c r="K132" i="49"/>
  <c r="L132" i="49" s="1"/>
  <c r="K136" i="49"/>
  <c r="L136" i="49" s="1"/>
  <c r="K140" i="49"/>
  <c r="L140" i="49" s="1"/>
  <c r="K144" i="49"/>
  <c r="L144" i="49" s="1"/>
  <c r="K148" i="49"/>
  <c r="L148" i="49" s="1"/>
  <c r="K152" i="49"/>
  <c r="L152" i="49" s="1"/>
  <c r="K156" i="49"/>
  <c r="L156" i="49" s="1"/>
  <c r="K160" i="49"/>
  <c r="L160" i="49" s="1"/>
  <c r="K164" i="49"/>
  <c r="L164" i="49" s="1"/>
  <c r="K168" i="49"/>
  <c r="L168" i="49" s="1"/>
  <c r="K172" i="49"/>
  <c r="L172" i="49" s="1"/>
  <c r="K176" i="49"/>
  <c r="L176" i="49" s="1"/>
  <c r="K119" i="49"/>
  <c r="L119" i="49" s="1"/>
  <c r="K122" i="49"/>
  <c r="L122" i="49" s="1"/>
  <c r="K123" i="49"/>
  <c r="L123" i="49" s="1"/>
  <c r="K129" i="49"/>
  <c r="L129" i="49" s="1"/>
  <c r="K133" i="49"/>
  <c r="L133" i="49" s="1"/>
  <c r="K137" i="49"/>
  <c r="L137" i="49" s="1"/>
  <c r="K141" i="49"/>
  <c r="L141" i="49" s="1"/>
  <c r="K145" i="49"/>
  <c r="L145" i="49" s="1"/>
  <c r="K149" i="49"/>
  <c r="L149" i="49" s="1"/>
  <c r="K153" i="49"/>
  <c r="L153" i="49" s="1"/>
  <c r="K157" i="49"/>
  <c r="L157" i="49" s="1"/>
  <c r="K161" i="49"/>
  <c r="L161" i="49" s="1"/>
  <c r="K165" i="49"/>
  <c r="L165" i="49" s="1"/>
  <c r="K169" i="49"/>
  <c r="L169" i="49" s="1"/>
  <c r="K173" i="49"/>
  <c r="L173" i="49" s="1"/>
  <c r="K177" i="49"/>
  <c r="L177" i="49" s="1"/>
  <c r="K181" i="49"/>
  <c r="L181" i="49" s="1"/>
  <c r="K191" i="49"/>
  <c r="L191" i="49" s="1"/>
  <c r="K195" i="49"/>
  <c r="L195" i="49" s="1"/>
  <c r="K199" i="49"/>
  <c r="L199" i="49" s="1"/>
  <c r="K203" i="49"/>
  <c r="L203" i="49" s="1"/>
  <c r="K207" i="49"/>
  <c r="L207" i="49" s="1"/>
  <c r="K211" i="49"/>
  <c r="L211" i="49" s="1"/>
  <c r="K215" i="49"/>
  <c r="L215" i="49" s="1"/>
  <c r="K219" i="49"/>
  <c r="L219" i="49" s="1"/>
  <c r="K223" i="49"/>
  <c r="L223" i="49" s="1"/>
  <c r="K227" i="49"/>
  <c r="L227" i="49" s="1"/>
  <c r="K231" i="49"/>
  <c r="L231" i="49" s="1"/>
  <c r="K235" i="49"/>
  <c r="L235" i="49" s="1"/>
  <c r="K239" i="49"/>
  <c r="L239" i="49" s="1"/>
  <c r="K243" i="49"/>
  <c r="L243" i="49" s="1"/>
  <c r="K192" i="49"/>
  <c r="L192" i="49" s="1"/>
  <c r="K196" i="49"/>
  <c r="L196" i="49" s="1"/>
  <c r="K200" i="49"/>
  <c r="L200" i="49" s="1"/>
  <c r="K204" i="49"/>
  <c r="L204" i="49" s="1"/>
  <c r="K208" i="49"/>
  <c r="L208" i="49" s="1"/>
  <c r="K212" i="49"/>
  <c r="L212" i="49" s="1"/>
  <c r="K216" i="49"/>
  <c r="L216" i="49" s="1"/>
  <c r="K220" i="49"/>
  <c r="L220" i="49" s="1"/>
  <c r="K224" i="49"/>
  <c r="L224" i="49" s="1"/>
  <c r="K228" i="49"/>
  <c r="L228" i="49" s="1"/>
  <c r="K232" i="49"/>
  <c r="L232" i="49" s="1"/>
  <c r="K236" i="49"/>
  <c r="L236" i="49" s="1"/>
  <c r="K240" i="49"/>
  <c r="L240" i="49" s="1"/>
  <c r="K244" i="49"/>
  <c r="L244" i="49" s="1"/>
  <c r="K248" i="49"/>
  <c r="L248" i="49" s="1"/>
  <c r="K252" i="49"/>
  <c r="L252" i="49" s="1"/>
  <c r="K185" i="49"/>
  <c r="L185" i="49" s="1"/>
  <c r="K188" i="49"/>
  <c r="L188" i="49" s="1"/>
  <c r="K189" i="49"/>
  <c r="L189" i="49" s="1"/>
  <c r="K193" i="49"/>
  <c r="L193" i="49" s="1"/>
  <c r="K197" i="49"/>
  <c r="L197" i="49" s="1"/>
  <c r="K201" i="49"/>
  <c r="K205" i="49"/>
  <c r="L205" i="49" s="1"/>
  <c r="K209" i="49"/>
  <c r="L209" i="49" s="1"/>
  <c r="K213" i="49"/>
  <c r="L213" i="49" s="1"/>
  <c r="K217" i="49"/>
  <c r="L217" i="49" s="1"/>
  <c r="K221" i="49"/>
  <c r="L221" i="49" s="1"/>
  <c r="K225" i="49"/>
  <c r="L225" i="49" s="1"/>
  <c r="K229" i="49"/>
  <c r="L229" i="49" s="1"/>
  <c r="K233" i="49"/>
  <c r="L233" i="49" s="1"/>
  <c r="K237" i="49"/>
  <c r="L237" i="49" s="1"/>
  <c r="K241" i="49"/>
  <c r="L241" i="49" s="1"/>
  <c r="K245" i="49"/>
  <c r="L245" i="49" s="1"/>
  <c r="K249" i="49"/>
  <c r="L249" i="49" s="1"/>
  <c r="K253" i="49"/>
  <c r="K194" i="49"/>
  <c r="L194" i="49" s="1"/>
  <c r="K206" i="49"/>
  <c r="L206" i="49" s="1"/>
  <c r="K222" i="49"/>
  <c r="L222" i="49" s="1"/>
  <c r="K238" i="49"/>
  <c r="L238" i="49" s="1"/>
  <c r="K251" i="49"/>
  <c r="L251" i="49" s="1"/>
  <c r="K254" i="49"/>
  <c r="L254" i="49" s="1"/>
  <c r="K258" i="49"/>
  <c r="L258" i="49" s="1"/>
  <c r="K262" i="49"/>
  <c r="L262" i="49" s="1"/>
  <c r="K266" i="49"/>
  <c r="L266" i="49" s="1"/>
  <c r="K270" i="49"/>
  <c r="L270" i="49" s="1"/>
  <c r="K274" i="49"/>
  <c r="L274" i="49" s="1"/>
  <c r="K278" i="49"/>
  <c r="L278" i="49" s="1"/>
  <c r="K282" i="49"/>
  <c r="L282" i="49" s="1"/>
  <c r="K286" i="49"/>
  <c r="L286" i="49" s="1"/>
  <c r="K290" i="49"/>
  <c r="L290" i="49" s="1"/>
  <c r="K294" i="49"/>
  <c r="L294" i="49" s="1"/>
  <c r="K298" i="49"/>
  <c r="L298" i="49" s="1"/>
  <c r="K302" i="49"/>
  <c r="L302" i="49" s="1"/>
  <c r="K180" i="49"/>
  <c r="L180" i="49" s="1"/>
  <c r="K210" i="49"/>
  <c r="L210" i="49" s="1"/>
  <c r="K226" i="49"/>
  <c r="L226" i="49" s="1"/>
  <c r="K242" i="49"/>
  <c r="L242" i="49" s="1"/>
  <c r="K250" i="49"/>
  <c r="L250" i="49" s="1"/>
  <c r="K255" i="49"/>
  <c r="L255" i="49" s="1"/>
  <c r="K259" i="49"/>
  <c r="L259" i="49" s="1"/>
  <c r="K263" i="49"/>
  <c r="L263" i="49" s="1"/>
  <c r="K267" i="49"/>
  <c r="L267" i="49" s="1"/>
  <c r="K271" i="49"/>
  <c r="L271" i="49" s="1"/>
  <c r="K275" i="49"/>
  <c r="L275" i="49" s="1"/>
  <c r="K279" i="49"/>
  <c r="L279" i="49" s="1"/>
  <c r="K283" i="49"/>
  <c r="L283" i="49" s="1"/>
  <c r="K287" i="49"/>
  <c r="L287" i="49" s="1"/>
  <c r="K291" i="49"/>
  <c r="L291" i="49" s="1"/>
  <c r="K295" i="49"/>
  <c r="L295" i="49" s="1"/>
  <c r="K299" i="49"/>
  <c r="L299" i="49" s="1"/>
  <c r="K303" i="49"/>
  <c r="L303" i="49" s="1"/>
  <c r="K184" i="49"/>
  <c r="L184" i="49" s="1"/>
  <c r="K190" i="49"/>
  <c r="L190" i="49" s="1"/>
  <c r="K198" i="49"/>
  <c r="L198" i="49" s="1"/>
  <c r="K214" i="49"/>
  <c r="L214" i="49" s="1"/>
  <c r="K230" i="49"/>
  <c r="L230" i="49" s="1"/>
  <c r="K247" i="49"/>
  <c r="L247" i="49" s="1"/>
  <c r="K256" i="49"/>
  <c r="L256" i="49" s="1"/>
  <c r="K260" i="49"/>
  <c r="L260" i="49" s="1"/>
  <c r="K264" i="49"/>
  <c r="L264" i="49" s="1"/>
  <c r="K268" i="49"/>
  <c r="L268" i="49" s="1"/>
  <c r="K272" i="49"/>
  <c r="L272" i="49" s="1"/>
  <c r="K276" i="49"/>
  <c r="L276" i="49" s="1"/>
  <c r="K280" i="49"/>
  <c r="L280" i="49" s="1"/>
  <c r="K284" i="49"/>
  <c r="L284" i="49" s="1"/>
  <c r="K288" i="49"/>
  <c r="L288" i="49" s="1"/>
  <c r="K292" i="49"/>
  <c r="L292" i="49" s="1"/>
  <c r="K296" i="49"/>
  <c r="L296" i="49" s="1"/>
  <c r="K300" i="49"/>
  <c r="L300" i="49" s="1"/>
  <c r="K304" i="49"/>
  <c r="L304" i="49" s="1"/>
  <c r="K202" i="49"/>
  <c r="L202" i="49" s="1"/>
  <c r="K218" i="49"/>
  <c r="L218" i="49" s="1"/>
  <c r="K234" i="49"/>
  <c r="L234" i="49" s="1"/>
  <c r="K246" i="49"/>
  <c r="L246" i="49" s="1"/>
  <c r="K257" i="49"/>
  <c r="L257" i="49" s="1"/>
  <c r="K261" i="49"/>
  <c r="L261" i="49" s="1"/>
  <c r="K265" i="49"/>
  <c r="L265" i="49" s="1"/>
  <c r="K269" i="49"/>
  <c r="L269" i="49" s="1"/>
  <c r="K273" i="49"/>
  <c r="L273" i="49" s="1"/>
  <c r="K277" i="49"/>
  <c r="L277" i="49" s="1"/>
  <c r="K281" i="49"/>
  <c r="L281" i="49" s="1"/>
  <c r="K285" i="49"/>
  <c r="L285" i="49" s="1"/>
  <c r="K289" i="49"/>
  <c r="L289" i="49" s="1"/>
  <c r="K293" i="49"/>
  <c r="L293" i="49" s="1"/>
  <c r="K297" i="49"/>
  <c r="L297" i="49" s="1"/>
  <c r="K301" i="49"/>
  <c r="L301" i="49" s="1"/>
  <c r="K305" i="49"/>
  <c r="L305" i="49" s="1"/>
  <c r="F9" i="33"/>
  <c r="F17" i="33"/>
  <c r="F25" i="33"/>
  <c r="F33" i="33"/>
  <c r="F41" i="33"/>
  <c r="F49" i="33"/>
  <c r="F19" i="33"/>
  <c r="F35" i="33"/>
  <c r="F52" i="33"/>
  <c r="F27" i="33"/>
  <c r="F43" i="33"/>
  <c r="F77" i="33"/>
  <c r="F65" i="33"/>
  <c r="F81" i="33"/>
  <c r="F84" i="33"/>
  <c r="F93" i="33"/>
  <c r="F101" i="33"/>
  <c r="F109" i="33"/>
  <c r="F117" i="33"/>
  <c r="F89" i="33"/>
  <c r="F97" i="33"/>
  <c r="F105" i="33"/>
  <c r="F135" i="33"/>
  <c r="F175" i="33"/>
  <c r="F194" i="33"/>
  <c r="F254" i="33"/>
  <c r="F258" i="33"/>
  <c r="F270" i="33"/>
  <c r="F274" i="33"/>
  <c r="F290" i="33"/>
  <c r="F127" i="33"/>
  <c r="F143" i="33"/>
  <c r="F162" i="33"/>
  <c r="F191" i="33"/>
  <c r="F197" i="33"/>
  <c r="F205" i="33"/>
  <c r="F215" i="33"/>
  <c r="F178" i="33"/>
  <c r="F159" i="33"/>
  <c r="F188" i="33"/>
  <c r="F262" i="33"/>
  <c r="F266" i="33"/>
  <c r="F278" i="33"/>
  <c r="F282" i="33"/>
  <c r="F286" i="33"/>
  <c r="F294" i="33"/>
  <c r="F298" i="33"/>
  <c r="F302" i="33"/>
  <c r="F299" i="33"/>
  <c r="F224" i="33"/>
  <c r="F222" i="33"/>
  <c r="F250" i="33"/>
  <c r="F219" i="33"/>
  <c r="F259" i="33"/>
  <c r="F225" i="33"/>
  <c r="F221" i="33"/>
  <c r="F263" i="33"/>
  <c r="F249" i="33"/>
  <c r="F246" i="33"/>
  <c r="F243" i="33"/>
  <c r="F232" i="33"/>
  <c r="F213" i="33"/>
  <c r="F241" i="33"/>
  <c r="F288" i="33"/>
  <c r="F245" i="33"/>
  <c r="F214" i="33"/>
  <c r="F200" i="33"/>
  <c r="F181" i="33"/>
  <c r="F183" i="33"/>
  <c r="F170" i="33"/>
  <c r="F160" i="33"/>
  <c r="F164" i="33"/>
  <c r="F121" i="33"/>
  <c r="F96" i="33"/>
  <c r="F94" i="33"/>
  <c r="F138" i="33"/>
  <c r="F122" i="33"/>
  <c r="F51" i="33"/>
  <c r="F98" i="33"/>
  <c r="F54" i="33"/>
  <c r="F16" i="33"/>
  <c r="F70" i="33"/>
  <c r="F58" i="33"/>
  <c r="F22" i="33"/>
  <c r="F82" i="33"/>
  <c r="F63" i="33"/>
  <c r="F275" i="33"/>
  <c r="F242" i="33"/>
  <c r="F235" i="33"/>
  <c r="F293" i="33"/>
  <c r="F292" i="33"/>
  <c r="F285" i="33"/>
  <c r="F284" i="33"/>
  <c r="F277" i="33"/>
  <c r="F260" i="33"/>
  <c r="F237" i="33"/>
  <c r="F231" i="33"/>
  <c r="F218" i="33"/>
  <c r="F172" i="33"/>
  <c r="F251" i="33"/>
  <c r="F303" i="33"/>
  <c r="F287" i="33"/>
  <c r="F255" i="33"/>
  <c r="F230" i="33"/>
  <c r="F156" i="33"/>
  <c r="F281" i="33"/>
  <c r="F280" i="33"/>
  <c r="F273" i="33"/>
  <c r="F257" i="33"/>
  <c r="F256" i="33"/>
  <c r="F240" i="33"/>
  <c r="F229" i="33"/>
  <c r="F223" i="33"/>
  <c r="F192" i="33"/>
  <c r="F168" i="33"/>
  <c r="F155" i="33"/>
  <c r="F186" i="33"/>
  <c r="F176" i="33"/>
  <c r="F107" i="33"/>
  <c r="F153" i="33"/>
  <c r="F211" i="33"/>
  <c r="F203" i="33"/>
  <c r="F187" i="33"/>
  <c r="F185" i="33"/>
  <c r="F157" i="33"/>
  <c r="F142" i="33"/>
  <c r="F202" i="33"/>
  <c r="F80" i="33"/>
  <c r="F130" i="33"/>
  <c r="F141" i="33"/>
  <c r="F118" i="33"/>
  <c r="F147" i="33"/>
  <c r="F64" i="33"/>
  <c r="F62" i="33"/>
  <c r="F90" i="33"/>
  <c r="F108" i="33"/>
  <c r="F92" i="33"/>
  <c r="F71" i="33"/>
  <c r="F72" i="33"/>
  <c r="F55" i="33"/>
  <c r="F50" i="33"/>
  <c r="F20" i="33"/>
  <c r="F30" i="33"/>
  <c r="F28" i="33"/>
  <c r="F26" i="33"/>
  <c r="F268" i="33"/>
  <c r="F261" i="33"/>
  <c r="F220" i="33"/>
  <c r="F283" i="33"/>
  <c r="F297" i="33"/>
  <c r="F239" i="33"/>
  <c r="F204" i="33"/>
  <c r="F177" i="33"/>
  <c r="F110" i="33"/>
  <c r="F206" i="33"/>
  <c r="F180" i="33"/>
  <c r="F163" i="33"/>
  <c r="F152" i="33"/>
  <c r="F151" i="33"/>
  <c r="F113" i="33"/>
  <c r="F217" i="33"/>
  <c r="F208" i="33"/>
  <c r="F169" i="33"/>
  <c r="F167" i="33"/>
  <c r="F154" i="33"/>
  <c r="F99" i="33"/>
  <c r="F128" i="33"/>
  <c r="F61" i="33"/>
  <c r="F106" i="33"/>
  <c r="F44" i="33"/>
  <c r="F60" i="33"/>
  <c r="F48" i="33"/>
  <c r="F15" i="33"/>
  <c r="F39" i="33"/>
  <c r="F23" i="33"/>
  <c r="F12" i="33"/>
  <c r="F234" i="33"/>
  <c r="F271" i="33"/>
  <c r="F233" i="33"/>
  <c r="F227" i="33"/>
  <c r="F272" i="33"/>
  <c r="F216" i="33"/>
  <c r="F165" i="33"/>
  <c r="F124" i="33"/>
  <c r="F184" i="33"/>
  <c r="F115" i="33"/>
  <c r="F114" i="33"/>
  <c r="F132" i="33"/>
  <c r="F69" i="33"/>
  <c r="F59" i="33"/>
  <c r="F76" i="33"/>
  <c r="F75" i="33"/>
  <c r="F42" i="33"/>
  <c r="F301" i="33"/>
  <c r="F238" i="33"/>
  <c r="F305" i="33"/>
  <c r="F289" i="33"/>
  <c r="F265" i="33"/>
  <c r="F212" i="33"/>
  <c r="F126" i="33"/>
  <c r="F134" i="33"/>
  <c r="F123" i="33"/>
  <c r="F57" i="33"/>
  <c r="F38" i="33"/>
  <c r="F46" i="33"/>
  <c r="F18" i="33"/>
  <c r="F269" i="33"/>
  <c r="F252" i="33"/>
  <c r="F247" i="33"/>
  <c r="F236" i="33"/>
  <c r="F279" i="33"/>
  <c r="F264" i="33"/>
  <c r="F228" i="33"/>
  <c r="F226" i="33"/>
  <c r="F91" i="33"/>
  <c r="F189" i="33"/>
  <c r="F196" i="33"/>
  <c r="F198" i="33"/>
  <c r="F125" i="33"/>
  <c r="F104" i="33"/>
  <c r="F74" i="33"/>
  <c r="F148" i="33"/>
  <c r="F116" i="33"/>
  <c r="F102" i="33"/>
  <c r="F131" i="33"/>
  <c r="F32" i="33"/>
  <c r="F85" i="33"/>
  <c r="F53" i="33"/>
  <c r="F66" i="33"/>
  <c r="F68" i="33"/>
  <c r="F36" i="33"/>
  <c r="F10" i="33"/>
  <c r="F40" i="33"/>
  <c r="F24" i="33"/>
  <c r="F14" i="33"/>
  <c r="F8" i="33"/>
  <c r="F267" i="33"/>
  <c r="F276" i="33"/>
  <c r="F201" i="33"/>
  <c r="F295" i="33"/>
  <c r="F244" i="33"/>
  <c r="F129" i="33"/>
  <c r="F179" i="33"/>
  <c r="F133" i="33"/>
  <c r="F171" i="33"/>
  <c r="F120" i="33"/>
  <c r="F146" i="33"/>
  <c r="F139" i="33"/>
  <c r="F100" i="33"/>
  <c r="F253" i="33"/>
  <c r="F248" i="33"/>
  <c r="F291" i="33"/>
  <c r="F195" i="33"/>
  <c r="F210" i="33"/>
  <c r="F173" i="33"/>
  <c r="F140" i="33"/>
  <c r="F149" i="33"/>
  <c r="F209" i="33"/>
  <c r="F136" i="33"/>
  <c r="F88" i="33"/>
  <c r="F144" i="33"/>
  <c r="F112" i="33"/>
  <c r="F150" i="33"/>
  <c r="F73" i="33"/>
  <c r="F78" i="33"/>
  <c r="F31" i="33"/>
  <c r="F34" i="33"/>
  <c r="F45" i="33"/>
  <c r="F161" i="33"/>
  <c r="F56" i="33"/>
  <c r="F166" i="33"/>
  <c r="F86" i="33"/>
  <c r="F11" i="33"/>
  <c r="F158" i="33"/>
  <c r="F190" i="33"/>
  <c r="F21" i="33"/>
  <c r="F111" i="33"/>
  <c r="F29" i="33"/>
  <c r="F300" i="33"/>
  <c r="F174" i="33"/>
  <c r="F87" i="33"/>
  <c r="F199" i="33"/>
  <c r="F83" i="33"/>
  <c r="F7" i="33"/>
  <c r="F137" i="33"/>
  <c r="F37" i="33"/>
  <c r="F103" i="33"/>
  <c r="F145" i="33"/>
  <c r="F79" i="33"/>
  <c r="F95" i="33"/>
  <c r="F296" i="33"/>
  <c r="F119" i="33"/>
  <c r="F193" i="33"/>
  <c r="F47" i="33"/>
  <c r="F13" i="33"/>
  <c r="F304" i="33"/>
  <c r="F67" i="33"/>
  <c r="F182" i="33"/>
  <c r="F207" i="33"/>
  <c r="C312" i="34"/>
  <c r="K6" i="49"/>
  <c r="F306" i="37"/>
  <c r="E306" i="13"/>
  <c r="F306" i="13" s="1"/>
  <c r="C306" i="11"/>
  <c r="O306" i="11" s="1"/>
  <c r="G312" i="34" s="1"/>
  <c r="L201" i="49" l="1"/>
  <c r="E48" i="48"/>
  <c r="F48" i="48" s="1"/>
  <c r="F50" i="48" s="1"/>
  <c r="L253" i="49"/>
  <c r="H260" i="25"/>
  <c r="J261" i="54" s="1"/>
  <c r="K261" i="54" s="1"/>
  <c r="H183" i="25"/>
  <c r="J184" i="54" s="1"/>
  <c r="K184" i="54" s="1"/>
  <c r="H225" i="25"/>
  <c r="J226" i="54" s="1"/>
  <c r="K226" i="54" s="1"/>
  <c r="H219" i="25"/>
  <c r="J220" i="54" s="1"/>
  <c r="K220" i="54" s="1"/>
  <c r="H172" i="25"/>
  <c r="J173" i="54" s="1"/>
  <c r="K173" i="54" s="1"/>
  <c r="H171" i="25"/>
  <c r="J172" i="54" s="1"/>
  <c r="K172" i="54" s="1"/>
  <c r="H86" i="25"/>
  <c r="J87" i="54" s="1"/>
  <c r="K87" i="54" s="1"/>
  <c r="H130" i="25"/>
  <c r="J131" i="54" s="1"/>
  <c r="K131" i="54" s="1"/>
  <c r="H133" i="25"/>
  <c r="J134" i="54" s="1"/>
  <c r="K134" i="54" s="1"/>
  <c r="H97" i="25"/>
  <c r="J98" i="54" s="1"/>
  <c r="K98" i="54" s="1"/>
  <c r="H104" i="25"/>
  <c r="J105" i="54" s="1"/>
  <c r="K105" i="54" s="1"/>
  <c r="H111" i="25"/>
  <c r="J112" i="54" s="1"/>
  <c r="K112" i="54" s="1"/>
  <c r="H10" i="25"/>
  <c r="J11" i="54" s="1"/>
  <c r="K11" i="54" s="1"/>
  <c r="H45" i="25"/>
  <c r="J46" i="54" s="1"/>
  <c r="K46" i="54" s="1"/>
  <c r="H288" i="25"/>
  <c r="J289" i="54" s="1"/>
  <c r="K289" i="54" s="1"/>
  <c r="H256" i="25"/>
  <c r="J257" i="54" s="1"/>
  <c r="K257" i="54" s="1"/>
  <c r="H291" i="25"/>
  <c r="J292" i="54" s="1"/>
  <c r="K292" i="54" s="1"/>
  <c r="H259" i="25"/>
  <c r="J260" i="54" s="1"/>
  <c r="K260" i="54" s="1"/>
  <c r="H302" i="25"/>
  <c r="J303" i="54" s="1"/>
  <c r="K303" i="54" s="1"/>
  <c r="H270" i="25"/>
  <c r="J271" i="54" s="1"/>
  <c r="K271" i="54" s="1"/>
  <c r="H209" i="25"/>
  <c r="J210" i="54" s="1"/>
  <c r="K210" i="54" s="1"/>
  <c r="H277" i="25"/>
  <c r="J278" i="54" s="1"/>
  <c r="K278" i="54" s="1"/>
  <c r="H237" i="25"/>
  <c r="J238" i="54" s="1"/>
  <c r="K238" i="54" s="1"/>
  <c r="H236" i="25"/>
  <c r="J237" i="54" s="1"/>
  <c r="K237" i="54" s="1"/>
  <c r="H204" i="25"/>
  <c r="J205" i="54" s="1"/>
  <c r="K205" i="54" s="1"/>
  <c r="H247" i="25"/>
  <c r="J248" i="54" s="1"/>
  <c r="K248" i="54" s="1"/>
  <c r="H215" i="25"/>
  <c r="J216" i="54" s="1"/>
  <c r="K216" i="54" s="1"/>
  <c r="H238" i="25"/>
  <c r="J239" i="54" s="1"/>
  <c r="K239" i="54" s="1"/>
  <c r="H206" i="25"/>
  <c r="J207" i="54" s="1"/>
  <c r="K207" i="54" s="1"/>
  <c r="H168" i="25"/>
  <c r="J169" i="54" s="1"/>
  <c r="K169" i="54" s="1"/>
  <c r="H136" i="25"/>
  <c r="J137" i="54" s="1"/>
  <c r="K137" i="54" s="1"/>
  <c r="H167" i="25"/>
  <c r="J168" i="54" s="1"/>
  <c r="K168" i="54" s="1"/>
  <c r="H135" i="25"/>
  <c r="J136" i="54" s="1"/>
  <c r="K136" i="54" s="1"/>
  <c r="H78" i="25"/>
  <c r="J79" i="54" s="1"/>
  <c r="K79" i="54" s="1"/>
  <c r="H158" i="25"/>
  <c r="J159" i="54" s="1"/>
  <c r="K159" i="54" s="1"/>
  <c r="H126" i="25"/>
  <c r="J127" i="54" s="1"/>
  <c r="K127" i="54" s="1"/>
  <c r="H161" i="25"/>
  <c r="J162" i="54" s="1"/>
  <c r="K162" i="54" s="1"/>
  <c r="H129" i="25"/>
  <c r="J130" i="54" s="1"/>
  <c r="K130" i="54" s="1"/>
  <c r="H82" i="25"/>
  <c r="J83" i="54" s="1"/>
  <c r="K83" i="54" s="1"/>
  <c r="H93" i="25"/>
  <c r="J94" i="54" s="1"/>
  <c r="K94" i="54" s="1"/>
  <c r="H26" i="25"/>
  <c r="J27" i="54" s="1"/>
  <c r="K27" i="54" s="1"/>
  <c r="H100" i="25"/>
  <c r="J101" i="54" s="1"/>
  <c r="K101" i="54" s="1"/>
  <c r="H63" i="25"/>
  <c r="J64" i="54" s="1"/>
  <c r="K64" i="54" s="1"/>
  <c r="H107" i="25"/>
  <c r="J108" i="54" s="1"/>
  <c r="K108" i="54" s="1"/>
  <c r="H75" i="25"/>
  <c r="J76" i="54" s="1"/>
  <c r="K76" i="54" s="1"/>
  <c r="H73" i="25"/>
  <c r="J74" i="54" s="1"/>
  <c r="K74" i="54" s="1"/>
  <c r="H41" i="25"/>
  <c r="J42" i="54" s="1"/>
  <c r="K42" i="54" s="1"/>
  <c r="H9" i="25"/>
  <c r="J10" i="54" s="1"/>
  <c r="K10" i="54" s="1"/>
  <c r="H44" i="25"/>
  <c r="J45" i="54" s="1"/>
  <c r="K45" i="54" s="1"/>
  <c r="H12" i="25"/>
  <c r="J13" i="54" s="1"/>
  <c r="K13" i="54" s="1"/>
  <c r="H31" i="25"/>
  <c r="J32" i="54" s="1"/>
  <c r="K32" i="54" s="1"/>
  <c r="H292" i="25"/>
  <c r="J293" i="54" s="1"/>
  <c r="K293" i="54" s="1"/>
  <c r="H295" i="25"/>
  <c r="J296" i="54" s="1"/>
  <c r="K296" i="54" s="1"/>
  <c r="H274" i="25"/>
  <c r="J275" i="54" s="1"/>
  <c r="K275" i="54" s="1"/>
  <c r="H281" i="25"/>
  <c r="J282" i="54" s="1"/>
  <c r="K282" i="54" s="1"/>
  <c r="H251" i="25"/>
  <c r="J252" i="54" s="1"/>
  <c r="K252" i="54" s="1"/>
  <c r="H210" i="25"/>
  <c r="J211" i="54" s="1"/>
  <c r="K211" i="54" s="1"/>
  <c r="H140" i="25"/>
  <c r="J141" i="54" s="1"/>
  <c r="K141" i="54" s="1"/>
  <c r="H139" i="25"/>
  <c r="J140" i="54" s="1"/>
  <c r="K140" i="54" s="1"/>
  <c r="H162" i="25"/>
  <c r="J163" i="54" s="1"/>
  <c r="K163" i="54" s="1"/>
  <c r="H165" i="25"/>
  <c r="J166" i="54" s="1"/>
  <c r="K166" i="54" s="1"/>
  <c r="H90" i="25"/>
  <c r="J91" i="54" s="1"/>
  <c r="K91" i="54" s="1"/>
  <c r="H42" i="25"/>
  <c r="J43" i="54" s="1"/>
  <c r="K43" i="54" s="1"/>
  <c r="H71" i="25"/>
  <c r="J72" i="54" s="1"/>
  <c r="K72" i="54" s="1"/>
  <c r="H79" i="25"/>
  <c r="J80" i="54" s="1"/>
  <c r="K80" i="54" s="1"/>
  <c r="H48" i="25"/>
  <c r="J49" i="54" s="1"/>
  <c r="K49" i="54" s="1"/>
  <c r="H284" i="25"/>
  <c r="J285" i="54" s="1"/>
  <c r="K285" i="54" s="1"/>
  <c r="H245" i="25"/>
  <c r="J246" i="54" s="1"/>
  <c r="K246" i="54" s="1"/>
  <c r="H287" i="25"/>
  <c r="J288" i="54" s="1"/>
  <c r="K288" i="54" s="1"/>
  <c r="H255" i="25"/>
  <c r="J256" i="54" s="1"/>
  <c r="K256" i="54" s="1"/>
  <c r="H298" i="25"/>
  <c r="J299" i="54" s="1"/>
  <c r="K299" i="54" s="1"/>
  <c r="H266" i="25"/>
  <c r="J267" i="54" s="1"/>
  <c r="K267" i="54" s="1"/>
  <c r="H179" i="25"/>
  <c r="J180" i="54" s="1"/>
  <c r="K180" i="54" s="1"/>
  <c r="H273" i="25"/>
  <c r="J274" i="54" s="1"/>
  <c r="K274" i="54" s="1"/>
  <c r="H221" i="25"/>
  <c r="J222" i="54" s="1"/>
  <c r="K222" i="54" s="1"/>
  <c r="H232" i="25"/>
  <c r="J233" i="54" s="1"/>
  <c r="K233" i="54" s="1"/>
  <c r="H200" i="25"/>
  <c r="J201" i="54" s="1"/>
  <c r="H243" i="25"/>
  <c r="J244" i="54" s="1"/>
  <c r="K244" i="54" s="1"/>
  <c r="H211" i="25"/>
  <c r="J212" i="54" s="1"/>
  <c r="K212" i="54" s="1"/>
  <c r="H234" i="25"/>
  <c r="J235" i="54" s="1"/>
  <c r="K235" i="54" s="1"/>
  <c r="H202" i="25"/>
  <c r="J203" i="54" s="1"/>
  <c r="K203" i="54" s="1"/>
  <c r="H164" i="25"/>
  <c r="J165" i="54" s="1"/>
  <c r="K165" i="54" s="1"/>
  <c r="H132" i="25"/>
  <c r="J133" i="54" s="1"/>
  <c r="K133" i="54" s="1"/>
  <c r="H163" i="25"/>
  <c r="J164" i="54" s="1"/>
  <c r="K164" i="54" s="1"/>
  <c r="H131" i="25"/>
  <c r="J132" i="54" s="1"/>
  <c r="K132" i="54" s="1"/>
  <c r="H186" i="25"/>
  <c r="J187" i="54" s="1"/>
  <c r="K187" i="54" s="1"/>
  <c r="H154" i="25"/>
  <c r="J155" i="54" s="1"/>
  <c r="K155" i="54" s="1"/>
  <c r="H106" i="25"/>
  <c r="J107" i="54" s="1"/>
  <c r="K107" i="54" s="1"/>
  <c r="H157" i="25"/>
  <c r="J158" i="54" s="1"/>
  <c r="K158" i="54" s="1"/>
  <c r="H117" i="25"/>
  <c r="J118" i="54" s="1"/>
  <c r="K118" i="54" s="1"/>
  <c r="H67" i="25"/>
  <c r="J68" i="54" s="1"/>
  <c r="K68" i="54" s="1"/>
  <c r="H89" i="25"/>
  <c r="J90" i="54" s="1"/>
  <c r="K90" i="54" s="1"/>
  <c r="H6" i="25"/>
  <c r="J7" i="54" s="1"/>
  <c r="K7" i="54" s="1"/>
  <c r="H96" i="25"/>
  <c r="J97" i="54" s="1"/>
  <c r="K97" i="54" s="1"/>
  <c r="H54" i="25"/>
  <c r="J55" i="54" s="1"/>
  <c r="K55" i="54" s="1"/>
  <c r="H103" i="25"/>
  <c r="J104" i="54" s="1"/>
  <c r="K104" i="54" s="1"/>
  <c r="H74" i="25"/>
  <c r="J75" i="54" s="1"/>
  <c r="K75" i="54" s="1"/>
  <c r="H69" i="25"/>
  <c r="J70" i="54" s="1"/>
  <c r="K70" i="54" s="1"/>
  <c r="H37" i="25"/>
  <c r="J38" i="54" s="1"/>
  <c r="K38" i="54" s="1"/>
  <c r="H72" i="25"/>
  <c r="J73" i="54" s="1"/>
  <c r="K73" i="54" s="1"/>
  <c r="H40" i="25"/>
  <c r="J41" i="54" s="1"/>
  <c r="K41" i="54" s="1"/>
  <c r="H8" i="25"/>
  <c r="J9" i="54" s="1"/>
  <c r="K9" i="54" s="1"/>
  <c r="H27" i="25"/>
  <c r="J28" i="54" s="1"/>
  <c r="K28" i="54" s="1"/>
  <c r="H263" i="25"/>
  <c r="J264" i="54" s="1"/>
  <c r="K264" i="54" s="1"/>
  <c r="H242" i="25"/>
  <c r="J243" i="54" s="1"/>
  <c r="K243" i="54" s="1"/>
  <c r="H13" i="25"/>
  <c r="J14" i="54" s="1"/>
  <c r="K14" i="54" s="1"/>
  <c r="H280" i="25"/>
  <c r="J281" i="54" s="1"/>
  <c r="K281" i="54" s="1"/>
  <c r="H233" i="25"/>
  <c r="J234" i="54" s="1"/>
  <c r="K234" i="54" s="1"/>
  <c r="H283" i="25"/>
  <c r="J284" i="54" s="1"/>
  <c r="K284" i="54" s="1"/>
  <c r="H246" i="25"/>
  <c r="J247" i="54" s="1"/>
  <c r="K247" i="54" s="1"/>
  <c r="H294" i="25"/>
  <c r="J295" i="54" s="1"/>
  <c r="K295" i="54" s="1"/>
  <c r="H262" i="25"/>
  <c r="J263" i="54" s="1"/>
  <c r="K263" i="54" s="1"/>
  <c r="H301" i="25"/>
  <c r="J302" i="54" s="1"/>
  <c r="K302" i="54" s="1"/>
  <c r="H269" i="25"/>
  <c r="J270" i="54" s="1"/>
  <c r="K270" i="54" s="1"/>
  <c r="H205" i="25"/>
  <c r="J206" i="54" s="1"/>
  <c r="K206" i="54" s="1"/>
  <c r="H228" i="25"/>
  <c r="J229" i="54" s="1"/>
  <c r="K229" i="54" s="1"/>
  <c r="H196" i="25"/>
  <c r="J197" i="54" s="1"/>
  <c r="K197" i="54" s="1"/>
  <c r="H239" i="25"/>
  <c r="J240" i="54" s="1"/>
  <c r="K240" i="54" s="1"/>
  <c r="H207" i="25"/>
  <c r="J208" i="54" s="1"/>
  <c r="K208" i="54" s="1"/>
  <c r="H230" i="25"/>
  <c r="J231" i="54" s="1"/>
  <c r="K231" i="54" s="1"/>
  <c r="H198" i="25"/>
  <c r="J199" i="54" s="1"/>
  <c r="K199" i="54" s="1"/>
  <c r="H160" i="25"/>
  <c r="J161" i="54" s="1"/>
  <c r="K161" i="54" s="1"/>
  <c r="H128" i="25"/>
  <c r="J129" i="54" s="1"/>
  <c r="K129" i="54" s="1"/>
  <c r="H159" i="25"/>
  <c r="J160" i="54" s="1"/>
  <c r="K160" i="54" s="1"/>
  <c r="H127" i="25"/>
  <c r="J128" i="54" s="1"/>
  <c r="K128" i="54" s="1"/>
  <c r="H182" i="25"/>
  <c r="J183" i="54" s="1"/>
  <c r="K183" i="54" s="1"/>
  <c r="H150" i="25"/>
  <c r="J151" i="54" s="1"/>
  <c r="K151" i="54" s="1"/>
  <c r="H185" i="25"/>
  <c r="J186" i="54" s="1"/>
  <c r="K186" i="54" s="1"/>
  <c r="H153" i="25"/>
  <c r="J154" i="54" s="1"/>
  <c r="K154" i="54" s="1"/>
  <c r="H114" i="25"/>
  <c r="J115" i="54" s="1"/>
  <c r="K115" i="54" s="1"/>
  <c r="H59" i="25"/>
  <c r="J60" i="54" s="1"/>
  <c r="K60" i="54" s="1"/>
  <c r="H85" i="25"/>
  <c r="J86" i="54" s="1"/>
  <c r="K86" i="54" s="1"/>
  <c r="H124" i="25"/>
  <c r="J125" i="54" s="1"/>
  <c r="K125" i="54" s="1"/>
  <c r="H92" i="25"/>
  <c r="J93" i="54" s="1"/>
  <c r="K93" i="54" s="1"/>
  <c r="H38" i="25"/>
  <c r="J39" i="54" s="1"/>
  <c r="K39" i="54" s="1"/>
  <c r="H99" i="25"/>
  <c r="J100" i="54" s="1"/>
  <c r="K100" i="54" s="1"/>
  <c r="H66" i="25"/>
  <c r="J67" i="54" s="1"/>
  <c r="K67" i="54" s="1"/>
  <c r="H65" i="25"/>
  <c r="J66" i="54" s="1"/>
  <c r="K66" i="54" s="1"/>
  <c r="H33" i="25"/>
  <c r="J34" i="54" s="1"/>
  <c r="K34" i="54" s="1"/>
  <c r="H68" i="25"/>
  <c r="J69" i="54" s="1"/>
  <c r="K69" i="54" s="1"/>
  <c r="H36" i="25"/>
  <c r="J37" i="54" s="1"/>
  <c r="K37" i="54" s="1"/>
  <c r="H55" i="25"/>
  <c r="J56" i="54" s="1"/>
  <c r="K56" i="54" s="1"/>
  <c r="H23" i="25"/>
  <c r="J24" i="54" s="1"/>
  <c r="K24" i="54" s="1"/>
  <c r="H250" i="25"/>
  <c r="J251" i="54" s="1"/>
  <c r="K251" i="54" s="1"/>
  <c r="H276" i="25"/>
  <c r="J277" i="54" s="1"/>
  <c r="K277" i="54" s="1"/>
  <c r="H217" i="25"/>
  <c r="J218" i="54" s="1"/>
  <c r="K218" i="54" s="1"/>
  <c r="H279" i="25"/>
  <c r="J280" i="54" s="1"/>
  <c r="K280" i="54" s="1"/>
  <c r="H229" i="25"/>
  <c r="J230" i="54" s="1"/>
  <c r="K230" i="54" s="1"/>
  <c r="H290" i="25"/>
  <c r="J291" i="54" s="1"/>
  <c r="K291" i="54" s="1"/>
  <c r="H258" i="25"/>
  <c r="J259" i="54" s="1"/>
  <c r="K259" i="54" s="1"/>
  <c r="H297" i="25"/>
  <c r="J298" i="54" s="1"/>
  <c r="K298" i="54" s="1"/>
  <c r="H265" i="25"/>
  <c r="J266" i="54" s="1"/>
  <c r="K266" i="54" s="1"/>
  <c r="H193" i="25"/>
  <c r="J194" i="54" s="1"/>
  <c r="K194" i="54" s="1"/>
  <c r="H224" i="25"/>
  <c r="J225" i="54" s="1"/>
  <c r="K225" i="54" s="1"/>
  <c r="H192" i="25"/>
  <c r="J193" i="54" s="1"/>
  <c r="K193" i="54" s="1"/>
  <c r="H235" i="25"/>
  <c r="J236" i="54" s="1"/>
  <c r="K236" i="54" s="1"/>
  <c r="H203" i="25"/>
  <c r="J204" i="54" s="1"/>
  <c r="K204" i="54" s="1"/>
  <c r="H226" i="25"/>
  <c r="J227" i="54" s="1"/>
  <c r="K227" i="54" s="1"/>
  <c r="H194" i="25"/>
  <c r="J195" i="54" s="1"/>
  <c r="K195" i="54" s="1"/>
  <c r="H156" i="25"/>
  <c r="J157" i="54" s="1"/>
  <c r="K157" i="54" s="1"/>
  <c r="H122" i="25"/>
  <c r="J123" i="54" s="1"/>
  <c r="K123" i="54" s="1"/>
  <c r="H155" i="25"/>
  <c r="J156" i="54" s="1"/>
  <c r="K156" i="54" s="1"/>
  <c r="H125" i="25"/>
  <c r="J126" i="54" s="1"/>
  <c r="K126" i="54" s="1"/>
  <c r="H178" i="25"/>
  <c r="J179" i="54" s="1"/>
  <c r="K179" i="54" s="1"/>
  <c r="H146" i="25"/>
  <c r="J147" i="54" s="1"/>
  <c r="K147" i="54" s="1"/>
  <c r="H181" i="25"/>
  <c r="J182" i="54" s="1"/>
  <c r="K182" i="54" s="1"/>
  <c r="H149" i="25"/>
  <c r="J150" i="54" s="1"/>
  <c r="K150" i="54" s="1"/>
  <c r="H113" i="25"/>
  <c r="J114" i="54" s="1"/>
  <c r="K114" i="54" s="1"/>
  <c r="H46" i="25"/>
  <c r="J47" i="54" s="1"/>
  <c r="K47" i="54" s="1"/>
  <c r="H81" i="25"/>
  <c r="J82" i="54" s="1"/>
  <c r="K82" i="54" s="1"/>
  <c r="H120" i="25"/>
  <c r="J121" i="54" s="1"/>
  <c r="K121" i="54" s="1"/>
  <c r="H88" i="25"/>
  <c r="J89" i="54" s="1"/>
  <c r="K89" i="54" s="1"/>
  <c r="H22" i="25"/>
  <c r="J23" i="54" s="1"/>
  <c r="K23" i="54" s="1"/>
  <c r="H95" i="25"/>
  <c r="J96" i="54" s="1"/>
  <c r="K96" i="54" s="1"/>
  <c r="H58" i="25"/>
  <c r="J59" i="54" s="1"/>
  <c r="K59" i="54" s="1"/>
  <c r="H61" i="25"/>
  <c r="J62" i="54" s="1"/>
  <c r="K62" i="54" s="1"/>
  <c r="H29" i="25"/>
  <c r="J30" i="54" s="1"/>
  <c r="K30" i="54" s="1"/>
  <c r="H64" i="25"/>
  <c r="J65" i="54" s="1"/>
  <c r="K65" i="54" s="1"/>
  <c r="H32" i="25"/>
  <c r="J33" i="54" s="1"/>
  <c r="K33" i="54" s="1"/>
  <c r="H51" i="25"/>
  <c r="J52" i="54" s="1"/>
  <c r="K52" i="54" s="1"/>
  <c r="H19" i="25"/>
  <c r="J20" i="54" s="1"/>
  <c r="K20" i="54" s="1"/>
  <c r="H240" i="25"/>
  <c r="J241" i="54" s="1"/>
  <c r="K241" i="54" s="1"/>
  <c r="H16" i="25"/>
  <c r="J17" i="54" s="1"/>
  <c r="K17" i="54" s="1"/>
  <c r="H304" i="25"/>
  <c r="J305" i="54" s="1"/>
  <c r="K305" i="54" s="1"/>
  <c r="H272" i="25"/>
  <c r="J273" i="54" s="1"/>
  <c r="K273" i="54" s="1"/>
  <c r="H201" i="25"/>
  <c r="J202" i="54" s="1"/>
  <c r="K202" i="54" s="1"/>
  <c r="H275" i="25"/>
  <c r="J276" i="54" s="1"/>
  <c r="K276" i="54" s="1"/>
  <c r="H213" i="25"/>
  <c r="J214" i="54" s="1"/>
  <c r="K214" i="54" s="1"/>
  <c r="H286" i="25"/>
  <c r="J287" i="54" s="1"/>
  <c r="K287" i="54" s="1"/>
  <c r="H254" i="25"/>
  <c r="J255" i="54" s="1"/>
  <c r="K255" i="54" s="1"/>
  <c r="H293" i="25"/>
  <c r="J294" i="54" s="1"/>
  <c r="K294" i="54" s="1"/>
  <c r="H261" i="25"/>
  <c r="J262" i="54" s="1"/>
  <c r="K262" i="54" s="1"/>
  <c r="H252" i="25"/>
  <c r="J253" i="54" s="1"/>
  <c r="H220" i="25"/>
  <c r="J221" i="54" s="1"/>
  <c r="K221" i="54" s="1"/>
  <c r="H188" i="25"/>
  <c r="J189" i="54" s="1"/>
  <c r="K189" i="54" s="1"/>
  <c r="H231" i="25"/>
  <c r="J232" i="54" s="1"/>
  <c r="K232" i="54" s="1"/>
  <c r="H199" i="25"/>
  <c r="J200" i="54" s="1"/>
  <c r="K200" i="54" s="1"/>
  <c r="H222" i="25"/>
  <c r="J223" i="54" s="1"/>
  <c r="K223" i="54" s="1"/>
  <c r="H190" i="25"/>
  <c r="J191" i="54" s="1"/>
  <c r="K191" i="54" s="1"/>
  <c r="H152" i="25"/>
  <c r="J153" i="54" s="1"/>
  <c r="K153" i="54" s="1"/>
  <c r="H121" i="25"/>
  <c r="J122" i="54" s="1"/>
  <c r="K122" i="54" s="1"/>
  <c r="H151" i="25"/>
  <c r="J152" i="54" s="1"/>
  <c r="K152" i="54" s="1"/>
  <c r="H105" i="25"/>
  <c r="J106" i="54" s="1"/>
  <c r="K106" i="54" s="1"/>
  <c r="H174" i="25"/>
  <c r="J175" i="54" s="1"/>
  <c r="K175" i="54" s="1"/>
  <c r="H142" i="25"/>
  <c r="J143" i="54" s="1"/>
  <c r="K143" i="54" s="1"/>
  <c r="H177" i="25"/>
  <c r="J178" i="54" s="1"/>
  <c r="K178" i="54" s="1"/>
  <c r="H145" i="25"/>
  <c r="J146" i="54" s="1"/>
  <c r="K146" i="54" s="1"/>
  <c r="H30" i="25"/>
  <c r="J31" i="54" s="1"/>
  <c r="K31" i="54" s="1"/>
  <c r="H77" i="25"/>
  <c r="J78" i="54" s="1"/>
  <c r="K78" i="54" s="1"/>
  <c r="H116" i="25"/>
  <c r="J117" i="54" s="1"/>
  <c r="K117" i="54" s="1"/>
  <c r="H84" i="25"/>
  <c r="J85" i="54" s="1"/>
  <c r="K85" i="54" s="1"/>
  <c r="H123" i="25"/>
  <c r="J124" i="54" s="1"/>
  <c r="K124" i="54" s="1"/>
  <c r="H91" i="25"/>
  <c r="J92" i="54" s="1"/>
  <c r="K92" i="54" s="1"/>
  <c r="H50" i="25"/>
  <c r="J51" i="54" s="1"/>
  <c r="K51" i="54" s="1"/>
  <c r="H57" i="25"/>
  <c r="J58" i="54" s="1"/>
  <c r="K58" i="54" s="1"/>
  <c r="H25" i="25"/>
  <c r="J26" i="54" s="1"/>
  <c r="K26" i="54" s="1"/>
  <c r="H60" i="25"/>
  <c r="J61" i="54" s="1"/>
  <c r="K61" i="54" s="1"/>
  <c r="H28" i="25"/>
  <c r="J29" i="54" s="1"/>
  <c r="K29" i="54" s="1"/>
  <c r="H47" i="25"/>
  <c r="J48" i="54" s="1"/>
  <c r="K48" i="54" s="1"/>
  <c r="H15" i="25"/>
  <c r="J16" i="54" s="1"/>
  <c r="K16" i="54" s="1"/>
  <c r="H208" i="25"/>
  <c r="J209" i="54" s="1"/>
  <c r="K209" i="54" s="1"/>
  <c r="H35" i="25"/>
  <c r="J36" i="54" s="1"/>
  <c r="K36" i="54" s="1"/>
  <c r="H300" i="25"/>
  <c r="J301" i="54" s="1"/>
  <c r="K301" i="54" s="1"/>
  <c r="H268" i="25"/>
  <c r="J269" i="54" s="1"/>
  <c r="K269" i="54" s="1"/>
  <c r="H303" i="25"/>
  <c r="J304" i="54" s="1"/>
  <c r="K304" i="54" s="1"/>
  <c r="H271" i="25"/>
  <c r="J272" i="54" s="1"/>
  <c r="K272" i="54" s="1"/>
  <c r="H197" i="25"/>
  <c r="J198" i="54" s="1"/>
  <c r="K198" i="54" s="1"/>
  <c r="H282" i="25"/>
  <c r="J283" i="54" s="1"/>
  <c r="K283" i="54" s="1"/>
  <c r="H249" i="25"/>
  <c r="J250" i="54" s="1"/>
  <c r="K250" i="54" s="1"/>
  <c r="H289" i="25"/>
  <c r="J290" i="54" s="1"/>
  <c r="K290" i="54" s="1"/>
  <c r="H257" i="25"/>
  <c r="J258" i="54" s="1"/>
  <c r="K258" i="54" s="1"/>
  <c r="H248" i="25"/>
  <c r="J249" i="54" s="1"/>
  <c r="K249" i="54" s="1"/>
  <c r="H216" i="25"/>
  <c r="J217" i="54" s="1"/>
  <c r="K217" i="54" s="1"/>
  <c r="H187" i="25"/>
  <c r="J188" i="54" s="1"/>
  <c r="K188" i="54" s="1"/>
  <c r="H227" i="25"/>
  <c r="J228" i="54" s="1"/>
  <c r="K228" i="54" s="1"/>
  <c r="H195" i="25"/>
  <c r="J196" i="54" s="1"/>
  <c r="K196" i="54" s="1"/>
  <c r="H218" i="25"/>
  <c r="J219" i="54" s="1"/>
  <c r="K219" i="54" s="1"/>
  <c r="H180" i="25"/>
  <c r="J181" i="54" s="1"/>
  <c r="K181" i="54" s="1"/>
  <c r="H148" i="25"/>
  <c r="J149" i="54" s="1"/>
  <c r="K149" i="54" s="1"/>
  <c r="H118" i="25"/>
  <c r="J119" i="54" s="1"/>
  <c r="K119" i="54" s="1"/>
  <c r="H147" i="25"/>
  <c r="J148" i="54" s="1"/>
  <c r="K148" i="54" s="1"/>
  <c r="H102" i="25"/>
  <c r="J103" i="54" s="1"/>
  <c r="K103" i="54" s="1"/>
  <c r="H170" i="25"/>
  <c r="J171" i="54" s="1"/>
  <c r="K171" i="54" s="1"/>
  <c r="H138" i="25"/>
  <c r="J139" i="54" s="1"/>
  <c r="K139" i="54" s="1"/>
  <c r="H173" i="25"/>
  <c r="J174" i="54" s="1"/>
  <c r="K174" i="54" s="1"/>
  <c r="H141" i="25"/>
  <c r="J142" i="54" s="1"/>
  <c r="K142" i="54" s="1"/>
  <c r="H109" i="25"/>
  <c r="J110" i="54" s="1"/>
  <c r="K110" i="54" s="1"/>
  <c r="H14" i="25"/>
  <c r="J15" i="54" s="1"/>
  <c r="K15" i="54" s="1"/>
  <c r="H70" i="25"/>
  <c r="J71" i="54" s="1"/>
  <c r="K71" i="54" s="1"/>
  <c r="H112" i="25"/>
  <c r="J113" i="54" s="1"/>
  <c r="K113" i="54" s="1"/>
  <c r="H80" i="25"/>
  <c r="J81" i="54" s="1"/>
  <c r="K81" i="54" s="1"/>
  <c r="H119" i="25"/>
  <c r="J120" i="54" s="1"/>
  <c r="K120" i="54" s="1"/>
  <c r="H87" i="25"/>
  <c r="J88" i="54" s="1"/>
  <c r="K88" i="54" s="1"/>
  <c r="H34" i="25"/>
  <c r="J35" i="54" s="1"/>
  <c r="K35" i="54" s="1"/>
  <c r="H53" i="25"/>
  <c r="J54" i="54" s="1"/>
  <c r="K54" i="54" s="1"/>
  <c r="H21" i="25"/>
  <c r="J22" i="54" s="1"/>
  <c r="K22" i="54" s="1"/>
  <c r="H56" i="25"/>
  <c r="J57" i="54" s="1"/>
  <c r="K57" i="54" s="1"/>
  <c r="H24" i="25"/>
  <c r="J25" i="54" s="1"/>
  <c r="K25" i="54" s="1"/>
  <c r="H43" i="25"/>
  <c r="J44" i="54" s="1"/>
  <c r="K44" i="54" s="1"/>
  <c r="H11" i="25"/>
  <c r="J12" i="54" s="1"/>
  <c r="K12" i="54" s="1"/>
  <c r="H296" i="25"/>
  <c r="J297" i="54" s="1"/>
  <c r="K297" i="54" s="1"/>
  <c r="H264" i="25"/>
  <c r="J265" i="54" s="1"/>
  <c r="K265" i="54" s="1"/>
  <c r="H299" i="25"/>
  <c r="J300" i="54" s="1"/>
  <c r="K300" i="54" s="1"/>
  <c r="H267" i="25"/>
  <c r="J268" i="54" s="1"/>
  <c r="K268" i="54" s="1"/>
  <c r="H189" i="25"/>
  <c r="J190" i="54" s="1"/>
  <c r="K190" i="54" s="1"/>
  <c r="H278" i="25"/>
  <c r="J279" i="54" s="1"/>
  <c r="K279" i="54" s="1"/>
  <c r="H241" i="25"/>
  <c r="J242" i="54" s="1"/>
  <c r="K242" i="54" s="1"/>
  <c r="H285" i="25"/>
  <c r="J286" i="54" s="1"/>
  <c r="K286" i="54" s="1"/>
  <c r="H253" i="25"/>
  <c r="J254" i="54" s="1"/>
  <c r="K254" i="54" s="1"/>
  <c r="H244" i="25"/>
  <c r="J245" i="54" s="1"/>
  <c r="K245" i="54" s="1"/>
  <c r="H212" i="25"/>
  <c r="J213" i="54" s="1"/>
  <c r="K213" i="54" s="1"/>
  <c r="H184" i="25"/>
  <c r="J185" i="54" s="1"/>
  <c r="K185" i="54" s="1"/>
  <c r="H223" i="25"/>
  <c r="J224" i="54" s="1"/>
  <c r="K224" i="54" s="1"/>
  <c r="H191" i="25"/>
  <c r="J192" i="54" s="1"/>
  <c r="K192" i="54" s="1"/>
  <c r="H214" i="25"/>
  <c r="J215" i="54" s="1"/>
  <c r="K215" i="54" s="1"/>
  <c r="H176" i="25"/>
  <c r="J177" i="54" s="1"/>
  <c r="K177" i="54" s="1"/>
  <c r="H144" i="25"/>
  <c r="J145" i="54" s="1"/>
  <c r="K145" i="54" s="1"/>
  <c r="H175" i="25"/>
  <c r="J176" i="54" s="1"/>
  <c r="K176" i="54" s="1"/>
  <c r="H143" i="25"/>
  <c r="J144" i="54" s="1"/>
  <c r="K144" i="54" s="1"/>
  <c r="H94" i="25"/>
  <c r="J95" i="54" s="1"/>
  <c r="K95" i="54" s="1"/>
  <c r="H166" i="25"/>
  <c r="J167" i="54" s="1"/>
  <c r="K167" i="54" s="1"/>
  <c r="H134" i="25"/>
  <c r="J135" i="54" s="1"/>
  <c r="K135" i="54" s="1"/>
  <c r="H169" i="25"/>
  <c r="J170" i="54" s="1"/>
  <c r="K170" i="54" s="1"/>
  <c r="H137" i="25"/>
  <c r="J138" i="54" s="1"/>
  <c r="K138" i="54" s="1"/>
  <c r="H98" i="25"/>
  <c r="J99" i="54" s="1"/>
  <c r="K99" i="54" s="1"/>
  <c r="H101" i="25"/>
  <c r="J102" i="54" s="1"/>
  <c r="K102" i="54" s="1"/>
  <c r="H62" i="25"/>
  <c r="J63" i="54" s="1"/>
  <c r="K63" i="54" s="1"/>
  <c r="H108" i="25"/>
  <c r="J109" i="54" s="1"/>
  <c r="K109" i="54" s="1"/>
  <c r="H76" i="25"/>
  <c r="J77" i="54" s="1"/>
  <c r="K77" i="54" s="1"/>
  <c r="H115" i="25"/>
  <c r="J116" i="54" s="1"/>
  <c r="K116" i="54" s="1"/>
  <c r="H83" i="25"/>
  <c r="J84" i="54" s="1"/>
  <c r="K84" i="54" s="1"/>
  <c r="H18" i="25"/>
  <c r="J19" i="54" s="1"/>
  <c r="K19" i="54" s="1"/>
  <c r="H49" i="25"/>
  <c r="J50" i="54" s="1"/>
  <c r="K50" i="54" s="1"/>
  <c r="H17" i="25"/>
  <c r="J18" i="54" s="1"/>
  <c r="K18" i="54" s="1"/>
  <c r="H52" i="25"/>
  <c r="J53" i="54" s="1"/>
  <c r="K53" i="54" s="1"/>
  <c r="H20" i="25"/>
  <c r="J21" i="54" s="1"/>
  <c r="K21" i="54" s="1"/>
  <c r="H39" i="25"/>
  <c r="J40" i="54" s="1"/>
  <c r="K40" i="54" s="1"/>
  <c r="H7" i="25"/>
  <c r="J8" i="54" s="1"/>
  <c r="K8" i="54" s="1"/>
  <c r="L111" i="49"/>
  <c r="H83" i="37"/>
  <c r="H87" i="37"/>
  <c r="H91" i="37"/>
  <c r="H161" i="37"/>
  <c r="H258" i="37"/>
  <c r="H160" i="37"/>
  <c r="H263" i="37"/>
  <c r="H268" i="37"/>
  <c r="H94" i="37"/>
  <c r="H98" i="37"/>
  <c r="H102" i="37"/>
  <c r="H106" i="37"/>
  <c r="H110" i="37"/>
  <c r="H114" i="37"/>
  <c r="H118" i="37"/>
  <c r="H122" i="37"/>
  <c r="H126" i="37"/>
  <c r="H130" i="37"/>
  <c r="H134" i="37"/>
  <c r="H138" i="37"/>
  <c r="H146" i="37"/>
  <c r="H154" i="37"/>
  <c r="H8" i="37"/>
  <c r="H16" i="37"/>
  <c r="H20" i="37"/>
  <c r="H68" i="37"/>
  <c r="H121" i="37"/>
  <c r="H153" i="37"/>
  <c r="H274" i="37"/>
  <c r="H84" i="37"/>
  <c r="H101" i="37"/>
  <c r="H133" i="37"/>
  <c r="H148" i="37"/>
  <c r="H158" i="37"/>
  <c r="H286" i="37"/>
  <c r="H113" i="37"/>
  <c r="H145" i="37"/>
  <c r="H266" i="37"/>
  <c r="H298" i="37"/>
  <c r="H67" i="37"/>
  <c r="H93" i="37"/>
  <c r="H125" i="37"/>
  <c r="H140" i="37"/>
  <c r="H278" i="37"/>
  <c r="H72" i="37"/>
  <c r="H88" i="37"/>
  <c r="H105" i="37"/>
  <c r="H137" i="37"/>
  <c r="H157" i="37"/>
  <c r="H290" i="37"/>
  <c r="H97" i="37"/>
  <c r="H129" i="37"/>
  <c r="H282" i="37"/>
  <c r="H12" i="37"/>
  <c r="H117" i="37"/>
  <c r="H71" i="37"/>
  <c r="H294" i="37"/>
  <c r="H162" i="37"/>
  <c r="H302" i="37"/>
  <c r="H270" i="37"/>
  <c r="H109" i="37"/>
  <c r="H250" i="37"/>
  <c r="H234" i="37"/>
  <c r="H218" i="37"/>
  <c r="H202" i="37"/>
  <c r="H186" i="37"/>
  <c r="H170" i="37"/>
  <c r="H36" i="37"/>
  <c r="H51" i="37"/>
  <c r="H23" i="37"/>
  <c r="H24" i="37"/>
  <c r="H243" i="37"/>
  <c r="H211" i="37"/>
  <c r="H179" i="37"/>
  <c r="H264" i="37"/>
  <c r="H136" i="37"/>
  <c r="H104" i="37"/>
  <c r="H304" i="37"/>
  <c r="H272" i="37"/>
  <c r="H229" i="37"/>
  <c r="H197" i="37"/>
  <c r="H165" i="37"/>
  <c r="H289" i="37"/>
  <c r="H143" i="37"/>
  <c r="H111" i="37"/>
  <c r="H269" i="37"/>
  <c r="H38" i="37"/>
  <c r="H25" i="37"/>
  <c r="H21" i="37"/>
  <c r="H262" i="37"/>
  <c r="H248" i="37"/>
  <c r="H232" i="37"/>
  <c r="H216" i="37"/>
  <c r="H200" i="37"/>
  <c r="H184" i="37"/>
  <c r="H168" i="37"/>
  <c r="H299" i="37"/>
  <c r="H239" i="37"/>
  <c r="H207" i="37"/>
  <c r="H175" i="37"/>
  <c r="H89" i="37"/>
  <c r="H132" i="37"/>
  <c r="H100" i="37"/>
  <c r="H300" i="37"/>
  <c r="H159" i="37"/>
  <c r="H257" i="37"/>
  <c r="H225" i="37"/>
  <c r="H193" i="37"/>
  <c r="H82" i="37"/>
  <c r="H285" i="37"/>
  <c r="H139" i="37"/>
  <c r="H107" i="37"/>
  <c r="H66" i="37"/>
  <c r="H34" i="37"/>
  <c r="H10" i="37"/>
  <c r="H17" i="37"/>
  <c r="H13" i="37"/>
  <c r="H27" i="37"/>
  <c r="H260" i="37"/>
  <c r="H246" i="37"/>
  <c r="H230" i="37"/>
  <c r="H214" i="37"/>
  <c r="H198" i="37"/>
  <c r="H182" i="37"/>
  <c r="H166" i="37"/>
  <c r="H267" i="37"/>
  <c r="H235" i="37"/>
  <c r="H203" i="37"/>
  <c r="H171" i="37"/>
  <c r="H63" i="37"/>
  <c r="H128" i="37"/>
  <c r="H96" i="37"/>
  <c r="H296" i="37"/>
  <c r="H150" i="37"/>
  <c r="H253" i="37"/>
  <c r="H221" i="37"/>
  <c r="H189" i="37"/>
  <c r="H78" i="37"/>
  <c r="H281" i="37"/>
  <c r="H135" i="37"/>
  <c r="H103" i="37"/>
  <c r="H62" i="37"/>
  <c r="H30" i="37"/>
  <c r="H9" i="37"/>
  <c r="H19" i="37"/>
  <c r="H149" i="37"/>
  <c r="H244" i="37"/>
  <c r="H228" i="37"/>
  <c r="H212" i="37"/>
  <c r="H196" i="37"/>
  <c r="H180" i="37"/>
  <c r="H164" i="37"/>
  <c r="H156" i="37"/>
  <c r="H275" i="37"/>
  <c r="H295" i="37"/>
  <c r="H283" i="37"/>
  <c r="H303" i="37"/>
  <c r="H231" i="37"/>
  <c r="H199" i="37"/>
  <c r="H167" i="37"/>
  <c r="H48" i="37"/>
  <c r="H124" i="37"/>
  <c r="H92" i="37"/>
  <c r="H292" i="37"/>
  <c r="H142" i="37"/>
  <c r="H249" i="37"/>
  <c r="H217" i="37"/>
  <c r="H185" i="37"/>
  <c r="H65" i="37"/>
  <c r="H277" i="37"/>
  <c r="H131" i="37"/>
  <c r="H99" i="37"/>
  <c r="H58" i="37"/>
  <c r="H26" i="37"/>
  <c r="H61" i="37"/>
  <c r="H287" i="37"/>
  <c r="H242" i="37"/>
  <c r="H226" i="37"/>
  <c r="H210" i="37"/>
  <c r="H194" i="37"/>
  <c r="H178" i="37"/>
  <c r="H80" i="37"/>
  <c r="H64" i="37"/>
  <c r="H259" i="37"/>
  <c r="H79" i="37"/>
  <c r="H271" i="37"/>
  <c r="H227" i="37"/>
  <c r="H195" i="37"/>
  <c r="H163" i="37"/>
  <c r="H31" i="37"/>
  <c r="H120" i="37"/>
  <c r="H7" i="37"/>
  <c r="H288" i="37"/>
  <c r="H90" i="37"/>
  <c r="H245" i="37"/>
  <c r="H213" i="37"/>
  <c r="H181" i="37"/>
  <c r="H305" i="37"/>
  <c r="H273" i="37"/>
  <c r="H127" i="37"/>
  <c r="H95" i="37"/>
  <c r="H54" i="37"/>
  <c r="H22" i="37"/>
  <c r="H57" i="37"/>
  <c r="H53" i="37"/>
  <c r="H256" i="37"/>
  <c r="H240" i="37"/>
  <c r="H224" i="37"/>
  <c r="H208" i="37"/>
  <c r="H192" i="37"/>
  <c r="H176" i="37"/>
  <c r="H141" i="37"/>
  <c r="H76" i="37"/>
  <c r="H47" i="37"/>
  <c r="H60" i="37"/>
  <c r="H75" i="37"/>
  <c r="H255" i="37"/>
  <c r="H223" i="37"/>
  <c r="H191" i="37"/>
  <c r="H52" i="37"/>
  <c r="H265" i="37"/>
  <c r="H116" i="37"/>
  <c r="H261" i="37"/>
  <c r="H284" i="37"/>
  <c r="H86" i="37"/>
  <c r="H241" i="37"/>
  <c r="H209" i="37"/>
  <c r="H177" i="37"/>
  <c r="H301" i="37"/>
  <c r="H155" i="37"/>
  <c r="H123" i="37"/>
  <c r="H74" i="37"/>
  <c r="H50" i="37"/>
  <c r="H18" i="37"/>
  <c r="H49" i="37"/>
  <c r="H45" i="37"/>
  <c r="H254" i="37"/>
  <c r="H238" i="37"/>
  <c r="H222" i="37"/>
  <c r="H206" i="37"/>
  <c r="H190" i="37"/>
  <c r="H174" i="37"/>
  <c r="H85" i="37"/>
  <c r="H55" i="37"/>
  <c r="H32" i="37"/>
  <c r="H43" i="37"/>
  <c r="H56" i="37"/>
  <c r="H251" i="37"/>
  <c r="H219" i="37"/>
  <c r="H187" i="37"/>
  <c r="H35" i="37"/>
  <c r="H152" i="37"/>
  <c r="H112" i="37"/>
  <c r="H81" i="37"/>
  <c r="H280" i="37"/>
  <c r="H73" i="37"/>
  <c r="H237" i="37"/>
  <c r="H205" i="37"/>
  <c r="H173" i="37"/>
  <c r="H297" i="37"/>
  <c r="H151" i="37"/>
  <c r="H119" i="37"/>
  <c r="H70" i="37"/>
  <c r="H46" i="37"/>
  <c r="H14" i="37"/>
  <c r="H41" i="37"/>
  <c r="H37" i="37"/>
  <c r="H252" i="37"/>
  <c r="H236" i="37"/>
  <c r="H220" i="37"/>
  <c r="H204" i="37"/>
  <c r="H188" i="37"/>
  <c r="H172" i="37"/>
  <c r="H44" i="37"/>
  <c r="H279" i="37"/>
  <c r="H59" i="37"/>
  <c r="H40" i="37"/>
  <c r="H15" i="37"/>
  <c r="H28" i="37"/>
  <c r="H39" i="37"/>
  <c r="H247" i="37"/>
  <c r="H215" i="37"/>
  <c r="H183" i="37"/>
  <c r="H291" i="37"/>
  <c r="H144" i="37"/>
  <c r="H108" i="37"/>
  <c r="H77" i="37"/>
  <c r="H276" i="37"/>
  <c r="H69" i="37"/>
  <c r="H233" i="37"/>
  <c r="H201" i="37"/>
  <c r="H169" i="37"/>
  <c r="H293" i="37"/>
  <c r="H147" i="37"/>
  <c r="H115" i="37"/>
  <c r="H11" i="37"/>
  <c r="H42" i="37"/>
  <c r="H33" i="37"/>
  <c r="H29" i="37"/>
  <c r="K306" i="49"/>
  <c r="E11" i="34"/>
  <c r="D7" i="34"/>
  <c r="L6" i="49"/>
  <c r="H5" i="25" s="1"/>
  <c r="H306" i="37"/>
  <c r="H6" i="37"/>
  <c r="I5" i="13"/>
  <c r="K306" i="11"/>
  <c r="J3" i="33"/>
  <c r="F6" i="33"/>
  <c r="I3" i="33"/>
  <c r="D306" i="37"/>
  <c r="K3" i="33"/>
  <c r="H3" i="33"/>
  <c r="G3" i="33"/>
  <c r="F306" i="11"/>
  <c r="D5" i="9"/>
  <c r="D6" i="9"/>
  <c r="K201" i="54" l="1"/>
  <c r="F61" i="48" s="1"/>
  <c r="F60" i="48"/>
  <c r="K253" i="54"/>
  <c r="H110" i="25"/>
  <c r="J111" i="54" s="1"/>
  <c r="K111" i="54" s="1"/>
  <c r="E10" i="37"/>
  <c r="G10" i="37" s="1"/>
  <c r="I10" i="37" s="1"/>
  <c r="F16" i="34" s="1"/>
  <c r="F10" i="12" s="1"/>
  <c r="E14" i="37"/>
  <c r="G14" i="37" s="1"/>
  <c r="I14" i="37" s="1"/>
  <c r="F20" i="34" s="1"/>
  <c r="F14" i="12" s="1"/>
  <c r="E9" i="37"/>
  <c r="G9" i="37" s="1"/>
  <c r="I9" i="37" s="1"/>
  <c r="F15" i="34" s="1"/>
  <c r="F9" i="12" s="1"/>
  <c r="E13" i="37"/>
  <c r="G13" i="37" s="1"/>
  <c r="I13" i="37" s="1"/>
  <c r="F19" i="34" s="1"/>
  <c r="F13" i="12" s="1"/>
  <c r="E70" i="37"/>
  <c r="G70" i="37" s="1"/>
  <c r="I70" i="37" s="1"/>
  <c r="F76" i="34" s="1"/>
  <c r="F70" i="12" s="1"/>
  <c r="E74" i="37"/>
  <c r="G74" i="37" s="1"/>
  <c r="I74" i="37" s="1"/>
  <c r="F80" i="34" s="1"/>
  <c r="F74" i="12" s="1"/>
  <c r="E95" i="37"/>
  <c r="G95" i="37" s="1"/>
  <c r="I95" i="37" s="1"/>
  <c r="F101" i="34" s="1"/>
  <c r="F95" i="12" s="1"/>
  <c r="E99" i="37"/>
  <c r="G99" i="37" s="1"/>
  <c r="I99" i="37" s="1"/>
  <c r="F105" i="34" s="1"/>
  <c r="F99" i="12" s="1"/>
  <c r="E103" i="37"/>
  <c r="G103" i="37" s="1"/>
  <c r="I103" i="37" s="1"/>
  <c r="F109" i="34" s="1"/>
  <c r="F103" i="12" s="1"/>
  <c r="E107" i="37"/>
  <c r="G107" i="37" s="1"/>
  <c r="I107" i="37" s="1"/>
  <c r="F113" i="34" s="1"/>
  <c r="F107" i="12" s="1"/>
  <c r="E111" i="37"/>
  <c r="G111" i="37" s="1"/>
  <c r="I111" i="37" s="1"/>
  <c r="F117" i="34" s="1"/>
  <c r="E115" i="37"/>
  <c r="G115" i="37" s="1"/>
  <c r="I115" i="37" s="1"/>
  <c r="F121" i="34" s="1"/>
  <c r="F115" i="12" s="1"/>
  <c r="E119" i="37"/>
  <c r="G119" i="37" s="1"/>
  <c r="I119" i="37" s="1"/>
  <c r="F125" i="34" s="1"/>
  <c r="F119" i="12" s="1"/>
  <c r="E123" i="37"/>
  <c r="G123" i="37" s="1"/>
  <c r="I123" i="37" s="1"/>
  <c r="F129" i="34" s="1"/>
  <c r="F123" i="12" s="1"/>
  <c r="E127" i="37"/>
  <c r="G127" i="37" s="1"/>
  <c r="I127" i="37" s="1"/>
  <c r="F133" i="34" s="1"/>
  <c r="F127" i="12" s="1"/>
  <c r="E131" i="37"/>
  <c r="G131" i="37" s="1"/>
  <c r="I131" i="37" s="1"/>
  <c r="F137" i="34" s="1"/>
  <c r="F131" i="12" s="1"/>
  <c r="E135" i="37"/>
  <c r="G135" i="37" s="1"/>
  <c r="I135" i="37" s="1"/>
  <c r="F141" i="34" s="1"/>
  <c r="F135" i="12" s="1"/>
  <c r="E139" i="37"/>
  <c r="G139" i="37" s="1"/>
  <c r="I139" i="37" s="1"/>
  <c r="F145" i="34" s="1"/>
  <c r="F139" i="12" s="1"/>
  <c r="E143" i="37"/>
  <c r="G143" i="37" s="1"/>
  <c r="I143" i="37" s="1"/>
  <c r="F149" i="34" s="1"/>
  <c r="F143" i="12" s="1"/>
  <c r="E147" i="37"/>
  <c r="G147" i="37" s="1"/>
  <c r="I147" i="37" s="1"/>
  <c r="F153" i="34" s="1"/>
  <c r="F147" i="12" s="1"/>
  <c r="E151" i="37"/>
  <c r="G151" i="37" s="1"/>
  <c r="I151" i="37" s="1"/>
  <c r="F157" i="34" s="1"/>
  <c r="F151" i="12" s="1"/>
  <c r="E155" i="37"/>
  <c r="G155" i="37" s="1"/>
  <c r="I155" i="37" s="1"/>
  <c r="F161" i="34" s="1"/>
  <c r="F155" i="12" s="1"/>
  <c r="E160" i="37"/>
  <c r="G160" i="37" s="1"/>
  <c r="I160" i="37" s="1"/>
  <c r="F166" i="34" s="1"/>
  <c r="F160" i="12" s="1"/>
  <c r="E263" i="37"/>
  <c r="G263" i="37" s="1"/>
  <c r="I263" i="37" s="1"/>
  <c r="F269" i="34" s="1"/>
  <c r="F263" i="12" s="1"/>
  <c r="E273" i="37"/>
  <c r="G273" i="37" s="1"/>
  <c r="I273" i="37" s="1"/>
  <c r="F279" i="34" s="1"/>
  <c r="F273" i="12" s="1"/>
  <c r="E277" i="37"/>
  <c r="G277" i="37" s="1"/>
  <c r="I277" i="37" s="1"/>
  <c r="F283" i="34" s="1"/>
  <c r="F277" i="12" s="1"/>
  <c r="E281" i="37"/>
  <c r="G281" i="37" s="1"/>
  <c r="I281" i="37" s="1"/>
  <c r="F287" i="34" s="1"/>
  <c r="F281" i="12" s="1"/>
  <c r="E285" i="37"/>
  <c r="G285" i="37" s="1"/>
  <c r="I285" i="37" s="1"/>
  <c r="F291" i="34" s="1"/>
  <c r="F285" i="12" s="1"/>
  <c r="E289" i="37"/>
  <c r="G289" i="37" s="1"/>
  <c r="I289" i="37" s="1"/>
  <c r="F295" i="34" s="1"/>
  <c r="F289" i="12" s="1"/>
  <c r="E293" i="37"/>
  <c r="G293" i="37" s="1"/>
  <c r="I293" i="37" s="1"/>
  <c r="F299" i="34" s="1"/>
  <c r="F293" i="12" s="1"/>
  <c r="E297" i="37"/>
  <c r="G297" i="37" s="1"/>
  <c r="I297" i="37" s="1"/>
  <c r="F303" i="34" s="1"/>
  <c r="F297" i="12" s="1"/>
  <c r="E301" i="37"/>
  <c r="G301" i="37" s="1"/>
  <c r="I301" i="37" s="1"/>
  <c r="F307" i="34" s="1"/>
  <c r="F301" i="12" s="1"/>
  <c r="E305" i="37"/>
  <c r="G305" i="37" s="1"/>
  <c r="I305" i="37" s="1"/>
  <c r="F311" i="34" s="1"/>
  <c r="F305" i="12" s="1"/>
  <c r="E17" i="37"/>
  <c r="G17" i="37" s="1"/>
  <c r="I17" i="37" s="1"/>
  <c r="F23" i="34" s="1"/>
  <c r="F17" i="12" s="1"/>
  <c r="E21" i="37"/>
  <c r="G21" i="37" s="1"/>
  <c r="I21" i="37" s="1"/>
  <c r="F27" i="34" s="1"/>
  <c r="F21" i="12" s="1"/>
  <c r="E25" i="37"/>
  <c r="G25" i="37" s="1"/>
  <c r="I25" i="37" s="1"/>
  <c r="F31" i="34" s="1"/>
  <c r="F25" i="12" s="1"/>
  <c r="E29" i="37"/>
  <c r="G29" i="37" s="1"/>
  <c r="I29" i="37" s="1"/>
  <c r="F35" i="34" s="1"/>
  <c r="F29" i="12" s="1"/>
  <c r="E33" i="37"/>
  <c r="G33" i="37" s="1"/>
  <c r="I33" i="37" s="1"/>
  <c r="F39" i="34" s="1"/>
  <c r="F33" i="12" s="1"/>
  <c r="E37" i="37"/>
  <c r="G37" i="37" s="1"/>
  <c r="I37" i="37" s="1"/>
  <c r="F43" i="34" s="1"/>
  <c r="F37" i="12" s="1"/>
  <c r="E41" i="37"/>
  <c r="G41" i="37" s="1"/>
  <c r="I41" i="37" s="1"/>
  <c r="F47" i="34" s="1"/>
  <c r="F41" i="12" s="1"/>
  <c r="E45" i="37"/>
  <c r="G45" i="37" s="1"/>
  <c r="I45" i="37" s="1"/>
  <c r="F51" i="34" s="1"/>
  <c r="F45" i="12" s="1"/>
  <c r="E49" i="37"/>
  <c r="G49" i="37" s="1"/>
  <c r="I49" i="37" s="1"/>
  <c r="F55" i="34" s="1"/>
  <c r="F49" i="12" s="1"/>
  <c r="E53" i="37"/>
  <c r="G53" i="37" s="1"/>
  <c r="I53" i="37" s="1"/>
  <c r="F59" i="34" s="1"/>
  <c r="F53" i="12" s="1"/>
  <c r="E57" i="37"/>
  <c r="G57" i="37" s="1"/>
  <c r="I57" i="37" s="1"/>
  <c r="F63" i="34" s="1"/>
  <c r="F57" i="12" s="1"/>
  <c r="E61" i="37"/>
  <c r="G61" i="37" s="1"/>
  <c r="I61" i="37" s="1"/>
  <c r="F67" i="34" s="1"/>
  <c r="F61" i="12" s="1"/>
  <c r="E65" i="37"/>
  <c r="G65" i="37" s="1"/>
  <c r="I65" i="37" s="1"/>
  <c r="F71" i="34" s="1"/>
  <c r="F65" i="12" s="1"/>
  <c r="E78" i="37"/>
  <c r="G78" i="37" s="1"/>
  <c r="I78" i="37" s="1"/>
  <c r="F84" i="34" s="1"/>
  <c r="F78" i="12" s="1"/>
  <c r="E82" i="37"/>
  <c r="G82" i="37" s="1"/>
  <c r="I82" i="37" s="1"/>
  <c r="F88" i="34" s="1"/>
  <c r="F82" i="12" s="1"/>
  <c r="E165" i="37"/>
  <c r="G165" i="37" s="1"/>
  <c r="I165" i="37" s="1"/>
  <c r="F171" i="34" s="1"/>
  <c r="F165" i="12" s="1"/>
  <c r="E169" i="37"/>
  <c r="G169" i="37" s="1"/>
  <c r="I169" i="37" s="1"/>
  <c r="F175" i="34" s="1"/>
  <c r="F169" i="12" s="1"/>
  <c r="E173" i="37"/>
  <c r="G173" i="37" s="1"/>
  <c r="I173" i="37" s="1"/>
  <c r="F179" i="34" s="1"/>
  <c r="F173" i="12" s="1"/>
  <c r="E177" i="37"/>
  <c r="G177" i="37" s="1"/>
  <c r="I177" i="37" s="1"/>
  <c r="F183" i="34" s="1"/>
  <c r="F177" i="12" s="1"/>
  <c r="E181" i="37"/>
  <c r="G181" i="37" s="1"/>
  <c r="I181" i="37" s="1"/>
  <c r="F187" i="34" s="1"/>
  <c r="F181" i="12" s="1"/>
  <c r="E185" i="37"/>
  <c r="G185" i="37" s="1"/>
  <c r="I185" i="37" s="1"/>
  <c r="F191" i="34" s="1"/>
  <c r="F185" i="12" s="1"/>
  <c r="E189" i="37"/>
  <c r="G189" i="37" s="1"/>
  <c r="I189" i="37" s="1"/>
  <c r="F195" i="34" s="1"/>
  <c r="F189" i="12" s="1"/>
  <c r="E193" i="37"/>
  <c r="G193" i="37" s="1"/>
  <c r="I193" i="37" s="1"/>
  <c r="F199" i="34" s="1"/>
  <c r="F193" i="12" s="1"/>
  <c r="E197" i="37"/>
  <c r="G197" i="37" s="1"/>
  <c r="I197" i="37" s="1"/>
  <c r="F203" i="34" s="1"/>
  <c r="F197" i="12" s="1"/>
  <c r="E201" i="37"/>
  <c r="G201" i="37" s="1"/>
  <c r="I201" i="37" s="1"/>
  <c r="F207" i="34" s="1"/>
  <c r="E205" i="37"/>
  <c r="G205" i="37" s="1"/>
  <c r="I205" i="37" s="1"/>
  <c r="F211" i="34" s="1"/>
  <c r="F205" i="12" s="1"/>
  <c r="E209" i="37"/>
  <c r="G209" i="37" s="1"/>
  <c r="I209" i="37" s="1"/>
  <c r="F215" i="34" s="1"/>
  <c r="F209" i="12" s="1"/>
  <c r="E213" i="37"/>
  <c r="G213" i="37" s="1"/>
  <c r="I213" i="37" s="1"/>
  <c r="F219" i="34" s="1"/>
  <c r="F213" i="12" s="1"/>
  <c r="E217" i="37"/>
  <c r="G217" i="37" s="1"/>
  <c r="I217" i="37" s="1"/>
  <c r="F223" i="34" s="1"/>
  <c r="F217" i="12" s="1"/>
  <c r="E221" i="37"/>
  <c r="G221" i="37" s="1"/>
  <c r="I221" i="37" s="1"/>
  <c r="F227" i="34" s="1"/>
  <c r="F221" i="12" s="1"/>
  <c r="E225" i="37"/>
  <c r="G225" i="37" s="1"/>
  <c r="I225" i="37" s="1"/>
  <c r="F231" i="34" s="1"/>
  <c r="F225" i="12" s="1"/>
  <c r="E229" i="37"/>
  <c r="G229" i="37" s="1"/>
  <c r="I229" i="37" s="1"/>
  <c r="F235" i="34" s="1"/>
  <c r="F229" i="12" s="1"/>
  <c r="E233" i="37"/>
  <c r="G233" i="37" s="1"/>
  <c r="I233" i="37" s="1"/>
  <c r="F239" i="34" s="1"/>
  <c r="F233" i="12" s="1"/>
  <c r="E237" i="37"/>
  <c r="G237" i="37" s="1"/>
  <c r="I237" i="37" s="1"/>
  <c r="F243" i="34" s="1"/>
  <c r="F237" i="12" s="1"/>
  <c r="E241" i="37"/>
  <c r="G241" i="37" s="1"/>
  <c r="I241" i="37" s="1"/>
  <c r="F247" i="34" s="1"/>
  <c r="F241" i="12" s="1"/>
  <c r="E245" i="37"/>
  <c r="G245" i="37" s="1"/>
  <c r="I245" i="37" s="1"/>
  <c r="F251" i="34" s="1"/>
  <c r="F245" i="12" s="1"/>
  <c r="E249" i="37"/>
  <c r="G249" i="37" s="1"/>
  <c r="I249" i="37" s="1"/>
  <c r="F255" i="34" s="1"/>
  <c r="F249" i="12" s="1"/>
  <c r="E253" i="37"/>
  <c r="G253" i="37" s="1"/>
  <c r="I253" i="37" s="1"/>
  <c r="E257" i="37"/>
  <c r="G257" i="37" s="1"/>
  <c r="I257" i="37" s="1"/>
  <c r="F263" i="34" s="1"/>
  <c r="F257" i="12" s="1"/>
  <c r="E262" i="37"/>
  <c r="G262" i="37" s="1"/>
  <c r="I262" i="37" s="1"/>
  <c r="F268" i="34" s="1"/>
  <c r="F262" i="12" s="1"/>
  <c r="E69" i="37"/>
  <c r="G69" i="37" s="1"/>
  <c r="I69" i="37" s="1"/>
  <c r="F75" i="34" s="1"/>
  <c r="F69" i="12" s="1"/>
  <c r="E73" i="37"/>
  <c r="G73" i="37" s="1"/>
  <c r="I73" i="37" s="1"/>
  <c r="F79" i="34" s="1"/>
  <c r="F73" i="12" s="1"/>
  <c r="E86" i="37"/>
  <c r="G86" i="37" s="1"/>
  <c r="I86" i="37" s="1"/>
  <c r="F92" i="34" s="1"/>
  <c r="F86" i="12" s="1"/>
  <c r="E90" i="37"/>
  <c r="G90" i="37" s="1"/>
  <c r="I90" i="37" s="1"/>
  <c r="F96" i="34" s="1"/>
  <c r="F90" i="12" s="1"/>
  <c r="E159" i="37"/>
  <c r="G159" i="37" s="1"/>
  <c r="I159" i="37" s="1"/>
  <c r="F165" i="34" s="1"/>
  <c r="F159" i="12" s="1"/>
  <c r="E267" i="37"/>
  <c r="G267" i="37" s="1"/>
  <c r="I267" i="37" s="1"/>
  <c r="F273" i="34" s="1"/>
  <c r="F267" i="12" s="1"/>
  <c r="E77" i="37"/>
  <c r="G77" i="37" s="1"/>
  <c r="I77" i="37" s="1"/>
  <c r="F83" i="34" s="1"/>
  <c r="F77" i="12" s="1"/>
  <c r="E81" i="37"/>
  <c r="G81" i="37" s="1"/>
  <c r="I81" i="37" s="1"/>
  <c r="F87" i="34" s="1"/>
  <c r="F81" i="12" s="1"/>
  <c r="E93" i="37"/>
  <c r="G93" i="37" s="1"/>
  <c r="I93" i="37" s="1"/>
  <c r="F99" i="34" s="1"/>
  <c r="F93" i="12" s="1"/>
  <c r="E97" i="37"/>
  <c r="G97" i="37" s="1"/>
  <c r="I97" i="37" s="1"/>
  <c r="F103" i="34" s="1"/>
  <c r="F97" i="12" s="1"/>
  <c r="E101" i="37"/>
  <c r="G101" i="37" s="1"/>
  <c r="I101" i="37" s="1"/>
  <c r="F107" i="34" s="1"/>
  <c r="F101" i="12" s="1"/>
  <c r="E105" i="37"/>
  <c r="G105" i="37" s="1"/>
  <c r="I105" i="37" s="1"/>
  <c r="F111" i="34" s="1"/>
  <c r="F105" i="12" s="1"/>
  <c r="E109" i="37"/>
  <c r="G109" i="37" s="1"/>
  <c r="I109" i="37" s="1"/>
  <c r="F115" i="34" s="1"/>
  <c r="F109" i="12" s="1"/>
  <c r="E113" i="37"/>
  <c r="G113" i="37" s="1"/>
  <c r="I113" i="37" s="1"/>
  <c r="F119" i="34" s="1"/>
  <c r="F113" i="12" s="1"/>
  <c r="E117" i="37"/>
  <c r="G117" i="37" s="1"/>
  <c r="I117" i="37" s="1"/>
  <c r="F123" i="34" s="1"/>
  <c r="F117" i="12" s="1"/>
  <c r="E121" i="37"/>
  <c r="G121" i="37" s="1"/>
  <c r="I121" i="37" s="1"/>
  <c r="F127" i="34" s="1"/>
  <c r="F121" i="12" s="1"/>
  <c r="E125" i="37"/>
  <c r="G125" i="37" s="1"/>
  <c r="I125" i="37" s="1"/>
  <c r="F131" i="34" s="1"/>
  <c r="F125" i="12" s="1"/>
  <c r="E129" i="37"/>
  <c r="G129" i="37" s="1"/>
  <c r="I129" i="37" s="1"/>
  <c r="F135" i="34" s="1"/>
  <c r="F129" i="12" s="1"/>
  <c r="E133" i="37"/>
  <c r="G133" i="37" s="1"/>
  <c r="I133" i="37" s="1"/>
  <c r="F139" i="34" s="1"/>
  <c r="F133" i="12" s="1"/>
  <c r="E137" i="37"/>
  <c r="G137" i="37" s="1"/>
  <c r="I137" i="37" s="1"/>
  <c r="F143" i="34" s="1"/>
  <c r="F137" i="12" s="1"/>
  <c r="E145" i="37"/>
  <c r="G145" i="37" s="1"/>
  <c r="I145" i="37" s="1"/>
  <c r="F151" i="34" s="1"/>
  <c r="F145" i="12" s="1"/>
  <c r="E153" i="37"/>
  <c r="G153" i="37" s="1"/>
  <c r="I153" i="37" s="1"/>
  <c r="F159" i="34" s="1"/>
  <c r="F153" i="12" s="1"/>
  <c r="E261" i="37"/>
  <c r="G261" i="37" s="1"/>
  <c r="I261" i="37" s="1"/>
  <c r="F267" i="34" s="1"/>
  <c r="F261" i="12" s="1"/>
  <c r="E266" i="37"/>
  <c r="G266" i="37" s="1"/>
  <c r="I266" i="37" s="1"/>
  <c r="F272" i="34" s="1"/>
  <c r="F266" i="12" s="1"/>
  <c r="E85" i="37"/>
  <c r="G85" i="37" s="1"/>
  <c r="I85" i="37" s="1"/>
  <c r="F91" i="34" s="1"/>
  <c r="F85" i="12" s="1"/>
  <c r="E89" i="37"/>
  <c r="G89" i="37" s="1"/>
  <c r="I89" i="37" s="1"/>
  <c r="F95" i="34" s="1"/>
  <c r="F89" i="12" s="1"/>
  <c r="E141" i="37"/>
  <c r="G141" i="37" s="1"/>
  <c r="I141" i="37" s="1"/>
  <c r="F147" i="34" s="1"/>
  <c r="F141" i="12" s="1"/>
  <c r="E149" i="37"/>
  <c r="G149" i="37" s="1"/>
  <c r="I149" i="37" s="1"/>
  <c r="F155" i="34" s="1"/>
  <c r="F149" i="12" s="1"/>
  <c r="E163" i="37"/>
  <c r="G163" i="37" s="1"/>
  <c r="I163" i="37" s="1"/>
  <c r="F169" i="34" s="1"/>
  <c r="F163" i="12" s="1"/>
  <c r="E167" i="37"/>
  <c r="G167" i="37" s="1"/>
  <c r="I167" i="37" s="1"/>
  <c r="F173" i="34" s="1"/>
  <c r="F167" i="12" s="1"/>
  <c r="E171" i="37"/>
  <c r="G171" i="37" s="1"/>
  <c r="I171" i="37" s="1"/>
  <c r="F177" i="34" s="1"/>
  <c r="F171" i="12" s="1"/>
  <c r="E175" i="37"/>
  <c r="G175" i="37" s="1"/>
  <c r="I175" i="37" s="1"/>
  <c r="F181" i="34" s="1"/>
  <c r="F175" i="12" s="1"/>
  <c r="E179" i="37"/>
  <c r="G179" i="37" s="1"/>
  <c r="I179" i="37" s="1"/>
  <c r="F185" i="34" s="1"/>
  <c r="F179" i="12" s="1"/>
  <c r="E183" i="37"/>
  <c r="G183" i="37" s="1"/>
  <c r="I183" i="37" s="1"/>
  <c r="F189" i="34" s="1"/>
  <c r="F183" i="12" s="1"/>
  <c r="E187" i="37"/>
  <c r="G187" i="37" s="1"/>
  <c r="I187" i="37" s="1"/>
  <c r="F193" i="34" s="1"/>
  <c r="F187" i="12" s="1"/>
  <c r="E191" i="37"/>
  <c r="G191" i="37" s="1"/>
  <c r="I191" i="37" s="1"/>
  <c r="F197" i="34" s="1"/>
  <c r="F191" i="12" s="1"/>
  <c r="E195" i="37"/>
  <c r="G195" i="37" s="1"/>
  <c r="I195" i="37" s="1"/>
  <c r="F201" i="34" s="1"/>
  <c r="F195" i="12" s="1"/>
  <c r="E199" i="37"/>
  <c r="G199" i="37" s="1"/>
  <c r="I199" i="37" s="1"/>
  <c r="F205" i="34" s="1"/>
  <c r="F199" i="12" s="1"/>
  <c r="E203" i="37"/>
  <c r="G203" i="37" s="1"/>
  <c r="I203" i="37" s="1"/>
  <c r="F209" i="34" s="1"/>
  <c r="F203" i="12" s="1"/>
  <c r="E207" i="37"/>
  <c r="G207" i="37" s="1"/>
  <c r="I207" i="37" s="1"/>
  <c r="F213" i="34" s="1"/>
  <c r="F207" i="12" s="1"/>
  <c r="E211" i="37"/>
  <c r="G211" i="37" s="1"/>
  <c r="I211" i="37" s="1"/>
  <c r="F217" i="34" s="1"/>
  <c r="F211" i="12" s="1"/>
  <c r="E215" i="37"/>
  <c r="G215" i="37" s="1"/>
  <c r="I215" i="37" s="1"/>
  <c r="F221" i="34" s="1"/>
  <c r="F215" i="12" s="1"/>
  <c r="E219" i="37"/>
  <c r="G219" i="37" s="1"/>
  <c r="I219" i="37" s="1"/>
  <c r="F225" i="34" s="1"/>
  <c r="F219" i="12" s="1"/>
  <c r="E223" i="37"/>
  <c r="G223" i="37" s="1"/>
  <c r="I223" i="37" s="1"/>
  <c r="F229" i="34" s="1"/>
  <c r="F223" i="12" s="1"/>
  <c r="E227" i="37"/>
  <c r="G227" i="37" s="1"/>
  <c r="I227" i="37" s="1"/>
  <c r="F233" i="34" s="1"/>
  <c r="F227" i="12" s="1"/>
  <c r="E231" i="37"/>
  <c r="G231" i="37" s="1"/>
  <c r="I231" i="37" s="1"/>
  <c r="F237" i="34" s="1"/>
  <c r="F231" i="12" s="1"/>
  <c r="E235" i="37"/>
  <c r="G235" i="37" s="1"/>
  <c r="I235" i="37" s="1"/>
  <c r="F241" i="34" s="1"/>
  <c r="F235" i="12" s="1"/>
  <c r="E239" i="37"/>
  <c r="G239" i="37" s="1"/>
  <c r="I239" i="37" s="1"/>
  <c r="F245" i="34" s="1"/>
  <c r="F239" i="12" s="1"/>
  <c r="E243" i="37"/>
  <c r="G243" i="37" s="1"/>
  <c r="I243" i="37" s="1"/>
  <c r="F249" i="34" s="1"/>
  <c r="F243" i="12" s="1"/>
  <c r="E247" i="37"/>
  <c r="G247" i="37" s="1"/>
  <c r="I247" i="37" s="1"/>
  <c r="F253" i="34" s="1"/>
  <c r="F247" i="12" s="1"/>
  <c r="E271" i="37"/>
  <c r="G271" i="37" s="1"/>
  <c r="I271" i="37" s="1"/>
  <c r="F277" i="34" s="1"/>
  <c r="F271" i="12" s="1"/>
  <c r="E275" i="37"/>
  <c r="G275" i="37" s="1"/>
  <c r="I275" i="37" s="1"/>
  <c r="F281" i="34" s="1"/>
  <c r="F275" i="12" s="1"/>
  <c r="E279" i="37"/>
  <c r="G279" i="37" s="1"/>
  <c r="I279" i="37" s="1"/>
  <c r="F285" i="34" s="1"/>
  <c r="F279" i="12" s="1"/>
  <c r="E283" i="37"/>
  <c r="G283" i="37" s="1"/>
  <c r="I283" i="37" s="1"/>
  <c r="F289" i="34" s="1"/>
  <c r="F283" i="12" s="1"/>
  <c r="E287" i="37"/>
  <c r="G287" i="37" s="1"/>
  <c r="I287" i="37" s="1"/>
  <c r="F293" i="34" s="1"/>
  <c r="F287" i="12" s="1"/>
  <c r="E291" i="37"/>
  <c r="G291" i="37" s="1"/>
  <c r="I291" i="37" s="1"/>
  <c r="F297" i="34" s="1"/>
  <c r="F291" i="12" s="1"/>
  <c r="E295" i="37"/>
  <c r="G295" i="37" s="1"/>
  <c r="I295" i="37" s="1"/>
  <c r="F301" i="34" s="1"/>
  <c r="F295" i="12" s="1"/>
  <c r="E299" i="37"/>
  <c r="G299" i="37" s="1"/>
  <c r="I299" i="37" s="1"/>
  <c r="F305" i="34" s="1"/>
  <c r="F299" i="12" s="1"/>
  <c r="E303" i="37"/>
  <c r="G303" i="37" s="1"/>
  <c r="I303" i="37" s="1"/>
  <c r="F309" i="34" s="1"/>
  <c r="F303" i="12" s="1"/>
  <c r="E75" i="37"/>
  <c r="G75" i="37" s="1"/>
  <c r="I75" i="37" s="1"/>
  <c r="F81" i="34" s="1"/>
  <c r="F75" i="12" s="1"/>
  <c r="E156" i="37"/>
  <c r="G156" i="37" s="1"/>
  <c r="I156" i="37" s="1"/>
  <c r="F162" i="34" s="1"/>
  <c r="F156" i="12" s="1"/>
  <c r="E259" i="37"/>
  <c r="G259" i="37" s="1"/>
  <c r="I259" i="37" s="1"/>
  <c r="F265" i="34" s="1"/>
  <c r="F259" i="12" s="1"/>
  <c r="E18" i="37"/>
  <c r="G18" i="37" s="1"/>
  <c r="I18" i="37" s="1"/>
  <c r="F24" i="34" s="1"/>
  <c r="F18" i="12" s="1"/>
  <c r="E50" i="37"/>
  <c r="G50" i="37" s="1"/>
  <c r="I50" i="37" s="1"/>
  <c r="F56" i="34" s="1"/>
  <c r="F50" i="12" s="1"/>
  <c r="E22" i="37"/>
  <c r="G22" i="37" s="1"/>
  <c r="I22" i="37" s="1"/>
  <c r="F28" i="34" s="1"/>
  <c r="F22" i="12" s="1"/>
  <c r="E54" i="37"/>
  <c r="G54" i="37" s="1"/>
  <c r="I54" i="37" s="1"/>
  <c r="F60" i="34" s="1"/>
  <c r="F54" i="12" s="1"/>
  <c r="E67" i="37"/>
  <c r="G67" i="37" s="1"/>
  <c r="I67" i="37" s="1"/>
  <c r="F73" i="34" s="1"/>
  <c r="F67" i="12" s="1"/>
  <c r="E26" i="37"/>
  <c r="G26" i="37" s="1"/>
  <c r="I26" i="37" s="1"/>
  <c r="F32" i="34" s="1"/>
  <c r="F26" i="12" s="1"/>
  <c r="E58" i="37"/>
  <c r="G58" i="37" s="1"/>
  <c r="I58" i="37" s="1"/>
  <c r="F64" i="34" s="1"/>
  <c r="F58" i="12" s="1"/>
  <c r="E83" i="37"/>
  <c r="G83" i="37" s="1"/>
  <c r="I83" i="37" s="1"/>
  <c r="F89" i="34" s="1"/>
  <c r="F83" i="12" s="1"/>
  <c r="E157" i="37"/>
  <c r="G157" i="37" s="1"/>
  <c r="I157" i="37" s="1"/>
  <c r="F163" i="34" s="1"/>
  <c r="F157" i="12" s="1"/>
  <c r="E30" i="37"/>
  <c r="G30" i="37" s="1"/>
  <c r="I30" i="37" s="1"/>
  <c r="F36" i="34" s="1"/>
  <c r="F30" i="12" s="1"/>
  <c r="E62" i="37"/>
  <c r="G62" i="37" s="1"/>
  <c r="I62" i="37" s="1"/>
  <c r="F68" i="34" s="1"/>
  <c r="F62" i="12" s="1"/>
  <c r="E270" i="37"/>
  <c r="G270" i="37" s="1"/>
  <c r="I270" i="37" s="1"/>
  <c r="F276" i="34" s="1"/>
  <c r="F270" i="12" s="1"/>
  <c r="E34" i="37"/>
  <c r="G34" i="37" s="1"/>
  <c r="I34" i="37" s="1"/>
  <c r="F40" i="34" s="1"/>
  <c r="F34" i="12" s="1"/>
  <c r="E66" i="37"/>
  <c r="G66" i="37" s="1"/>
  <c r="I66" i="37" s="1"/>
  <c r="F72" i="34" s="1"/>
  <c r="F66" i="12" s="1"/>
  <c r="E265" i="37"/>
  <c r="G265" i="37" s="1"/>
  <c r="I265" i="37" s="1"/>
  <c r="F271" i="34" s="1"/>
  <c r="F265" i="12" s="1"/>
  <c r="E42" i="37"/>
  <c r="G42" i="37" s="1"/>
  <c r="I42" i="37" s="1"/>
  <c r="F48" i="34" s="1"/>
  <c r="F42" i="12" s="1"/>
  <c r="E161" i="37"/>
  <c r="G161" i="37" s="1"/>
  <c r="I161" i="37" s="1"/>
  <c r="F167" i="34" s="1"/>
  <c r="F161" i="12" s="1"/>
  <c r="E269" i="37"/>
  <c r="G269" i="37" s="1"/>
  <c r="I269" i="37" s="1"/>
  <c r="F275" i="34" s="1"/>
  <c r="F269" i="12" s="1"/>
  <c r="E38" i="37"/>
  <c r="G38" i="37" s="1"/>
  <c r="I38" i="37" s="1"/>
  <c r="F44" i="34" s="1"/>
  <c r="F38" i="12" s="1"/>
  <c r="E46" i="37"/>
  <c r="G46" i="37" s="1"/>
  <c r="I46" i="37" s="1"/>
  <c r="F52" i="34" s="1"/>
  <c r="F46" i="12" s="1"/>
  <c r="E258" i="37"/>
  <c r="G258" i="37" s="1"/>
  <c r="I258" i="37" s="1"/>
  <c r="F264" i="34" s="1"/>
  <c r="F258" i="12" s="1"/>
  <c r="E226" i="37"/>
  <c r="G226" i="37" s="1"/>
  <c r="I226" i="37" s="1"/>
  <c r="F232" i="34" s="1"/>
  <c r="F226" i="12" s="1"/>
  <c r="E102" i="37"/>
  <c r="G102" i="37" s="1"/>
  <c r="I102" i="37" s="1"/>
  <c r="F108" i="34" s="1"/>
  <c r="F102" i="12" s="1"/>
  <c r="E51" i="37"/>
  <c r="G51" i="37" s="1"/>
  <c r="I51" i="37" s="1"/>
  <c r="F57" i="34" s="1"/>
  <c r="F51" i="12" s="1"/>
  <c r="E112" i="37"/>
  <c r="G112" i="37" s="1"/>
  <c r="I112" i="37" s="1"/>
  <c r="F118" i="34" s="1"/>
  <c r="F112" i="12" s="1"/>
  <c r="E246" i="37"/>
  <c r="G246" i="37" s="1"/>
  <c r="I246" i="37" s="1"/>
  <c r="F252" i="34" s="1"/>
  <c r="F246" i="12" s="1"/>
  <c r="E294" i="37"/>
  <c r="G294" i="37" s="1"/>
  <c r="I294" i="37" s="1"/>
  <c r="F300" i="34" s="1"/>
  <c r="F294" i="12" s="1"/>
  <c r="E144" i="37"/>
  <c r="G144" i="37" s="1"/>
  <c r="I144" i="37" s="1"/>
  <c r="F150" i="34" s="1"/>
  <c r="F144" i="12" s="1"/>
  <c r="E218" i="37"/>
  <c r="G218" i="37" s="1"/>
  <c r="I218" i="37" s="1"/>
  <c r="F224" i="34" s="1"/>
  <c r="F218" i="12" s="1"/>
  <c r="E176" i="37"/>
  <c r="G176" i="37" s="1"/>
  <c r="I176" i="37" s="1"/>
  <c r="F182" i="34" s="1"/>
  <c r="F176" i="12" s="1"/>
  <c r="E250" i="37"/>
  <c r="G250" i="37" s="1"/>
  <c r="I250" i="37" s="1"/>
  <c r="F256" i="34" s="1"/>
  <c r="F250" i="12" s="1"/>
  <c r="E59" i="37"/>
  <c r="G59" i="37" s="1"/>
  <c r="I59" i="37" s="1"/>
  <c r="F65" i="34" s="1"/>
  <c r="F59" i="12" s="1"/>
  <c r="E136" i="37"/>
  <c r="G136" i="37" s="1"/>
  <c r="I136" i="37" s="1"/>
  <c r="F142" i="34" s="1"/>
  <c r="F136" i="12" s="1"/>
  <c r="E230" i="37"/>
  <c r="G230" i="37" s="1"/>
  <c r="I230" i="37" s="1"/>
  <c r="F236" i="34" s="1"/>
  <c r="F230" i="12" s="1"/>
  <c r="E184" i="37"/>
  <c r="G184" i="37" s="1"/>
  <c r="I184" i="37" s="1"/>
  <c r="F190" i="34" s="1"/>
  <c r="F184" i="12" s="1"/>
  <c r="E238" i="37"/>
  <c r="G238" i="37" s="1"/>
  <c r="I238" i="37" s="1"/>
  <c r="F244" i="34" s="1"/>
  <c r="F238" i="12" s="1"/>
  <c r="E15" i="37"/>
  <c r="G15" i="37" s="1"/>
  <c r="I15" i="37" s="1"/>
  <c r="F21" i="34" s="1"/>
  <c r="F15" i="12" s="1"/>
  <c r="E234" i="37"/>
  <c r="G234" i="37" s="1"/>
  <c r="I234" i="37" s="1"/>
  <c r="F240" i="34" s="1"/>
  <c r="F234" i="12" s="1"/>
  <c r="E19" i="37"/>
  <c r="G19" i="37" s="1"/>
  <c r="I19" i="37" s="1"/>
  <c r="F25" i="34" s="1"/>
  <c r="F19" i="12" s="1"/>
  <c r="E276" i="37"/>
  <c r="G276" i="37" s="1"/>
  <c r="I276" i="37" s="1"/>
  <c r="F282" i="34" s="1"/>
  <c r="F276" i="12" s="1"/>
  <c r="E27" i="37"/>
  <c r="G27" i="37" s="1"/>
  <c r="I27" i="37" s="1"/>
  <c r="F33" i="34" s="1"/>
  <c r="F27" i="12" s="1"/>
  <c r="E110" i="37"/>
  <c r="G110" i="37" s="1"/>
  <c r="I110" i="37" s="1"/>
  <c r="F116" i="34" s="1"/>
  <c r="F110" i="12" s="1"/>
  <c r="E296" i="37"/>
  <c r="G296" i="37" s="1"/>
  <c r="I296" i="37" s="1"/>
  <c r="F302" i="34" s="1"/>
  <c r="F296" i="12" s="1"/>
  <c r="E168" i="37"/>
  <c r="G168" i="37" s="1"/>
  <c r="I168" i="37" s="1"/>
  <c r="F174" i="34" s="1"/>
  <c r="F168" i="12" s="1"/>
  <c r="E292" i="37"/>
  <c r="G292" i="37" s="1"/>
  <c r="I292" i="37" s="1"/>
  <c r="F298" i="34" s="1"/>
  <c r="F292" i="12" s="1"/>
  <c r="E43" i="37"/>
  <c r="G43" i="37" s="1"/>
  <c r="I43" i="37" s="1"/>
  <c r="F49" i="34" s="1"/>
  <c r="F43" i="12" s="1"/>
  <c r="E284" i="37"/>
  <c r="G284" i="37" s="1"/>
  <c r="I284" i="37" s="1"/>
  <c r="F290" i="34" s="1"/>
  <c r="F284" i="12" s="1"/>
  <c r="E152" i="37"/>
  <c r="G152" i="37" s="1"/>
  <c r="I152" i="37" s="1"/>
  <c r="F158" i="34" s="1"/>
  <c r="F152" i="12" s="1"/>
  <c r="E35" i="37"/>
  <c r="G35" i="37" s="1"/>
  <c r="I35" i="37" s="1"/>
  <c r="F41" i="34" s="1"/>
  <c r="F35" i="12" s="1"/>
  <c r="E11" i="37"/>
  <c r="G11" i="37" s="1"/>
  <c r="I11" i="37" s="1"/>
  <c r="F17" i="34" s="1"/>
  <c r="F11" i="12" s="1"/>
  <c r="E192" i="37"/>
  <c r="G192" i="37" s="1"/>
  <c r="I192" i="37" s="1"/>
  <c r="F198" i="34" s="1"/>
  <c r="F192" i="12" s="1"/>
  <c r="E128" i="37"/>
  <c r="G128" i="37" s="1"/>
  <c r="I128" i="37" s="1"/>
  <c r="F134" i="34" s="1"/>
  <c r="F128" i="12" s="1"/>
  <c r="E200" i="37"/>
  <c r="G200" i="37" s="1"/>
  <c r="I200" i="37" s="1"/>
  <c r="F206" i="34" s="1"/>
  <c r="F200" i="12" s="1"/>
  <c r="E87" i="37"/>
  <c r="G87" i="37" s="1"/>
  <c r="I87" i="37" s="1"/>
  <c r="F93" i="34" s="1"/>
  <c r="F87" i="12" s="1"/>
  <c r="E63" i="37"/>
  <c r="G63" i="37" s="1"/>
  <c r="I63" i="37" s="1"/>
  <c r="F69" i="34" s="1"/>
  <c r="F63" i="12" s="1"/>
  <c r="E210" i="37"/>
  <c r="G210" i="37" s="1"/>
  <c r="I210" i="37" s="1"/>
  <c r="F216" i="34" s="1"/>
  <c r="F210" i="12" s="1"/>
  <c r="E60" i="37"/>
  <c r="G60" i="37" s="1"/>
  <c r="I60" i="37" s="1"/>
  <c r="F66" i="34" s="1"/>
  <c r="F60" i="12" s="1"/>
  <c r="E150" i="37"/>
  <c r="G150" i="37" s="1"/>
  <c r="I150" i="37" s="1"/>
  <c r="F156" i="34" s="1"/>
  <c r="F150" i="12" s="1"/>
  <c r="E32" i="37"/>
  <c r="G32" i="37" s="1"/>
  <c r="I32" i="37" s="1"/>
  <c r="F38" i="34" s="1"/>
  <c r="F32" i="12" s="1"/>
  <c r="E278" i="37"/>
  <c r="G278" i="37" s="1"/>
  <c r="I278" i="37" s="1"/>
  <c r="F284" i="34" s="1"/>
  <c r="F278" i="12" s="1"/>
  <c r="E256" i="37"/>
  <c r="G256" i="37" s="1"/>
  <c r="I256" i="37" s="1"/>
  <c r="F262" i="34" s="1"/>
  <c r="F256" i="12" s="1"/>
  <c r="E134" i="37"/>
  <c r="G134" i="37" s="1"/>
  <c r="I134" i="37" s="1"/>
  <c r="F140" i="34" s="1"/>
  <c r="F134" i="12" s="1"/>
  <c r="E180" i="37"/>
  <c r="G180" i="37" s="1"/>
  <c r="I180" i="37" s="1"/>
  <c r="F186" i="34" s="1"/>
  <c r="F180" i="12" s="1"/>
  <c r="E300" i="37"/>
  <c r="G300" i="37" s="1"/>
  <c r="I300" i="37" s="1"/>
  <c r="F306" i="34" s="1"/>
  <c r="F300" i="12" s="1"/>
  <c r="E36" i="37"/>
  <c r="G36" i="37" s="1"/>
  <c r="I36" i="37" s="1"/>
  <c r="F42" i="34" s="1"/>
  <c r="F36" i="12" s="1"/>
  <c r="E91" i="37"/>
  <c r="G91" i="37" s="1"/>
  <c r="I91" i="37" s="1"/>
  <c r="F97" i="34" s="1"/>
  <c r="F91" i="12" s="1"/>
  <c r="E154" i="37"/>
  <c r="G154" i="37" s="1"/>
  <c r="I154" i="37" s="1"/>
  <c r="F160" i="34" s="1"/>
  <c r="F154" i="12" s="1"/>
  <c r="E126" i="37"/>
  <c r="G126" i="37" s="1"/>
  <c r="I126" i="37" s="1"/>
  <c r="F132" i="34" s="1"/>
  <c r="F126" i="12" s="1"/>
  <c r="E64" i="37"/>
  <c r="G64" i="37" s="1"/>
  <c r="I64" i="37" s="1"/>
  <c r="F70" i="34" s="1"/>
  <c r="F64" i="12" s="1"/>
  <c r="E188" i="37"/>
  <c r="G188" i="37" s="1"/>
  <c r="I188" i="37" s="1"/>
  <c r="F194" i="34" s="1"/>
  <c r="F188" i="12" s="1"/>
  <c r="E88" i="37"/>
  <c r="G88" i="37" s="1"/>
  <c r="I88" i="37" s="1"/>
  <c r="F94" i="34" s="1"/>
  <c r="F88" i="12" s="1"/>
  <c r="E23" i="37"/>
  <c r="G23" i="37" s="1"/>
  <c r="I23" i="37" s="1"/>
  <c r="F29" i="34" s="1"/>
  <c r="F23" i="12" s="1"/>
  <c r="E260" i="37"/>
  <c r="G260" i="37" s="1"/>
  <c r="I260" i="37" s="1"/>
  <c r="F266" i="34" s="1"/>
  <c r="F260" i="12" s="1"/>
  <c r="E24" i="37"/>
  <c r="G24" i="37" s="1"/>
  <c r="I24" i="37" s="1"/>
  <c r="F30" i="34" s="1"/>
  <c r="F24" i="12" s="1"/>
  <c r="E251" i="37"/>
  <c r="G251" i="37" s="1"/>
  <c r="I251" i="37" s="1"/>
  <c r="F257" i="34" s="1"/>
  <c r="F251" i="12" s="1"/>
  <c r="E190" i="37"/>
  <c r="G190" i="37" s="1"/>
  <c r="I190" i="37" s="1"/>
  <c r="F196" i="34" s="1"/>
  <c r="F190" i="12" s="1"/>
  <c r="E56" i="37"/>
  <c r="G56" i="37" s="1"/>
  <c r="I56" i="37" s="1"/>
  <c r="F62" i="34" s="1"/>
  <c r="F56" i="12" s="1"/>
  <c r="E52" i="37"/>
  <c r="G52" i="37" s="1"/>
  <c r="I52" i="37" s="1"/>
  <c r="F58" i="34" s="1"/>
  <c r="F52" i="12" s="1"/>
  <c r="E248" i="37"/>
  <c r="G248" i="37" s="1"/>
  <c r="I248" i="37" s="1"/>
  <c r="F254" i="34" s="1"/>
  <c r="F248" i="12" s="1"/>
  <c r="E208" i="37"/>
  <c r="G208" i="37" s="1"/>
  <c r="I208" i="37" s="1"/>
  <c r="F214" i="34" s="1"/>
  <c r="F208" i="12" s="1"/>
  <c r="E170" i="37"/>
  <c r="G170" i="37" s="1"/>
  <c r="I170" i="37" s="1"/>
  <c r="F176" i="34" s="1"/>
  <c r="F170" i="12" s="1"/>
  <c r="E94" i="37"/>
  <c r="G94" i="37" s="1"/>
  <c r="I94" i="37" s="1"/>
  <c r="F100" i="34" s="1"/>
  <c r="F94" i="12" s="1"/>
  <c r="E68" i="37"/>
  <c r="G68" i="37" s="1"/>
  <c r="I68" i="37" s="1"/>
  <c r="F74" i="34" s="1"/>
  <c r="F68" i="12" s="1"/>
  <c r="E158" i="37"/>
  <c r="G158" i="37" s="1"/>
  <c r="I158" i="37" s="1"/>
  <c r="F164" i="34" s="1"/>
  <c r="F158" i="12" s="1"/>
  <c r="E288" i="37"/>
  <c r="G288" i="37" s="1"/>
  <c r="I288" i="37" s="1"/>
  <c r="F294" i="34" s="1"/>
  <c r="F288" i="12" s="1"/>
  <c r="E138" i="37"/>
  <c r="G138" i="37" s="1"/>
  <c r="I138" i="37" s="1"/>
  <c r="F144" i="34" s="1"/>
  <c r="F138" i="12" s="1"/>
  <c r="E7" i="37"/>
  <c r="G7" i="37" s="1"/>
  <c r="I7" i="37" s="1"/>
  <c r="F13" i="34" s="1"/>
  <c r="F7" i="12" s="1"/>
  <c r="E274" i="37"/>
  <c r="G274" i="37" s="1"/>
  <c r="I274" i="37" s="1"/>
  <c r="F280" i="34" s="1"/>
  <c r="F274" i="12" s="1"/>
  <c r="E80" i="37"/>
  <c r="G80" i="37" s="1"/>
  <c r="I80" i="37" s="1"/>
  <c r="F86" i="34" s="1"/>
  <c r="F80" i="12" s="1"/>
  <c r="E84" i="37"/>
  <c r="G84" i="37" s="1"/>
  <c r="I84" i="37" s="1"/>
  <c r="F90" i="34" s="1"/>
  <c r="F84" i="12" s="1"/>
  <c r="E282" i="37"/>
  <c r="G282" i="37" s="1"/>
  <c r="I282" i="37" s="1"/>
  <c r="F288" i="34" s="1"/>
  <c r="F282" i="12" s="1"/>
  <c r="E71" i="37"/>
  <c r="G71" i="37" s="1"/>
  <c r="I71" i="37" s="1"/>
  <c r="F77" i="34" s="1"/>
  <c r="F71" i="12" s="1"/>
  <c r="E72" i="37"/>
  <c r="G72" i="37" s="1"/>
  <c r="I72" i="37" s="1"/>
  <c r="F78" i="34" s="1"/>
  <c r="F72" i="12" s="1"/>
  <c r="E39" i="37"/>
  <c r="G39" i="37" s="1"/>
  <c r="I39" i="37" s="1"/>
  <c r="F45" i="34" s="1"/>
  <c r="F39" i="12" s="1"/>
  <c r="E244" i="37"/>
  <c r="G244" i="37" s="1"/>
  <c r="I244" i="37" s="1"/>
  <c r="F250" i="34" s="1"/>
  <c r="F244" i="12" s="1"/>
  <c r="E164" i="37"/>
  <c r="G164" i="37" s="1"/>
  <c r="I164" i="37" s="1"/>
  <c r="F170" i="34" s="1"/>
  <c r="F164" i="12" s="1"/>
  <c r="E174" i="37"/>
  <c r="G174" i="37" s="1"/>
  <c r="I174" i="37" s="1"/>
  <c r="F180" i="34" s="1"/>
  <c r="F174" i="12" s="1"/>
  <c r="E304" i="37"/>
  <c r="G304" i="37" s="1"/>
  <c r="I304" i="37" s="1"/>
  <c r="F310" i="34" s="1"/>
  <c r="F304" i="12" s="1"/>
  <c r="E224" i="37"/>
  <c r="G224" i="37" s="1"/>
  <c r="I224" i="37" s="1"/>
  <c r="F230" i="34" s="1"/>
  <c r="F224" i="12" s="1"/>
  <c r="E124" i="37"/>
  <c r="G124" i="37" s="1"/>
  <c r="I124" i="37" s="1"/>
  <c r="F130" i="34" s="1"/>
  <c r="F124" i="12" s="1"/>
  <c r="E104" i="37"/>
  <c r="G104" i="37" s="1"/>
  <c r="I104" i="37" s="1"/>
  <c r="F110" i="34" s="1"/>
  <c r="F104" i="12" s="1"/>
  <c r="E242" i="37"/>
  <c r="G242" i="37" s="1"/>
  <c r="I242" i="37" s="1"/>
  <c r="F248" i="34" s="1"/>
  <c r="F242" i="12" s="1"/>
  <c r="E206" i="37"/>
  <c r="G206" i="37" s="1"/>
  <c r="I206" i="37" s="1"/>
  <c r="F212" i="34" s="1"/>
  <c r="F206" i="12" s="1"/>
  <c r="E198" i="37"/>
  <c r="G198" i="37" s="1"/>
  <c r="I198" i="37" s="1"/>
  <c r="F204" i="34" s="1"/>
  <c r="F198" i="12" s="1"/>
  <c r="E220" i="37"/>
  <c r="G220" i="37" s="1"/>
  <c r="I220" i="37" s="1"/>
  <c r="F226" i="34" s="1"/>
  <c r="F220" i="12" s="1"/>
  <c r="E92" i="37"/>
  <c r="G92" i="37" s="1"/>
  <c r="I92" i="37" s="1"/>
  <c r="F98" i="34" s="1"/>
  <c r="F92" i="12" s="1"/>
  <c r="E132" i="37"/>
  <c r="G132" i="37" s="1"/>
  <c r="I132" i="37" s="1"/>
  <c r="F138" i="34" s="1"/>
  <c r="F132" i="12" s="1"/>
  <c r="E255" i="37"/>
  <c r="G255" i="37" s="1"/>
  <c r="I255" i="37" s="1"/>
  <c r="F261" i="34" s="1"/>
  <c r="F255" i="12" s="1"/>
  <c r="E182" i="37"/>
  <c r="G182" i="37" s="1"/>
  <c r="I182" i="37" s="1"/>
  <c r="F188" i="34" s="1"/>
  <c r="F182" i="12" s="1"/>
  <c r="E286" i="37"/>
  <c r="G286" i="37" s="1"/>
  <c r="I286" i="37" s="1"/>
  <c r="F292" i="34" s="1"/>
  <c r="F286" i="12" s="1"/>
  <c r="E122" i="37"/>
  <c r="G122" i="37" s="1"/>
  <c r="I122" i="37" s="1"/>
  <c r="F128" i="34" s="1"/>
  <c r="F122" i="12" s="1"/>
  <c r="E166" i="37"/>
  <c r="G166" i="37" s="1"/>
  <c r="I166" i="37" s="1"/>
  <c r="F172" i="34" s="1"/>
  <c r="F166" i="12" s="1"/>
  <c r="E20" i="37"/>
  <c r="G20" i="37" s="1"/>
  <c r="I20" i="37" s="1"/>
  <c r="F26" i="34" s="1"/>
  <c r="F20" i="12" s="1"/>
  <c r="E114" i="37"/>
  <c r="G114" i="37" s="1"/>
  <c r="I114" i="37" s="1"/>
  <c r="F120" i="34" s="1"/>
  <c r="F114" i="12" s="1"/>
  <c r="E28" i="37"/>
  <c r="G28" i="37" s="1"/>
  <c r="I28" i="37" s="1"/>
  <c r="F34" i="34" s="1"/>
  <c r="F28" i="12" s="1"/>
  <c r="E55" i="37"/>
  <c r="G55" i="37" s="1"/>
  <c r="I55" i="37" s="1"/>
  <c r="F61" i="34" s="1"/>
  <c r="F55" i="12" s="1"/>
  <c r="E148" i="37"/>
  <c r="G148" i="37" s="1"/>
  <c r="I148" i="37" s="1"/>
  <c r="F154" i="34" s="1"/>
  <c r="F148" i="12" s="1"/>
  <c r="E146" i="37"/>
  <c r="G146" i="37" s="1"/>
  <c r="I146" i="37" s="1"/>
  <c r="F152" i="34" s="1"/>
  <c r="F146" i="12" s="1"/>
  <c r="E272" i="37"/>
  <c r="G272" i="37" s="1"/>
  <c r="I272" i="37" s="1"/>
  <c r="F278" i="34" s="1"/>
  <c r="F272" i="12" s="1"/>
  <c r="E48" i="37"/>
  <c r="G48" i="37" s="1"/>
  <c r="I48" i="37" s="1"/>
  <c r="F54" i="34" s="1"/>
  <c r="F48" i="12" s="1"/>
  <c r="E172" i="37"/>
  <c r="G172" i="37" s="1"/>
  <c r="I172" i="37" s="1"/>
  <c r="F178" i="34" s="1"/>
  <c r="F172" i="12" s="1"/>
  <c r="E44" i="37"/>
  <c r="G44" i="37" s="1"/>
  <c r="I44" i="37" s="1"/>
  <c r="F50" i="34" s="1"/>
  <c r="F44" i="12" s="1"/>
  <c r="E264" i="37"/>
  <c r="G264" i="37" s="1"/>
  <c r="I264" i="37" s="1"/>
  <c r="F270" i="34" s="1"/>
  <c r="F264" i="12" s="1"/>
  <c r="E118" i="37"/>
  <c r="G118" i="37" s="1"/>
  <c r="I118" i="37" s="1"/>
  <c r="F124" i="34" s="1"/>
  <c r="F118" i="12" s="1"/>
  <c r="E142" i="37"/>
  <c r="G142" i="37" s="1"/>
  <c r="I142" i="37" s="1"/>
  <c r="F148" i="34" s="1"/>
  <c r="F142" i="12" s="1"/>
  <c r="E196" i="37"/>
  <c r="G196" i="37" s="1"/>
  <c r="I196" i="37" s="1"/>
  <c r="F202" i="34" s="1"/>
  <c r="F196" i="12" s="1"/>
  <c r="E12" i="37"/>
  <c r="G12" i="37" s="1"/>
  <c r="I12" i="37" s="1"/>
  <c r="F18" i="34" s="1"/>
  <c r="F12" i="12" s="1"/>
  <c r="E268" i="37"/>
  <c r="G268" i="37" s="1"/>
  <c r="I268" i="37" s="1"/>
  <c r="F274" i="34" s="1"/>
  <c r="F268" i="12" s="1"/>
  <c r="E98" i="37"/>
  <c r="G98" i="37" s="1"/>
  <c r="I98" i="37" s="1"/>
  <c r="F104" i="34" s="1"/>
  <c r="F98" i="12" s="1"/>
  <c r="E216" i="37"/>
  <c r="G216" i="37" s="1"/>
  <c r="I216" i="37" s="1"/>
  <c r="F222" i="34" s="1"/>
  <c r="F216" i="12" s="1"/>
  <c r="E31" i="37"/>
  <c r="G31" i="37" s="1"/>
  <c r="I31" i="37" s="1"/>
  <c r="F37" i="34" s="1"/>
  <c r="F31" i="12" s="1"/>
  <c r="E116" i="37"/>
  <c r="G116" i="37" s="1"/>
  <c r="I116" i="37" s="1"/>
  <c r="F122" i="34" s="1"/>
  <c r="F116" i="12" s="1"/>
  <c r="E79" i="37"/>
  <c r="G79" i="37" s="1"/>
  <c r="I79" i="37" s="1"/>
  <c r="F85" i="34" s="1"/>
  <c r="F79" i="12" s="1"/>
  <c r="E40" i="37"/>
  <c r="G40" i="37" s="1"/>
  <c r="I40" i="37" s="1"/>
  <c r="F46" i="34" s="1"/>
  <c r="F40" i="12" s="1"/>
  <c r="E240" i="37"/>
  <c r="G240" i="37" s="1"/>
  <c r="I240" i="37" s="1"/>
  <c r="F246" i="34" s="1"/>
  <c r="F240" i="12" s="1"/>
  <c r="E254" i="37"/>
  <c r="G254" i="37" s="1"/>
  <c r="I254" i="37" s="1"/>
  <c r="F260" i="34" s="1"/>
  <c r="F254" i="12" s="1"/>
  <c r="E302" i="37"/>
  <c r="G302" i="37" s="1"/>
  <c r="I302" i="37" s="1"/>
  <c r="F308" i="34" s="1"/>
  <c r="F302" i="12" s="1"/>
  <c r="E214" i="37"/>
  <c r="G214" i="37" s="1"/>
  <c r="I214" i="37" s="1"/>
  <c r="F220" i="34" s="1"/>
  <c r="F214" i="12" s="1"/>
  <c r="E96" i="37"/>
  <c r="G96" i="37" s="1"/>
  <c r="I96" i="37" s="1"/>
  <c r="F102" i="34" s="1"/>
  <c r="F96" i="12" s="1"/>
  <c r="E194" i="37"/>
  <c r="G194" i="37" s="1"/>
  <c r="I194" i="37" s="1"/>
  <c r="F200" i="34" s="1"/>
  <c r="F194" i="12" s="1"/>
  <c r="E212" i="37"/>
  <c r="G212" i="37" s="1"/>
  <c r="I212" i="37" s="1"/>
  <c r="F218" i="34" s="1"/>
  <c r="F212" i="12" s="1"/>
  <c r="E186" i="37"/>
  <c r="G186" i="37" s="1"/>
  <c r="I186" i="37" s="1"/>
  <c r="F192" i="34" s="1"/>
  <c r="F186" i="12" s="1"/>
  <c r="E47" i="37"/>
  <c r="G47" i="37" s="1"/>
  <c r="I47" i="37" s="1"/>
  <c r="F53" i="34" s="1"/>
  <c r="F47" i="12" s="1"/>
  <c r="E178" i="37"/>
  <c r="G178" i="37" s="1"/>
  <c r="I178" i="37" s="1"/>
  <c r="F184" i="34" s="1"/>
  <c r="F178" i="12" s="1"/>
  <c r="E202" i="37"/>
  <c r="G202" i="37" s="1"/>
  <c r="I202" i="37" s="1"/>
  <c r="F208" i="34" s="1"/>
  <c r="F202" i="12" s="1"/>
  <c r="E162" i="37"/>
  <c r="G162" i="37" s="1"/>
  <c r="I162" i="37" s="1"/>
  <c r="F168" i="34" s="1"/>
  <c r="F162" i="12" s="1"/>
  <c r="E298" i="37"/>
  <c r="G298" i="37" s="1"/>
  <c r="I298" i="37" s="1"/>
  <c r="F304" i="34" s="1"/>
  <c r="F298" i="12" s="1"/>
  <c r="E232" i="37"/>
  <c r="G232" i="37" s="1"/>
  <c r="I232" i="37" s="1"/>
  <c r="F238" i="34" s="1"/>
  <c r="F232" i="12" s="1"/>
  <c r="E106" i="37"/>
  <c r="G106" i="37" s="1"/>
  <c r="I106" i="37" s="1"/>
  <c r="F112" i="34" s="1"/>
  <c r="F106" i="12" s="1"/>
  <c r="E290" i="37"/>
  <c r="G290" i="37" s="1"/>
  <c r="I290" i="37" s="1"/>
  <c r="F296" i="34" s="1"/>
  <c r="F290" i="12" s="1"/>
  <c r="E16" i="37"/>
  <c r="G16" i="37" s="1"/>
  <c r="I16" i="37" s="1"/>
  <c r="F22" i="34" s="1"/>
  <c r="F16" i="12" s="1"/>
  <c r="E222" i="37"/>
  <c r="G222" i="37" s="1"/>
  <c r="I222" i="37" s="1"/>
  <c r="F228" i="34" s="1"/>
  <c r="F222" i="12" s="1"/>
  <c r="E108" i="37"/>
  <c r="G108" i="37" s="1"/>
  <c r="I108" i="37" s="1"/>
  <c r="F114" i="34" s="1"/>
  <c r="F108" i="12" s="1"/>
  <c r="E236" i="37"/>
  <c r="G236" i="37" s="1"/>
  <c r="I236" i="37" s="1"/>
  <c r="F242" i="34" s="1"/>
  <c r="F236" i="12" s="1"/>
  <c r="E8" i="37"/>
  <c r="G8" i="37" s="1"/>
  <c r="I8" i="37" s="1"/>
  <c r="F14" i="34" s="1"/>
  <c r="F8" i="12" s="1"/>
  <c r="E100" i="37"/>
  <c r="G100" i="37" s="1"/>
  <c r="I100" i="37" s="1"/>
  <c r="F106" i="34" s="1"/>
  <c r="F100" i="12" s="1"/>
  <c r="E252" i="37"/>
  <c r="G252" i="37" s="1"/>
  <c r="I252" i="37" s="1"/>
  <c r="F258" i="34" s="1"/>
  <c r="F252" i="12" s="1"/>
  <c r="E204" i="37"/>
  <c r="G204" i="37" s="1"/>
  <c r="I204" i="37" s="1"/>
  <c r="F210" i="34" s="1"/>
  <c r="F204" i="12" s="1"/>
  <c r="E280" i="37"/>
  <c r="G280" i="37" s="1"/>
  <c r="I280" i="37" s="1"/>
  <c r="F286" i="34" s="1"/>
  <c r="F280" i="12" s="1"/>
  <c r="E140" i="37"/>
  <c r="G140" i="37" s="1"/>
  <c r="I140" i="37" s="1"/>
  <c r="F146" i="34" s="1"/>
  <c r="F140" i="12" s="1"/>
  <c r="E76" i="37"/>
  <c r="G76" i="37" s="1"/>
  <c r="I76" i="37" s="1"/>
  <c r="F82" i="34" s="1"/>
  <c r="F76" i="12" s="1"/>
  <c r="E130" i="37"/>
  <c r="G130" i="37" s="1"/>
  <c r="I130" i="37" s="1"/>
  <c r="F136" i="34" s="1"/>
  <c r="F130" i="12" s="1"/>
  <c r="E120" i="37"/>
  <c r="G120" i="37" s="1"/>
  <c r="I120" i="37" s="1"/>
  <c r="F126" i="34" s="1"/>
  <c r="F120" i="12" s="1"/>
  <c r="E228" i="37"/>
  <c r="G228" i="37" s="1"/>
  <c r="I228" i="37" s="1"/>
  <c r="F234" i="34" s="1"/>
  <c r="F228" i="12" s="1"/>
  <c r="G8" i="33"/>
  <c r="G18" i="33"/>
  <c r="G34" i="33"/>
  <c r="G26" i="33"/>
  <c r="G42" i="33"/>
  <c r="G68" i="33"/>
  <c r="G72" i="33"/>
  <c r="G92" i="33"/>
  <c r="G100" i="33"/>
  <c r="G108" i="33"/>
  <c r="G196" i="33"/>
  <c r="G169" i="33"/>
  <c r="G134" i="33"/>
  <c r="G163" i="33"/>
  <c r="G214" i="33"/>
  <c r="G208" i="33"/>
  <c r="G118" i="33"/>
  <c r="G297" i="33"/>
  <c r="G305" i="33"/>
  <c r="G222" i="33"/>
  <c r="G302" i="33"/>
  <c r="G269" i="33"/>
  <c r="G266" i="33"/>
  <c r="G252" i="33"/>
  <c r="G248" i="33"/>
  <c r="G236" i="33"/>
  <c r="G218" i="33"/>
  <c r="G185" i="33"/>
  <c r="G246" i="33"/>
  <c r="G301" i="33"/>
  <c r="G293" i="33"/>
  <c r="G272" i="33"/>
  <c r="G262" i="33"/>
  <c r="G128" i="33"/>
  <c r="G124" i="33"/>
  <c r="G291" i="33"/>
  <c r="G275" i="33"/>
  <c r="G259" i="33"/>
  <c r="G247" i="33"/>
  <c r="G239" i="33"/>
  <c r="G231" i="33"/>
  <c r="G223" i="33"/>
  <c r="G215" i="33"/>
  <c r="G206" i="33"/>
  <c r="G184" i="33"/>
  <c r="G171" i="33"/>
  <c r="G167" i="33"/>
  <c r="G154" i="33"/>
  <c r="G115" i="33"/>
  <c r="G99" i="33"/>
  <c r="G130" i="33"/>
  <c r="G104" i="33"/>
  <c r="G88" i="33"/>
  <c r="G74" i="33"/>
  <c r="G176" i="33"/>
  <c r="G148" i="33"/>
  <c r="G123" i="33"/>
  <c r="G121" i="33"/>
  <c r="G116" i="33"/>
  <c r="G102" i="33"/>
  <c r="G191" i="33"/>
  <c r="G175" i="33"/>
  <c r="G159" i="33"/>
  <c r="G150" i="33"/>
  <c r="G131" i="33"/>
  <c r="G97" i="33"/>
  <c r="G57" i="33"/>
  <c r="G59" i="33"/>
  <c r="G125" i="33"/>
  <c r="G117" i="33"/>
  <c r="G109" i="33"/>
  <c r="G101" i="33"/>
  <c r="G81" i="33"/>
  <c r="G76" i="33"/>
  <c r="G75" i="33"/>
  <c r="G290" i="33"/>
  <c r="G276" i="33"/>
  <c r="G268" i="33"/>
  <c r="G261" i="33"/>
  <c r="G258" i="33"/>
  <c r="G225" i="33"/>
  <c r="G295" i="33"/>
  <c r="G244" i="33"/>
  <c r="G233" i="33"/>
  <c r="G230" i="33"/>
  <c r="G289" i="33"/>
  <c r="G286" i="33"/>
  <c r="G265" i="33"/>
  <c r="G264" i="33"/>
  <c r="G254" i="33"/>
  <c r="G228" i="33"/>
  <c r="G177" i="33"/>
  <c r="G129" i="33"/>
  <c r="G210" i="33"/>
  <c r="G205" i="33"/>
  <c r="G165" i="33"/>
  <c r="G144" i="33"/>
  <c r="G140" i="33"/>
  <c r="G91" i="33"/>
  <c r="G211" i="33"/>
  <c r="G279" i="33"/>
  <c r="G263" i="33"/>
  <c r="G201" i="33"/>
  <c r="G195" i="33"/>
  <c r="G172" i="33"/>
  <c r="G157" i="33"/>
  <c r="G152" i="33"/>
  <c r="G149" i="33"/>
  <c r="G219" i="33"/>
  <c r="G198" i="33"/>
  <c r="G142" i="33"/>
  <c r="G113" i="33"/>
  <c r="G197" i="33"/>
  <c r="G164" i="33"/>
  <c r="G153" i="33"/>
  <c r="G139" i="33"/>
  <c r="G192" i="33"/>
  <c r="G132" i="33"/>
  <c r="G89" i="33"/>
  <c r="G61" i="33"/>
  <c r="G32" i="33"/>
  <c r="G143" i="33"/>
  <c r="G135" i="33"/>
  <c r="G106" i="33"/>
  <c r="G54" i="33"/>
  <c r="G49" i="33"/>
  <c r="G38" i="33"/>
  <c r="G66" i="33"/>
  <c r="G44" i="33"/>
  <c r="G84" i="33"/>
  <c r="G78" i="33"/>
  <c r="G48" i="33"/>
  <c r="G36" i="33"/>
  <c r="G46" i="33"/>
  <c r="G12" i="33"/>
  <c r="G43" i="33"/>
  <c r="G299" i="33"/>
  <c r="G224" i="33"/>
  <c r="G285" i="33"/>
  <c r="G284" i="33"/>
  <c r="G277" i="33"/>
  <c r="G274" i="33"/>
  <c r="G260" i="33"/>
  <c r="G237" i="33"/>
  <c r="G234" i="33"/>
  <c r="G303" i="33"/>
  <c r="G257" i="33"/>
  <c r="G245" i="33"/>
  <c r="G217" i="33"/>
  <c r="G186" i="33"/>
  <c r="G181" i="33"/>
  <c r="G283" i="33"/>
  <c r="G251" i="33"/>
  <c r="G235" i="33"/>
  <c r="G200" i="33"/>
  <c r="G179" i="33"/>
  <c r="G156" i="33"/>
  <c r="G120" i="33"/>
  <c r="G160" i="33"/>
  <c r="G122" i="33"/>
  <c r="G69" i="33"/>
  <c r="G93" i="33"/>
  <c r="G70" i="33"/>
  <c r="G53" i="33"/>
  <c r="G22" i="33"/>
  <c r="G77" i="33"/>
  <c r="G73" i="33"/>
  <c r="G27" i="33"/>
  <c r="G39" i="33"/>
  <c r="G23" i="33"/>
  <c r="G17" i="33"/>
  <c r="G15" i="33"/>
  <c r="G288" i="33"/>
  <c r="G110" i="33"/>
  <c r="G213" i="33"/>
  <c r="G138" i="33"/>
  <c r="G60" i="33"/>
  <c r="G242" i="33"/>
  <c r="G250" i="33"/>
  <c r="G240" i="33"/>
  <c r="G168" i="33"/>
  <c r="G189" i="33"/>
  <c r="G180" i="33"/>
  <c r="G151" i="33"/>
  <c r="G209" i="33"/>
  <c r="G202" i="33"/>
  <c r="G127" i="33"/>
  <c r="G65" i="33"/>
  <c r="G62" i="33"/>
  <c r="G10" i="33"/>
  <c r="G40" i="33"/>
  <c r="G24" i="33"/>
  <c r="G33" i="33"/>
  <c r="G294" i="33"/>
  <c r="G282" i="33"/>
  <c r="G238" i="33"/>
  <c r="G249" i="33"/>
  <c r="G232" i="33"/>
  <c r="G241" i="33"/>
  <c r="G281" i="33"/>
  <c r="G280" i="33"/>
  <c r="G273" i="33"/>
  <c r="G270" i="33"/>
  <c r="G256" i="33"/>
  <c r="G212" i="33"/>
  <c r="G173" i="33"/>
  <c r="G112" i="33"/>
  <c r="G271" i="33"/>
  <c r="G203" i="33"/>
  <c r="G187" i="33"/>
  <c r="G133" i="33"/>
  <c r="G126" i="33"/>
  <c r="G216" i="33"/>
  <c r="G136" i="33"/>
  <c r="G80" i="33"/>
  <c r="G96" i="33"/>
  <c r="G141" i="33"/>
  <c r="G94" i="33"/>
  <c r="G162" i="33"/>
  <c r="G71" i="33"/>
  <c r="G58" i="33"/>
  <c r="G82" i="33"/>
  <c r="G63" i="33"/>
  <c r="G28" i="33"/>
  <c r="G19" i="33"/>
  <c r="G41" i="33"/>
  <c r="G25" i="33"/>
  <c r="G292" i="33"/>
  <c r="G253" i="33"/>
  <c r="G220" i="33"/>
  <c r="G278" i="33"/>
  <c r="G267" i="33"/>
  <c r="G243" i="33"/>
  <c r="G227" i="33"/>
  <c r="G183" i="33"/>
  <c r="G170" i="33"/>
  <c r="G178" i="33"/>
  <c r="G147" i="33"/>
  <c r="G105" i="33"/>
  <c r="G64" i="33"/>
  <c r="G90" i="33"/>
  <c r="G16" i="33"/>
  <c r="G50" i="33"/>
  <c r="G52" i="33"/>
  <c r="G35" i="33"/>
  <c r="G31" i="33"/>
  <c r="G9" i="33"/>
  <c r="G221" i="33"/>
  <c r="G298" i="33"/>
  <c r="G229" i="33"/>
  <c r="G226" i="33"/>
  <c r="G155" i="33"/>
  <c r="G188" i="33"/>
  <c r="G107" i="33"/>
  <c r="G287" i="33"/>
  <c r="G255" i="33"/>
  <c r="G204" i="33"/>
  <c r="G146" i="33"/>
  <c r="G114" i="33"/>
  <c r="G194" i="33"/>
  <c r="G51" i="33"/>
  <c r="G98" i="33"/>
  <c r="G85" i="33"/>
  <c r="G55" i="33"/>
  <c r="G20" i="33"/>
  <c r="G30" i="33"/>
  <c r="G14" i="33"/>
  <c r="G45" i="33"/>
  <c r="G13" i="33"/>
  <c r="G86" i="33"/>
  <c r="G137" i="33"/>
  <c r="G21" i="33"/>
  <c r="G145" i="33"/>
  <c r="G29" i="33"/>
  <c r="G193" i="33"/>
  <c r="G67" i="33"/>
  <c r="G182" i="33"/>
  <c r="G300" i="33"/>
  <c r="G174" i="33"/>
  <c r="G207" i="33"/>
  <c r="G37" i="33"/>
  <c r="G87" i="33"/>
  <c r="G199" i="33"/>
  <c r="G83" i="33"/>
  <c r="G7" i="33"/>
  <c r="G103" i="33"/>
  <c r="G79" i="33"/>
  <c r="G95" i="33"/>
  <c r="G166" i="33"/>
  <c r="G296" i="33"/>
  <c r="G161" i="33"/>
  <c r="G47" i="33"/>
  <c r="G158" i="33"/>
  <c r="G304" i="33"/>
  <c r="G190" i="33"/>
  <c r="G11" i="33"/>
  <c r="G119" i="33"/>
  <c r="G111" i="33"/>
  <c r="G56" i="33"/>
  <c r="I9" i="33"/>
  <c r="I49" i="33"/>
  <c r="I46" i="33"/>
  <c r="I24" i="33"/>
  <c r="I40" i="33"/>
  <c r="I50" i="33"/>
  <c r="I66" i="33"/>
  <c r="I82" i="33"/>
  <c r="I89" i="33"/>
  <c r="I93" i="33"/>
  <c r="I97" i="33"/>
  <c r="I101" i="33"/>
  <c r="I105" i="33"/>
  <c r="I70" i="33"/>
  <c r="I150" i="33"/>
  <c r="I159" i="33"/>
  <c r="I175" i="33"/>
  <c r="I191" i="33"/>
  <c r="I90" i="33"/>
  <c r="I243" i="33"/>
  <c r="I255" i="33"/>
  <c r="I287" i="33"/>
  <c r="I98" i="33"/>
  <c r="I202" i="33"/>
  <c r="I106" i="33"/>
  <c r="I116" i="33"/>
  <c r="I132" i="33"/>
  <c r="I148" i="33"/>
  <c r="I167" i="33"/>
  <c r="I254" i="33"/>
  <c r="I258" i="33"/>
  <c r="I262" i="33"/>
  <c r="I266" i="33"/>
  <c r="I270" i="33"/>
  <c r="I274" i="33"/>
  <c r="I278" i="33"/>
  <c r="I282" i="33"/>
  <c r="I286" i="33"/>
  <c r="I290" i="33"/>
  <c r="I294" i="33"/>
  <c r="I298" i="33"/>
  <c r="I302" i="33"/>
  <c r="I152" i="33"/>
  <c r="I183" i="33"/>
  <c r="I210" i="33"/>
  <c r="I223" i="33"/>
  <c r="I251" i="33"/>
  <c r="I275" i="33"/>
  <c r="I295" i="33"/>
  <c r="I303" i="33"/>
  <c r="I242" i="33"/>
  <c r="I293" i="33"/>
  <c r="I285" i="33"/>
  <c r="I284" i="33"/>
  <c r="I277" i="33"/>
  <c r="I252" i="33"/>
  <c r="I248" i="33"/>
  <c r="I237" i="33"/>
  <c r="I230" i="33"/>
  <c r="I281" i="33"/>
  <c r="I280" i="33"/>
  <c r="I273" i="33"/>
  <c r="I257" i="33"/>
  <c r="I240" i="33"/>
  <c r="I229" i="33"/>
  <c r="I291" i="33"/>
  <c r="I259" i="33"/>
  <c r="I227" i="33"/>
  <c r="I217" i="33"/>
  <c r="I155" i="33"/>
  <c r="I205" i="33"/>
  <c r="I173" i="33"/>
  <c r="I107" i="33"/>
  <c r="I211" i="33"/>
  <c r="I181" i="33"/>
  <c r="I153" i="33"/>
  <c r="I213" i="33"/>
  <c r="I203" i="33"/>
  <c r="I201" i="33"/>
  <c r="I187" i="33"/>
  <c r="I185" i="33"/>
  <c r="I177" i="33"/>
  <c r="I172" i="33"/>
  <c r="I163" i="33"/>
  <c r="I219" i="33"/>
  <c r="I126" i="33"/>
  <c r="I198" i="33"/>
  <c r="I197" i="33"/>
  <c r="I184" i="33"/>
  <c r="I154" i="33"/>
  <c r="I120" i="33"/>
  <c r="I80" i="33"/>
  <c r="I139" i="33"/>
  <c r="I194" i="33"/>
  <c r="I144" i="33"/>
  <c r="I141" i="33"/>
  <c r="I112" i="33"/>
  <c r="I138" i="33"/>
  <c r="I122" i="33"/>
  <c r="I64" i="33"/>
  <c r="I143" i="33"/>
  <c r="I135" i="33"/>
  <c r="I85" i="33"/>
  <c r="I16" i="33"/>
  <c r="I108" i="33"/>
  <c r="I92" i="33"/>
  <c r="I71" i="33"/>
  <c r="I22" i="33"/>
  <c r="I72" i="33"/>
  <c r="I276" i="33"/>
  <c r="I269" i="33"/>
  <c r="I253" i="33"/>
  <c r="I236" i="33"/>
  <c r="I218" i="33"/>
  <c r="I238" i="33"/>
  <c r="I305" i="33"/>
  <c r="I297" i="33"/>
  <c r="I272" i="33"/>
  <c r="I228" i="33"/>
  <c r="I283" i="33"/>
  <c r="I247" i="33"/>
  <c r="I204" i="33"/>
  <c r="I195" i="33"/>
  <c r="I188" i="33"/>
  <c r="I179" i="33"/>
  <c r="I124" i="33"/>
  <c r="I189" i="33"/>
  <c r="I151" i="33"/>
  <c r="I149" i="33"/>
  <c r="I133" i="33"/>
  <c r="I279" i="33"/>
  <c r="I214" i="33"/>
  <c r="I208" i="33"/>
  <c r="I171" i="33"/>
  <c r="I169" i="33"/>
  <c r="I156" i="33"/>
  <c r="I136" i="33"/>
  <c r="I99" i="33"/>
  <c r="I130" i="33"/>
  <c r="I104" i="33"/>
  <c r="I88" i="33"/>
  <c r="I128" i="33"/>
  <c r="I94" i="33"/>
  <c r="I134" i="33"/>
  <c r="I118" i="33"/>
  <c r="I78" i="33"/>
  <c r="I57" i="33"/>
  <c r="I127" i="33"/>
  <c r="I76" i="33"/>
  <c r="I65" i="33"/>
  <c r="I77" i="33"/>
  <c r="I63" i="33"/>
  <c r="I55" i="33"/>
  <c r="I75" i="33"/>
  <c r="I73" i="33"/>
  <c r="I52" i="33"/>
  <c r="I30" i="33"/>
  <c r="I19" i="33"/>
  <c r="I41" i="33"/>
  <c r="I33" i="33"/>
  <c r="I25" i="33"/>
  <c r="I164" i="33"/>
  <c r="I292" i="33"/>
  <c r="I249" i="33"/>
  <c r="I246" i="33"/>
  <c r="I232" i="33"/>
  <c r="I241" i="33"/>
  <c r="I264" i="33"/>
  <c r="I226" i="33"/>
  <c r="I212" i="33"/>
  <c r="I267" i="33"/>
  <c r="I165" i="33"/>
  <c r="I140" i="33"/>
  <c r="I91" i="33"/>
  <c r="I216" i="33"/>
  <c r="I196" i="33"/>
  <c r="I170" i="33"/>
  <c r="I271" i="33"/>
  <c r="I209" i="33"/>
  <c r="I146" i="33"/>
  <c r="I114" i="33"/>
  <c r="I96" i="33"/>
  <c r="I74" i="33"/>
  <c r="I102" i="33"/>
  <c r="I192" i="33"/>
  <c r="I131" i="33"/>
  <c r="I84" i="33"/>
  <c r="I68" i="33"/>
  <c r="I20" i="33"/>
  <c r="I10" i="33"/>
  <c r="I14" i="33"/>
  <c r="I43" i="33"/>
  <c r="I42" i="33"/>
  <c r="I26" i="33"/>
  <c r="I8" i="33"/>
  <c r="I224" i="33"/>
  <c r="I225" i="33"/>
  <c r="I299" i="33"/>
  <c r="I206" i="33"/>
  <c r="I186" i="33"/>
  <c r="I142" i="33"/>
  <c r="I160" i="33"/>
  <c r="I51" i="33"/>
  <c r="I53" i="33"/>
  <c r="I28" i="33"/>
  <c r="I17" i="33"/>
  <c r="I222" i="33"/>
  <c r="I268" i="33"/>
  <c r="I256" i="33"/>
  <c r="I235" i="33"/>
  <c r="I110" i="33"/>
  <c r="I176" i="33"/>
  <c r="I59" i="33"/>
  <c r="I44" i="33"/>
  <c r="I48" i="33"/>
  <c r="I27" i="33"/>
  <c r="I23" i="33"/>
  <c r="I15" i="33"/>
  <c r="I234" i="33"/>
  <c r="I220" i="33"/>
  <c r="I221" i="33"/>
  <c r="I244" i="33"/>
  <c r="I233" i="33"/>
  <c r="I288" i="33"/>
  <c r="I263" i="33"/>
  <c r="I168" i="33"/>
  <c r="I129" i="33"/>
  <c r="I215" i="33"/>
  <c r="I231" i="33"/>
  <c r="I115" i="33"/>
  <c r="I121" i="33"/>
  <c r="I147" i="33"/>
  <c r="I69" i="33"/>
  <c r="I61" i="33"/>
  <c r="I125" i="33"/>
  <c r="I109" i="33"/>
  <c r="I100" i="33"/>
  <c r="I81" i="33"/>
  <c r="I38" i="33"/>
  <c r="I62" i="33"/>
  <c r="I35" i="33"/>
  <c r="I31" i="33"/>
  <c r="I301" i="33"/>
  <c r="I260" i="33"/>
  <c r="I250" i="33"/>
  <c r="I289" i="33"/>
  <c r="I265" i="33"/>
  <c r="I239" i="33"/>
  <c r="I200" i="33"/>
  <c r="I178" i="33"/>
  <c r="I123" i="33"/>
  <c r="I12" i="33"/>
  <c r="I34" i="33"/>
  <c r="I261" i="33"/>
  <c r="I245" i="33"/>
  <c r="I180" i="33"/>
  <c r="I157" i="33"/>
  <c r="I113" i="33"/>
  <c r="I162" i="33"/>
  <c r="I32" i="33"/>
  <c r="I54" i="33"/>
  <c r="I117" i="33"/>
  <c r="I58" i="33"/>
  <c r="I60" i="33"/>
  <c r="I36" i="33"/>
  <c r="I39" i="33"/>
  <c r="I18" i="33"/>
  <c r="I87" i="33"/>
  <c r="I199" i="33"/>
  <c r="I83" i="33"/>
  <c r="I7" i="33"/>
  <c r="I37" i="33"/>
  <c r="I103" i="33"/>
  <c r="I79" i="33"/>
  <c r="I95" i="33"/>
  <c r="I182" i="33"/>
  <c r="I296" i="33"/>
  <c r="I161" i="33"/>
  <c r="I158" i="33"/>
  <c r="I119" i="33"/>
  <c r="I137" i="33"/>
  <c r="I145" i="33"/>
  <c r="I56" i="33"/>
  <c r="I300" i="33"/>
  <c r="I174" i="33"/>
  <c r="I207" i="33"/>
  <c r="I45" i="33"/>
  <c r="I86" i="33"/>
  <c r="I47" i="33"/>
  <c r="I11" i="33"/>
  <c r="I13" i="33"/>
  <c r="I304" i="33"/>
  <c r="I190" i="33"/>
  <c r="I21" i="33"/>
  <c r="I111" i="33"/>
  <c r="I29" i="33"/>
  <c r="I67" i="33"/>
  <c r="I166" i="33"/>
  <c r="I193" i="33"/>
  <c r="H15" i="33"/>
  <c r="H23" i="33"/>
  <c r="H31" i="33"/>
  <c r="H39" i="33"/>
  <c r="H25" i="33"/>
  <c r="H41" i="33"/>
  <c r="H17" i="33"/>
  <c r="H33" i="33"/>
  <c r="H60" i="33"/>
  <c r="H75" i="33"/>
  <c r="H85" i="33"/>
  <c r="H127" i="33"/>
  <c r="H143" i="33"/>
  <c r="H117" i="33"/>
  <c r="H162" i="33"/>
  <c r="H178" i="33"/>
  <c r="H194" i="33"/>
  <c r="H63" i="33"/>
  <c r="H135" i="33"/>
  <c r="H109" i="33"/>
  <c r="H125" i="33"/>
  <c r="H141" i="33"/>
  <c r="H192" i="33"/>
  <c r="H157" i="33"/>
  <c r="H170" i="33"/>
  <c r="H176" i="33"/>
  <c r="H203" i="33"/>
  <c r="H213" i="33"/>
  <c r="H154" i="33"/>
  <c r="H160" i="33"/>
  <c r="H299" i="33"/>
  <c r="H292" i="33"/>
  <c r="H269" i="33"/>
  <c r="H260" i="33"/>
  <c r="H238" i="33"/>
  <c r="H225" i="33"/>
  <c r="H232" i="33"/>
  <c r="H305" i="33"/>
  <c r="H297" i="33"/>
  <c r="H288" i="33"/>
  <c r="H265" i="33"/>
  <c r="H256" i="33"/>
  <c r="H211" i="33"/>
  <c r="H204" i="33"/>
  <c r="H195" i="33"/>
  <c r="H155" i="33"/>
  <c r="H129" i="33"/>
  <c r="H287" i="33"/>
  <c r="H271" i="33"/>
  <c r="H255" i="33"/>
  <c r="H239" i="33"/>
  <c r="H223" i="33"/>
  <c r="H188" i="33"/>
  <c r="H179" i="33"/>
  <c r="H110" i="33"/>
  <c r="H302" i="33"/>
  <c r="H286" i="33"/>
  <c r="H270" i="33"/>
  <c r="H254" i="33"/>
  <c r="H187" i="33"/>
  <c r="H113" i="33"/>
  <c r="H215" i="33"/>
  <c r="H208" i="33"/>
  <c r="H173" i="33"/>
  <c r="H169" i="33"/>
  <c r="H167" i="33"/>
  <c r="H156" i="33"/>
  <c r="H139" i="33"/>
  <c r="H104" i="33"/>
  <c r="H88" i="33"/>
  <c r="H134" i="33"/>
  <c r="H94" i="33"/>
  <c r="H57" i="33"/>
  <c r="H51" i="33"/>
  <c r="H98" i="33"/>
  <c r="H76" i="33"/>
  <c r="H70" i="33"/>
  <c r="H65" i="33"/>
  <c r="H38" i="33"/>
  <c r="H97" i="33"/>
  <c r="H82" i="33"/>
  <c r="H77" i="33"/>
  <c r="H55" i="33"/>
  <c r="H301" i="33"/>
  <c r="H284" i="33"/>
  <c r="H261" i="33"/>
  <c r="H252" i="33"/>
  <c r="H248" i="33"/>
  <c r="H234" i="33"/>
  <c r="H303" i="33"/>
  <c r="H233" i="33"/>
  <c r="H289" i="33"/>
  <c r="H280" i="33"/>
  <c r="H257" i="33"/>
  <c r="H240" i="33"/>
  <c r="H226" i="33"/>
  <c r="H216" i="33"/>
  <c r="H283" i="33"/>
  <c r="H267" i="33"/>
  <c r="H251" i="33"/>
  <c r="H235" i="33"/>
  <c r="H219" i="33"/>
  <c r="H124" i="33"/>
  <c r="H107" i="33"/>
  <c r="H298" i="33"/>
  <c r="H290" i="33"/>
  <c r="H274" i="33"/>
  <c r="H258" i="33"/>
  <c r="H217" i="33"/>
  <c r="H196" i="33"/>
  <c r="H209" i="33"/>
  <c r="H126" i="33"/>
  <c r="H202" i="33"/>
  <c r="H171" i="33"/>
  <c r="H164" i="33"/>
  <c r="H120" i="33"/>
  <c r="H191" i="33"/>
  <c r="H159" i="33"/>
  <c r="H146" i="33"/>
  <c r="H114" i="33"/>
  <c r="H148" i="33"/>
  <c r="H144" i="33"/>
  <c r="H116" i="33"/>
  <c r="H112" i="33"/>
  <c r="H150" i="33"/>
  <c r="H69" i="33"/>
  <c r="H32" i="33"/>
  <c r="H90" i="33"/>
  <c r="H59" i="33"/>
  <c r="H54" i="33"/>
  <c r="H100" i="33"/>
  <c r="H71" i="33"/>
  <c r="H58" i="33"/>
  <c r="H53" i="33"/>
  <c r="H93" i="33"/>
  <c r="H62" i="33"/>
  <c r="H48" i="33"/>
  <c r="H50" i="33"/>
  <c r="H10" i="33"/>
  <c r="H42" i="33"/>
  <c r="H49" i="33"/>
  <c r="H43" i="33"/>
  <c r="H35" i="33"/>
  <c r="H27" i="33"/>
  <c r="H218" i="33"/>
  <c r="H221" i="33"/>
  <c r="H295" i="33"/>
  <c r="H244" i="33"/>
  <c r="H230" i="33"/>
  <c r="H281" i="33"/>
  <c r="H272" i="33"/>
  <c r="H228" i="33"/>
  <c r="H168" i="33"/>
  <c r="H279" i="33"/>
  <c r="H247" i="33"/>
  <c r="H205" i="33"/>
  <c r="H294" i="33"/>
  <c r="H262" i="33"/>
  <c r="H183" i="33"/>
  <c r="H149" i="33"/>
  <c r="H130" i="33"/>
  <c r="H123" i="33"/>
  <c r="H118" i="33"/>
  <c r="H64" i="33"/>
  <c r="H16" i="33"/>
  <c r="H81" i="33"/>
  <c r="H36" i="33"/>
  <c r="H40" i="33"/>
  <c r="H24" i="33"/>
  <c r="H18" i="33"/>
  <c r="H245" i="33"/>
  <c r="H177" i="33"/>
  <c r="H263" i="33"/>
  <c r="H214" i="33"/>
  <c r="H278" i="33"/>
  <c r="H121" i="33"/>
  <c r="H101" i="33"/>
  <c r="H30" i="33"/>
  <c r="H14" i="33"/>
  <c r="H285" i="33"/>
  <c r="H246" i="33"/>
  <c r="H273" i="33"/>
  <c r="H291" i="33"/>
  <c r="H227" i="33"/>
  <c r="H165" i="33"/>
  <c r="H266" i="33"/>
  <c r="H201" i="33"/>
  <c r="H163" i="33"/>
  <c r="H184" i="33"/>
  <c r="H80" i="33"/>
  <c r="H96" i="33"/>
  <c r="H74" i="33"/>
  <c r="H102" i="33"/>
  <c r="H147" i="33"/>
  <c r="H89" i="33"/>
  <c r="H66" i="33"/>
  <c r="H12" i="33"/>
  <c r="H242" i="33"/>
  <c r="H276" i="33"/>
  <c r="H253" i="33"/>
  <c r="H250" i="33"/>
  <c r="H229" i="33"/>
  <c r="H275" i="33"/>
  <c r="H243" i="33"/>
  <c r="H210" i="33"/>
  <c r="H200" i="33"/>
  <c r="H181" i="33"/>
  <c r="H282" i="33"/>
  <c r="H180" i="33"/>
  <c r="H151" i="33"/>
  <c r="H142" i="33"/>
  <c r="H186" i="33"/>
  <c r="H132" i="33"/>
  <c r="H138" i="33"/>
  <c r="H92" i="33"/>
  <c r="H105" i="33"/>
  <c r="H78" i="33"/>
  <c r="H20" i="33"/>
  <c r="H34" i="33"/>
  <c r="H222" i="33"/>
  <c r="H293" i="33"/>
  <c r="H277" i="33"/>
  <c r="H268" i="33"/>
  <c r="H237" i="33"/>
  <c r="H212" i="33"/>
  <c r="H231" i="33"/>
  <c r="H140" i="33"/>
  <c r="H206" i="33"/>
  <c r="H152" i="33"/>
  <c r="H136" i="33"/>
  <c r="H99" i="33"/>
  <c r="H131" i="33"/>
  <c r="H106" i="33"/>
  <c r="H108" i="33"/>
  <c r="H84" i="33"/>
  <c r="H44" i="33"/>
  <c r="H73" i="33"/>
  <c r="H52" i="33"/>
  <c r="H46" i="33"/>
  <c r="H19" i="33"/>
  <c r="H224" i="33"/>
  <c r="H236" i="33"/>
  <c r="H220" i="33"/>
  <c r="H249" i="33"/>
  <c r="H241" i="33"/>
  <c r="H264" i="33"/>
  <c r="H259" i="33"/>
  <c r="H91" i="33"/>
  <c r="H153" i="33"/>
  <c r="H189" i="33"/>
  <c r="H185" i="33"/>
  <c r="H172" i="33"/>
  <c r="H133" i="33"/>
  <c r="H198" i="33"/>
  <c r="H197" i="33"/>
  <c r="H115" i="33"/>
  <c r="H175" i="33"/>
  <c r="H128" i="33"/>
  <c r="H122" i="33"/>
  <c r="H61" i="33"/>
  <c r="H22" i="33"/>
  <c r="H72" i="33"/>
  <c r="H68" i="33"/>
  <c r="H28" i="33"/>
  <c r="H26" i="33"/>
  <c r="H8" i="33"/>
  <c r="H9" i="33"/>
  <c r="H13" i="33"/>
  <c r="H21" i="33"/>
  <c r="H29" i="33"/>
  <c r="H161" i="33"/>
  <c r="H79" i="33"/>
  <c r="H95" i="33"/>
  <c r="H296" i="33"/>
  <c r="H45" i="33"/>
  <c r="H86" i="33"/>
  <c r="H111" i="33"/>
  <c r="H193" i="33"/>
  <c r="H174" i="33"/>
  <c r="H47" i="33"/>
  <c r="H304" i="33"/>
  <c r="H119" i="33"/>
  <c r="H56" i="33"/>
  <c r="H67" i="33"/>
  <c r="H207" i="33"/>
  <c r="H87" i="33"/>
  <c r="H11" i="33"/>
  <c r="H199" i="33"/>
  <c r="H83" i="33"/>
  <c r="H7" i="33"/>
  <c r="H103" i="33"/>
  <c r="H182" i="33"/>
  <c r="H158" i="33"/>
  <c r="H190" i="33"/>
  <c r="H37" i="33"/>
  <c r="H137" i="33"/>
  <c r="H145" i="33"/>
  <c r="H166" i="33"/>
  <c r="H300" i="33"/>
  <c r="K8" i="33"/>
  <c r="K14" i="33"/>
  <c r="K30" i="33"/>
  <c r="K72" i="33"/>
  <c r="K55" i="33"/>
  <c r="K84" i="33"/>
  <c r="K68" i="33"/>
  <c r="K122" i="33"/>
  <c r="K138" i="33"/>
  <c r="K92" i="33"/>
  <c r="K100" i="33"/>
  <c r="K108" i="33"/>
  <c r="K159" i="33"/>
  <c r="K194" i="33"/>
  <c r="K165" i="33"/>
  <c r="K208" i="33"/>
  <c r="K114" i="33"/>
  <c r="K130" i="33"/>
  <c r="K146" i="33"/>
  <c r="K175" i="33"/>
  <c r="K200" i="33"/>
  <c r="K214" i="33"/>
  <c r="K178" i="33"/>
  <c r="K162" i="33"/>
  <c r="K191" i="33"/>
  <c r="K297" i="33"/>
  <c r="K305" i="33"/>
  <c r="K242" i="33"/>
  <c r="K292" i="33"/>
  <c r="K284" i="33"/>
  <c r="K277" i="33"/>
  <c r="K260" i="33"/>
  <c r="K253" i="33"/>
  <c r="K237" i="33"/>
  <c r="K234" i="33"/>
  <c r="K303" i="33"/>
  <c r="K293" i="33"/>
  <c r="K280" i="33"/>
  <c r="K273" i="33"/>
  <c r="K256" i="33"/>
  <c r="K240" i="33"/>
  <c r="K229" i="33"/>
  <c r="K226" i="33"/>
  <c r="K195" i="33"/>
  <c r="K177" i="33"/>
  <c r="K168" i="33"/>
  <c r="K179" i="33"/>
  <c r="K107" i="33"/>
  <c r="K279" i="33"/>
  <c r="K263" i="33"/>
  <c r="K203" i="33"/>
  <c r="K180" i="33"/>
  <c r="K157" i="33"/>
  <c r="K152" i="33"/>
  <c r="K151" i="33"/>
  <c r="K149" i="33"/>
  <c r="K133" i="33"/>
  <c r="K209" i="33"/>
  <c r="K142" i="33"/>
  <c r="K298" i="33"/>
  <c r="K202" i="33"/>
  <c r="K80" i="33"/>
  <c r="K160" i="33"/>
  <c r="K118" i="33"/>
  <c r="K147" i="33"/>
  <c r="K69" i="33"/>
  <c r="K64" i="33"/>
  <c r="K61" i="33"/>
  <c r="K32" i="33"/>
  <c r="K90" i="33"/>
  <c r="K71" i="33"/>
  <c r="K53" i="33"/>
  <c r="K63" i="33"/>
  <c r="K44" i="33"/>
  <c r="K105" i="33"/>
  <c r="K89" i="33"/>
  <c r="K222" i="33"/>
  <c r="K269" i="33"/>
  <c r="K252" i="33"/>
  <c r="K248" i="33"/>
  <c r="K236" i="33"/>
  <c r="K220" i="33"/>
  <c r="K221" i="33"/>
  <c r="K246" i="33"/>
  <c r="K272" i="33"/>
  <c r="K265" i="33"/>
  <c r="K212" i="33"/>
  <c r="K204" i="33"/>
  <c r="K173" i="33"/>
  <c r="K153" i="33"/>
  <c r="K110" i="33"/>
  <c r="K283" i="33"/>
  <c r="K267" i="33"/>
  <c r="K251" i="33"/>
  <c r="K243" i="33"/>
  <c r="K235" i="33"/>
  <c r="K227" i="33"/>
  <c r="K215" i="33"/>
  <c r="K206" i="33"/>
  <c r="K185" i="33"/>
  <c r="K183" i="33"/>
  <c r="K170" i="33"/>
  <c r="K294" i="33"/>
  <c r="K286" i="33"/>
  <c r="K278" i="33"/>
  <c r="K270" i="33"/>
  <c r="K262" i="33"/>
  <c r="K254" i="33"/>
  <c r="K196" i="33"/>
  <c r="K184" i="33"/>
  <c r="K181" i="33"/>
  <c r="K120" i="33"/>
  <c r="K115" i="33"/>
  <c r="K99" i="33"/>
  <c r="K104" i="33"/>
  <c r="K88" i="33"/>
  <c r="K74" i="33"/>
  <c r="K176" i="33"/>
  <c r="K144" i="33"/>
  <c r="K134" i="33"/>
  <c r="K123" i="33"/>
  <c r="K121" i="33"/>
  <c r="K112" i="33"/>
  <c r="K102" i="33"/>
  <c r="K148" i="33"/>
  <c r="K131" i="33"/>
  <c r="K125" i="33"/>
  <c r="K117" i="33"/>
  <c r="K109" i="33"/>
  <c r="K81" i="33"/>
  <c r="K22" i="33"/>
  <c r="K101" i="33"/>
  <c r="K75" i="33"/>
  <c r="K20" i="33"/>
  <c r="K24" i="33"/>
  <c r="K28" i="33"/>
  <c r="K35" i="33"/>
  <c r="K250" i="33"/>
  <c r="K289" i="33"/>
  <c r="K129" i="33"/>
  <c r="K210" i="33"/>
  <c r="K188" i="33"/>
  <c r="K124" i="33"/>
  <c r="K211" i="33"/>
  <c r="K271" i="33"/>
  <c r="K187" i="33"/>
  <c r="K126" i="33"/>
  <c r="K136" i="33"/>
  <c r="K150" i="33"/>
  <c r="K57" i="33"/>
  <c r="K51" i="33"/>
  <c r="K98" i="33"/>
  <c r="K85" i="33"/>
  <c r="K59" i="33"/>
  <c r="K127" i="33"/>
  <c r="K65" i="33"/>
  <c r="K97" i="33"/>
  <c r="K78" i="33"/>
  <c r="K62" i="33"/>
  <c r="K36" i="33"/>
  <c r="K26" i="33"/>
  <c r="K33" i="33"/>
  <c r="K9" i="33"/>
  <c r="K264" i="33"/>
  <c r="K189" i="33"/>
  <c r="K255" i="33"/>
  <c r="K201" i="33"/>
  <c r="K172" i="33"/>
  <c r="K219" i="33"/>
  <c r="K169" i="33"/>
  <c r="K94" i="33"/>
  <c r="K76" i="33"/>
  <c r="K41" i="33"/>
  <c r="K25" i="33"/>
  <c r="K276" i="33"/>
  <c r="K295" i="33"/>
  <c r="K233" i="33"/>
  <c r="K205" i="33"/>
  <c r="K186" i="33"/>
  <c r="K239" i="33"/>
  <c r="K213" i="33"/>
  <c r="K290" i="33"/>
  <c r="K258" i="33"/>
  <c r="K135" i="33"/>
  <c r="K50" i="33"/>
  <c r="K49" i="33"/>
  <c r="K299" i="33"/>
  <c r="K224" i="33"/>
  <c r="K268" i="33"/>
  <c r="K261" i="33"/>
  <c r="K218" i="33"/>
  <c r="K225" i="33"/>
  <c r="K301" i="33"/>
  <c r="K257" i="33"/>
  <c r="K245" i="33"/>
  <c r="K217" i="33"/>
  <c r="K216" i="33"/>
  <c r="K140" i="33"/>
  <c r="K291" i="33"/>
  <c r="K259" i="33"/>
  <c r="K247" i="33"/>
  <c r="K231" i="33"/>
  <c r="K163" i="33"/>
  <c r="K302" i="33"/>
  <c r="K282" i="33"/>
  <c r="K266" i="33"/>
  <c r="K167" i="33"/>
  <c r="K156" i="33"/>
  <c r="K154" i="33"/>
  <c r="K139" i="33"/>
  <c r="K192" i="33"/>
  <c r="K128" i="33"/>
  <c r="K116" i="33"/>
  <c r="K52" i="33"/>
  <c r="K143" i="33"/>
  <c r="K106" i="33"/>
  <c r="K54" i="33"/>
  <c r="K16" i="33"/>
  <c r="K70" i="33"/>
  <c r="K77" i="33"/>
  <c r="K93" i="33"/>
  <c r="K73" i="33"/>
  <c r="K60" i="33"/>
  <c r="K10" i="33"/>
  <c r="K46" i="33"/>
  <c r="K43" i="33"/>
  <c r="K27" i="33"/>
  <c r="K42" i="33"/>
  <c r="K18" i="33"/>
  <c r="K39" i="33"/>
  <c r="K23" i="33"/>
  <c r="K17" i="33"/>
  <c r="K15" i="33"/>
  <c r="K285" i="33"/>
  <c r="K238" i="33"/>
  <c r="K249" i="33"/>
  <c r="K232" i="33"/>
  <c r="K241" i="33"/>
  <c r="K228" i="33"/>
  <c r="K155" i="33"/>
  <c r="K91" i="33"/>
  <c r="K287" i="33"/>
  <c r="K198" i="33"/>
  <c r="K113" i="33"/>
  <c r="K197" i="33"/>
  <c r="K164" i="33"/>
  <c r="K96" i="33"/>
  <c r="K141" i="33"/>
  <c r="K58" i="33"/>
  <c r="K38" i="33"/>
  <c r="K82" i="33"/>
  <c r="K66" i="33"/>
  <c r="K48" i="33"/>
  <c r="K40" i="33"/>
  <c r="K19" i="33"/>
  <c r="K34" i="33"/>
  <c r="K244" i="33"/>
  <c r="K230" i="33"/>
  <c r="K288" i="33"/>
  <c r="K281" i="33"/>
  <c r="K275" i="33"/>
  <c r="K223" i="33"/>
  <c r="K274" i="33"/>
  <c r="K171" i="33"/>
  <c r="K132" i="33"/>
  <c r="K12" i="33"/>
  <c r="K31" i="33"/>
  <c r="K87" i="33"/>
  <c r="K11" i="33"/>
  <c r="K158" i="33"/>
  <c r="K199" i="33"/>
  <c r="K83" i="33"/>
  <c r="K7" i="33"/>
  <c r="K119" i="33"/>
  <c r="K190" i="33"/>
  <c r="K103" i="33"/>
  <c r="K111" i="33"/>
  <c r="K193" i="33"/>
  <c r="K79" i="33"/>
  <c r="K95" i="33"/>
  <c r="K182" i="33"/>
  <c r="K296" i="33"/>
  <c r="K174" i="33"/>
  <c r="K304" i="33"/>
  <c r="K67" i="33"/>
  <c r="K166" i="33"/>
  <c r="K300" i="33"/>
  <c r="K37" i="33"/>
  <c r="K45" i="33"/>
  <c r="K13" i="33"/>
  <c r="K86" i="33"/>
  <c r="K137" i="33"/>
  <c r="K21" i="33"/>
  <c r="K145" i="33"/>
  <c r="K29" i="33"/>
  <c r="K47" i="33"/>
  <c r="K56" i="33"/>
  <c r="K161" i="33"/>
  <c r="K207" i="33"/>
  <c r="J17" i="33"/>
  <c r="J25" i="33"/>
  <c r="J33" i="33"/>
  <c r="J41" i="33"/>
  <c r="J9" i="33"/>
  <c r="J15" i="33"/>
  <c r="J31" i="33"/>
  <c r="J49" i="33"/>
  <c r="J52" i="33"/>
  <c r="J23" i="33"/>
  <c r="J39" i="33"/>
  <c r="J73" i="33"/>
  <c r="J84" i="33"/>
  <c r="J89" i="33"/>
  <c r="J97" i="33"/>
  <c r="J105" i="33"/>
  <c r="J127" i="33"/>
  <c r="J135" i="33"/>
  <c r="J143" i="33"/>
  <c r="J58" i="33"/>
  <c r="J77" i="33"/>
  <c r="J93" i="33"/>
  <c r="J101" i="33"/>
  <c r="J109" i="33"/>
  <c r="J125" i="33"/>
  <c r="J131" i="33"/>
  <c r="J147" i="33"/>
  <c r="J160" i="33"/>
  <c r="J176" i="33"/>
  <c r="J192" i="33"/>
  <c r="J117" i="33"/>
  <c r="J150" i="33"/>
  <c r="J159" i="33"/>
  <c r="J175" i="33"/>
  <c r="J191" i="33"/>
  <c r="J211" i="33"/>
  <c r="J258" i="33"/>
  <c r="J274" i="33"/>
  <c r="J290" i="33"/>
  <c r="J171" i="33"/>
  <c r="J184" i="33"/>
  <c r="J215" i="33"/>
  <c r="J139" i="33"/>
  <c r="J201" i="33"/>
  <c r="J197" i="33"/>
  <c r="J123" i="33"/>
  <c r="J254" i="33"/>
  <c r="J262" i="33"/>
  <c r="J266" i="33"/>
  <c r="J270" i="33"/>
  <c r="J278" i="33"/>
  <c r="J282" i="33"/>
  <c r="J286" i="33"/>
  <c r="J294" i="33"/>
  <c r="J302" i="33"/>
  <c r="J298" i="33"/>
  <c r="J301" i="33"/>
  <c r="J276" i="33"/>
  <c r="J268" i="33"/>
  <c r="J261" i="33"/>
  <c r="J234" i="33"/>
  <c r="J220" i="33"/>
  <c r="J187" i="33"/>
  <c r="J295" i="33"/>
  <c r="J244" i="33"/>
  <c r="J233" i="33"/>
  <c r="J289" i="33"/>
  <c r="J265" i="33"/>
  <c r="J264" i="33"/>
  <c r="J228" i="33"/>
  <c r="J226" i="33"/>
  <c r="J212" i="33"/>
  <c r="J210" i="33"/>
  <c r="J186" i="33"/>
  <c r="J165" i="33"/>
  <c r="J140" i="33"/>
  <c r="J91" i="33"/>
  <c r="J189" i="33"/>
  <c r="J196" i="33"/>
  <c r="J151" i="33"/>
  <c r="J133" i="33"/>
  <c r="J198" i="33"/>
  <c r="J162" i="33"/>
  <c r="J126" i="33"/>
  <c r="J287" i="33"/>
  <c r="J279" i="33"/>
  <c r="J271" i="33"/>
  <c r="J263" i="33"/>
  <c r="J255" i="33"/>
  <c r="J243" i="33"/>
  <c r="J227" i="33"/>
  <c r="J205" i="33"/>
  <c r="J136" i="33"/>
  <c r="J115" i="33"/>
  <c r="J146" i="33"/>
  <c r="J114" i="33"/>
  <c r="J132" i="33"/>
  <c r="J128" i="33"/>
  <c r="J121" i="33"/>
  <c r="J69" i="33"/>
  <c r="J106" i="33"/>
  <c r="J59" i="33"/>
  <c r="J100" i="33"/>
  <c r="J53" i="33"/>
  <c r="J66" i="33"/>
  <c r="J78" i="33"/>
  <c r="J299" i="33"/>
  <c r="J224" i="33"/>
  <c r="J222" i="33"/>
  <c r="J250" i="33"/>
  <c r="J225" i="33"/>
  <c r="J249" i="33"/>
  <c r="J246" i="33"/>
  <c r="J232" i="33"/>
  <c r="J241" i="33"/>
  <c r="J288" i="33"/>
  <c r="J245" i="33"/>
  <c r="J209" i="33"/>
  <c r="J219" i="33"/>
  <c r="J129" i="33"/>
  <c r="J214" i="33"/>
  <c r="J200" i="33"/>
  <c r="J181" i="33"/>
  <c r="J180" i="33"/>
  <c r="J172" i="33"/>
  <c r="J163" i="33"/>
  <c r="J113" i="33"/>
  <c r="J239" i="33"/>
  <c r="J223" i="33"/>
  <c r="J167" i="33"/>
  <c r="J154" i="33"/>
  <c r="J96" i="33"/>
  <c r="J94" i="33"/>
  <c r="J138" i="33"/>
  <c r="J122" i="33"/>
  <c r="J57" i="33"/>
  <c r="J51" i="33"/>
  <c r="J98" i="33"/>
  <c r="J85" i="33"/>
  <c r="J16" i="33"/>
  <c r="J70" i="33"/>
  <c r="J22" i="33"/>
  <c r="J82" i="33"/>
  <c r="J68" i="33"/>
  <c r="J60" i="33"/>
  <c r="J40" i="33"/>
  <c r="J14" i="33"/>
  <c r="J18" i="33"/>
  <c r="J35" i="33"/>
  <c r="J19" i="33"/>
  <c r="J242" i="33"/>
  <c r="J253" i="33"/>
  <c r="J248" i="33"/>
  <c r="J238" i="33"/>
  <c r="J305" i="33"/>
  <c r="J280" i="33"/>
  <c r="J273" i="33"/>
  <c r="J256" i="33"/>
  <c r="J217" i="33"/>
  <c r="J173" i="33"/>
  <c r="J203" i="33"/>
  <c r="J142" i="33"/>
  <c r="J283" i="33"/>
  <c r="J267" i="33"/>
  <c r="J251" i="33"/>
  <c r="J80" i="33"/>
  <c r="J88" i="33"/>
  <c r="J144" i="33"/>
  <c r="J134" i="33"/>
  <c r="J112" i="33"/>
  <c r="J141" i="33"/>
  <c r="J71" i="33"/>
  <c r="J38" i="33"/>
  <c r="J72" i="33"/>
  <c r="J63" i="33"/>
  <c r="J46" i="33"/>
  <c r="J28" i="33"/>
  <c r="J34" i="33"/>
  <c r="J43" i="33"/>
  <c r="J229" i="33"/>
  <c r="J185" i="33"/>
  <c r="J157" i="33"/>
  <c r="J149" i="33"/>
  <c r="J291" i="33"/>
  <c r="J259" i="33"/>
  <c r="J213" i="33"/>
  <c r="J156" i="33"/>
  <c r="J74" i="33"/>
  <c r="J148" i="33"/>
  <c r="J92" i="33"/>
  <c r="J55" i="33"/>
  <c r="J65" i="33"/>
  <c r="J36" i="33"/>
  <c r="J10" i="33"/>
  <c r="J26" i="33"/>
  <c r="J8" i="33"/>
  <c r="J293" i="33"/>
  <c r="J284" i="33"/>
  <c r="J260" i="33"/>
  <c r="J237" i="33"/>
  <c r="J218" i="33"/>
  <c r="J124" i="33"/>
  <c r="J168" i="33"/>
  <c r="J155" i="33"/>
  <c r="J120" i="33"/>
  <c r="J130" i="33"/>
  <c r="J108" i="33"/>
  <c r="J75" i="33"/>
  <c r="J42" i="33"/>
  <c r="J292" i="33"/>
  <c r="J285" i="33"/>
  <c r="J230" i="33"/>
  <c r="J297" i="33"/>
  <c r="J204" i="33"/>
  <c r="J177" i="33"/>
  <c r="J188" i="33"/>
  <c r="J179" i="33"/>
  <c r="J110" i="33"/>
  <c r="J206" i="33"/>
  <c r="J183" i="33"/>
  <c r="J170" i="33"/>
  <c r="J152" i="33"/>
  <c r="J247" i="33"/>
  <c r="J208" i="33"/>
  <c r="J178" i="33"/>
  <c r="J169" i="33"/>
  <c r="J99" i="33"/>
  <c r="J64" i="33"/>
  <c r="J90" i="33"/>
  <c r="J44" i="33"/>
  <c r="J48" i="33"/>
  <c r="J50" i="33"/>
  <c r="J30" i="33"/>
  <c r="J12" i="33"/>
  <c r="J269" i="33"/>
  <c r="J252" i="33"/>
  <c r="J236" i="33"/>
  <c r="J221" i="33"/>
  <c r="J281" i="33"/>
  <c r="J257" i="33"/>
  <c r="J240" i="33"/>
  <c r="J195" i="33"/>
  <c r="J107" i="33"/>
  <c r="J153" i="33"/>
  <c r="J194" i="33"/>
  <c r="J275" i="33"/>
  <c r="J235" i="33"/>
  <c r="J202" i="33"/>
  <c r="J104" i="33"/>
  <c r="J116" i="33"/>
  <c r="J102" i="33"/>
  <c r="J61" i="33"/>
  <c r="J32" i="33"/>
  <c r="J54" i="33"/>
  <c r="J81" i="33"/>
  <c r="J62" i="33"/>
  <c r="J20" i="33"/>
  <c r="J24" i="33"/>
  <c r="J277" i="33"/>
  <c r="J303" i="33"/>
  <c r="J272" i="33"/>
  <c r="J216" i="33"/>
  <c r="J231" i="33"/>
  <c r="J164" i="33"/>
  <c r="J118" i="33"/>
  <c r="J76" i="33"/>
  <c r="J27" i="33"/>
  <c r="J47" i="33"/>
  <c r="J304" i="33"/>
  <c r="J137" i="33"/>
  <c r="J145" i="33"/>
  <c r="J56" i="33"/>
  <c r="J67" i="33"/>
  <c r="J166" i="33"/>
  <c r="J300" i="33"/>
  <c r="J207" i="33"/>
  <c r="J111" i="33"/>
  <c r="J29" i="33"/>
  <c r="J11" i="33"/>
  <c r="J199" i="33"/>
  <c r="J103" i="33"/>
  <c r="J79" i="33"/>
  <c r="J95" i="33"/>
  <c r="J193" i="33"/>
  <c r="J45" i="33"/>
  <c r="J13" i="33"/>
  <c r="J119" i="33"/>
  <c r="J21" i="33"/>
  <c r="J161" i="33"/>
  <c r="J87" i="33"/>
  <c r="J83" i="33"/>
  <c r="J7" i="33"/>
  <c r="J182" i="33"/>
  <c r="J296" i="33"/>
  <c r="J158" i="33"/>
  <c r="J86" i="33"/>
  <c r="J190" i="33"/>
  <c r="J37" i="33"/>
  <c r="J174" i="33"/>
  <c r="L306" i="49"/>
  <c r="J6" i="54"/>
  <c r="H6" i="33"/>
  <c r="J6" i="33"/>
  <c r="K6" i="33"/>
  <c r="G6" i="33"/>
  <c r="L306" i="11"/>
  <c r="G306" i="11"/>
  <c r="E6" i="37"/>
  <c r="G6" i="37" s="1"/>
  <c r="I6" i="33"/>
  <c r="F201" i="12" l="1"/>
  <c r="F30" i="48"/>
  <c r="F259" i="34"/>
  <c r="F253" i="12" s="1"/>
  <c r="K6" i="54"/>
  <c r="K306" i="54" s="1"/>
  <c r="J306" i="54"/>
  <c r="F111" i="12"/>
  <c r="L292" i="33"/>
  <c r="M292" i="33" s="1"/>
  <c r="L271" i="33"/>
  <c r="M271" i="33" s="1"/>
  <c r="G277" i="9" s="1"/>
  <c r="L15" i="33"/>
  <c r="M15" i="33" s="1"/>
  <c r="G21" i="9" s="1"/>
  <c r="L284" i="33"/>
  <c r="M284" i="33" s="1"/>
  <c r="G290" i="9" s="1"/>
  <c r="L48" i="33"/>
  <c r="M48" i="33" s="1"/>
  <c r="G54" i="9" s="1"/>
  <c r="L177" i="33"/>
  <c r="M177" i="33" s="1"/>
  <c r="G183" i="9" s="1"/>
  <c r="L233" i="33"/>
  <c r="M233" i="33" s="1"/>
  <c r="G239" i="9" s="1"/>
  <c r="L154" i="33"/>
  <c r="M154" i="33" s="1"/>
  <c r="G160" i="9" s="1"/>
  <c r="L169" i="33"/>
  <c r="M169" i="33" s="1"/>
  <c r="L26" i="33"/>
  <c r="M26" i="33" s="1"/>
  <c r="G32" i="9" s="1"/>
  <c r="L11" i="33"/>
  <c r="M11" i="33" s="1"/>
  <c r="G17" i="9" s="1"/>
  <c r="L95" i="33"/>
  <c r="M95" i="33" s="1"/>
  <c r="G101" i="9" s="1"/>
  <c r="L194" i="33"/>
  <c r="M194" i="33" s="1"/>
  <c r="G200" i="9" s="1"/>
  <c r="L113" i="33"/>
  <c r="M113" i="33" s="1"/>
  <c r="G119" i="9" s="1"/>
  <c r="L272" i="33"/>
  <c r="M272" i="33" s="1"/>
  <c r="G278" i="9" s="1"/>
  <c r="L222" i="33"/>
  <c r="M222" i="33" s="1"/>
  <c r="G228" i="9" s="1"/>
  <c r="L92" i="33"/>
  <c r="M92" i="33" s="1"/>
  <c r="G98" i="9" s="1"/>
  <c r="L17" i="33"/>
  <c r="M17" i="33" s="1"/>
  <c r="L135" i="33"/>
  <c r="M135" i="33" s="1"/>
  <c r="G141" i="9" s="1"/>
  <c r="L91" i="33"/>
  <c r="M91" i="33" s="1"/>
  <c r="G97" i="9" s="1"/>
  <c r="L244" i="33"/>
  <c r="M244" i="33" s="1"/>
  <c r="G250" i="9" s="1"/>
  <c r="L116" i="33"/>
  <c r="M116" i="33" s="1"/>
  <c r="G122" i="9" s="1"/>
  <c r="L83" i="33"/>
  <c r="M83" i="33" s="1"/>
  <c r="G89" i="9" s="1"/>
  <c r="L45" i="33"/>
  <c r="M45" i="33" s="1"/>
  <c r="G51" i="9" s="1"/>
  <c r="L240" i="33"/>
  <c r="M240" i="33" s="1"/>
  <c r="L122" i="33"/>
  <c r="M122" i="33" s="1"/>
  <c r="L66" i="33"/>
  <c r="M66" i="33" s="1"/>
  <c r="G72" i="9" s="1"/>
  <c r="L195" i="33"/>
  <c r="M195" i="33" s="1"/>
  <c r="G201" i="9" s="1"/>
  <c r="L101" i="33"/>
  <c r="M101" i="33" s="1"/>
  <c r="G107" i="9" s="1"/>
  <c r="L102" i="33"/>
  <c r="M102" i="33" s="1"/>
  <c r="G108" i="9" s="1"/>
  <c r="L148" i="33"/>
  <c r="M148" i="33" s="1"/>
  <c r="G154" i="9" s="1"/>
  <c r="L47" i="33"/>
  <c r="M47" i="33" s="1"/>
  <c r="G53" i="9" s="1"/>
  <c r="L207" i="33"/>
  <c r="M207" i="33" s="1"/>
  <c r="L21" i="33"/>
  <c r="M21" i="33" s="1"/>
  <c r="L55" i="33"/>
  <c r="M55" i="33" s="1"/>
  <c r="G61" i="9" s="1"/>
  <c r="L71" i="33"/>
  <c r="M71" i="33" s="1"/>
  <c r="G77" i="9" s="1"/>
  <c r="L126" i="33"/>
  <c r="M126" i="33" s="1"/>
  <c r="G132" i="9" s="1"/>
  <c r="L281" i="33"/>
  <c r="M281" i="33" s="1"/>
  <c r="G287" i="9" s="1"/>
  <c r="L65" i="33"/>
  <c r="M65" i="33" s="1"/>
  <c r="G71" i="9" s="1"/>
  <c r="L151" i="33"/>
  <c r="M151" i="33" s="1"/>
  <c r="G157" i="9" s="1"/>
  <c r="L138" i="33"/>
  <c r="M138" i="33" s="1"/>
  <c r="L27" i="33"/>
  <c r="M27" i="33" s="1"/>
  <c r="G33" i="9" s="1"/>
  <c r="L179" i="33"/>
  <c r="M179" i="33" s="1"/>
  <c r="G185" i="9" s="1"/>
  <c r="L245" i="33"/>
  <c r="M245" i="33" s="1"/>
  <c r="G251" i="9" s="1"/>
  <c r="L237" i="33"/>
  <c r="M237" i="33" s="1"/>
  <c r="G243" i="9" s="1"/>
  <c r="L43" i="33"/>
  <c r="M43" i="33" s="1"/>
  <c r="G49" i="9" s="1"/>
  <c r="L106" i="33"/>
  <c r="M106" i="33" s="1"/>
  <c r="G112" i="9" s="1"/>
  <c r="L61" i="33"/>
  <c r="M61" i="33" s="1"/>
  <c r="G67" i="9" s="1"/>
  <c r="L139" i="33"/>
  <c r="M139" i="33" s="1"/>
  <c r="L211" i="33"/>
  <c r="M211" i="33" s="1"/>
  <c r="L165" i="33"/>
  <c r="M165" i="33" s="1"/>
  <c r="G171" i="9" s="1"/>
  <c r="L265" i="33"/>
  <c r="M265" i="33" s="1"/>
  <c r="G271" i="9" s="1"/>
  <c r="L258" i="33"/>
  <c r="M258" i="33" s="1"/>
  <c r="G264" i="9" s="1"/>
  <c r="L290" i="33"/>
  <c r="M290" i="33" s="1"/>
  <c r="G296" i="9" s="1"/>
  <c r="L59" i="33"/>
  <c r="M59" i="33" s="1"/>
  <c r="G65" i="9" s="1"/>
  <c r="L150" i="33"/>
  <c r="M150" i="33" s="1"/>
  <c r="G156" i="9" s="1"/>
  <c r="L104" i="33"/>
  <c r="M104" i="33" s="1"/>
  <c r="L206" i="33"/>
  <c r="M206" i="33" s="1"/>
  <c r="G212" i="9" s="1"/>
  <c r="L239" i="33"/>
  <c r="M239" i="33" s="1"/>
  <c r="G245" i="9" s="1"/>
  <c r="L291" i="33"/>
  <c r="M291" i="33" s="1"/>
  <c r="G297" i="9" s="1"/>
  <c r="L185" i="33"/>
  <c r="M185" i="33" s="1"/>
  <c r="G191" i="9" s="1"/>
  <c r="L252" i="33"/>
  <c r="M252" i="33" s="1"/>
  <c r="G258" i="9" s="1"/>
  <c r="L208" i="33"/>
  <c r="M208" i="33" s="1"/>
  <c r="G214" i="9" s="1"/>
  <c r="L67" i="33"/>
  <c r="M67" i="33" s="1"/>
  <c r="G73" i="9" s="1"/>
  <c r="L221" i="33"/>
  <c r="M221" i="33" s="1"/>
  <c r="L64" i="33"/>
  <c r="M64" i="33" s="1"/>
  <c r="G70" i="9" s="1"/>
  <c r="L170" i="33"/>
  <c r="M170" i="33" s="1"/>
  <c r="G176" i="9" s="1"/>
  <c r="L28" i="33"/>
  <c r="M28" i="33" s="1"/>
  <c r="G34" i="9" s="1"/>
  <c r="L96" i="33"/>
  <c r="M96" i="33" s="1"/>
  <c r="G102" i="9" s="1"/>
  <c r="L256" i="33"/>
  <c r="M256" i="33" s="1"/>
  <c r="G262" i="9" s="1"/>
  <c r="L238" i="33"/>
  <c r="M238" i="33" s="1"/>
  <c r="G244" i="9" s="1"/>
  <c r="L149" i="33"/>
  <c r="M149" i="33" s="1"/>
  <c r="G155" i="9" s="1"/>
  <c r="L190" i="33"/>
  <c r="M190" i="33" s="1"/>
  <c r="L161" i="33"/>
  <c r="M161" i="33" s="1"/>
  <c r="G167" i="9" s="1"/>
  <c r="L199" i="33"/>
  <c r="M199" i="33" s="1"/>
  <c r="G205" i="9" s="1"/>
  <c r="L174" i="33"/>
  <c r="M174" i="33" s="1"/>
  <c r="G180" i="9" s="1"/>
  <c r="L137" i="33"/>
  <c r="M137" i="33" s="1"/>
  <c r="G143" i="9" s="1"/>
  <c r="L85" i="33"/>
  <c r="M85" i="33" s="1"/>
  <c r="G91" i="9" s="1"/>
  <c r="L114" i="33"/>
  <c r="M114" i="33" s="1"/>
  <c r="G120" i="9" s="1"/>
  <c r="L226" i="33"/>
  <c r="M226" i="33" s="1"/>
  <c r="G232" i="9" s="1"/>
  <c r="L50" i="33"/>
  <c r="M50" i="33" s="1"/>
  <c r="L183" i="33"/>
  <c r="M183" i="33" s="1"/>
  <c r="G189" i="9" s="1"/>
  <c r="L278" i="33"/>
  <c r="M278" i="33" s="1"/>
  <c r="G284" i="9" s="1"/>
  <c r="L63" i="33"/>
  <c r="M63" i="33" s="1"/>
  <c r="G69" i="9" s="1"/>
  <c r="L80" i="33"/>
  <c r="M80" i="33" s="1"/>
  <c r="G86" i="9" s="1"/>
  <c r="L133" i="33"/>
  <c r="M133" i="33" s="1"/>
  <c r="G139" i="9" s="1"/>
  <c r="L270" i="33"/>
  <c r="M270" i="33" s="1"/>
  <c r="G276" i="9" s="1"/>
  <c r="L241" i="33"/>
  <c r="M241" i="33" s="1"/>
  <c r="G247" i="9" s="1"/>
  <c r="L40" i="33"/>
  <c r="M40" i="33" s="1"/>
  <c r="G46" i="9" s="1"/>
  <c r="L180" i="33"/>
  <c r="M180" i="33" s="1"/>
  <c r="G186" i="9" s="1"/>
  <c r="L250" i="33"/>
  <c r="M250" i="33" s="1"/>
  <c r="G256" i="9" s="1"/>
  <c r="L73" i="33"/>
  <c r="M73" i="33" s="1"/>
  <c r="G79" i="9" s="1"/>
  <c r="L70" i="33"/>
  <c r="M70" i="33" s="1"/>
  <c r="G76" i="9" s="1"/>
  <c r="L160" i="33"/>
  <c r="M160" i="33" s="1"/>
  <c r="G166" i="9" s="1"/>
  <c r="L200" i="33"/>
  <c r="M200" i="33" s="1"/>
  <c r="G206" i="9" s="1"/>
  <c r="L181" i="33"/>
  <c r="M181" i="33" s="1"/>
  <c r="G187" i="9" s="1"/>
  <c r="L257" i="33"/>
  <c r="M257" i="33" s="1"/>
  <c r="L260" i="33"/>
  <c r="M260" i="33" s="1"/>
  <c r="G266" i="9" s="1"/>
  <c r="L285" i="33"/>
  <c r="M285" i="33" s="1"/>
  <c r="G291" i="9" s="1"/>
  <c r="L12" i="33"/>
  <c r="M12" i="33" s="1"/>
  <c r="G18" i="9" s="1"/>
  <c r="L78" i="33"/>
  <c r="M78" i="33" s="1"/>
  <c r="G84" i="9" s="1"/>
  <c r="L38" i="33"/>
  <c r="M38" i="33" s="1"/>
  <c r="G44" i="9" s="1"/>
  <c r="L89" i="33"/>
  <c r="M89" i="33" s="1"/>
  <c r="G95" i="9" s="1"/>
  <c r="L153" i="33"/>
  <c r="M153" i="33" s="1"/>
  <c r="G159" i="9" s="1"/>
  <c r="L142" i="33"/>
  <c r="M142" i="33" s="1"/>
  <c r="G148" i="9" s="1"/>
  <c r="L152" i="33"/>
  <c r="M152" i="33" s="1"/>
  <c r="G158" i="9" s="1"/>
  <c r="L205" i="33"/>
  <c r="M205" i="33" s="1"/>
  <c r="G211" i="9" s="1"/>
  <c r="L228" i="33"/>
  <c r="M228" i="33" s="1"/>
  <c r="G234" i="9" s="1"/>
  <c r="L286" i="33"/>
  <c r="M286" i="33" s="1"/>
  <c r="G292" i="9" s="1"/>
  <c r="L261" i="33"/>
  <c r="M261" i="33" s="1"/>
  <c r="G267" i="9" s="1"/>
  <c r="L75" i="33"/>
  <c r="M75" i="33" s="1"/>
  <c r="G81" i="9" s="1"/>
  <c r="L109" i="33"/>
  <c r="M109" i="33" s="1"/>
  <c r="G115" i="9" s="1"/>
  <c r="L57" i="33"/>
  <c r="M57" i="33" s="1"/>
  <c r="L159" i="33"/>
  <c r="M159" i="33" s="1"/>
  <c r="G165" i="9" s="1"/>
  <c r="L176" i="33"/>
  <c r="M176" i="33" s="1"/>
  <c r="G182" i="9" s="1"/>
  <c r="L130" i="33"/>
  <c r="M130" i="33" s="1"/>
  <c r="G136" i="9" s="1"/>
  <c r="L167" i="33"/>
  <c r="M167" i="33" s="1"/>
  <c r="G173" i="9" s="1"/>
  <c r="L215" i="33"/>
  <c r="M215" i="33" s="1"/>
  <c r="G221" i="9" s="1"/>
  <c r="L247" i="33"/>
  <c r="M247" i="33" s="1"/>
  <c r="G253" i="9" s="1"/>
  <c r="L124" i="33"/>
  <c r="M124" i="33" s="1"/>
  <c r="G130" i="9" s="1"/>
  <c r="L293" i="33"/>
  <c r="M293" i="33" s="1"/>
  <c r="G299" i="9" s="1"/>
  <c r="L218" i="33"/>
  <c r="M218" i="33" s="1"/>
  <c r="G224" i="9" s="1"/>
  <c r="L266" i="33"/>
  <c r="M266" i="33" s="1"/>
  <c r="G272" i="9" s="1"/>
  <c r="L305" i="33"/>
  <c r="M305" i="33" s="1"/>
  <c r="G311" i="9" s="1"/>
  <c r="L214" i="33"/>
  <c r="M214" i="33" s="1"/>
  <c r="G220" i="9" s="1"/>
  <c r="L196" i="33"/>
  <c r="M196" i="33" s="1"/>
  <c r="G202" i="9" s="1"/>
  <c r="L72" i="33"/>
  <c r="M72" i="33" s="1"/>
  <c r="G78" i="9" s="1"/>
  <c r="L34" i="33"/>
  <c r="M34" i="33" s="1"/>
  <c r="G40" i="9" s="1"/>
  <c r="L111" i="33"/>
  <c r="L304" i="33"/>
  <c r="M304" i="33" s="1"/>
  <c r="L296" i="33"/>
  <c r="M296" i="33" s="1"/>
  <c r="G302" i="9" s="1"/>
  <c r="L103" i="33"/>
  <c r="M103" i="33" s="1"/>
  <c r="G109" i="9" s="1"/>
  <c r="L87" i="33"/>
  <c r="M87" i="33" s="1"/>
  <c r="G93" i="9" s="1"/>
  <c r="L300" i="33"/>
  <c r="M300" i="33" s="1"/>
  <c r="G306" i="9" s="1"/>
  <c r="L29" i="33"/>
  <c r="M29" i="33" s="1"/>
  <c r="G35" i="9" s="1"/>
  <c r="L86" i="33"/>
  <c r="M86" i="33" s="1"/>
  <c r="G92" i="9" s="1"/>
  <c r="L30" i="33"/>
  <c r="M30" i="33" s="1"/>
  <c r="G36" i="9" s="1"/>
  <c r="L98" i="33"/>
  <c r="M98" i="33" s="1"/>
  <c r="G104" i="9" s="1"/>
  <c r="L146" i="33"/>
  <c r="M146" i="33" s="1"/>
  <c r="G152" i="9" s="1"/>
  <c r="L107" i="33"/>
  <c r="M107" i="33" s="1"/>
  <c r="G113" i="9" s="1"/>
  <c r="L229" i="33"/>
  <c r="M229" i="33" s="1"/>
  <c r="G235" i="9" s="1"/>
  <c r="L31" i="33"/>
  <c r="M31" i="33" s="1"/>
  <c r="G37" i="9" s="1"/>
  <c r="L16" i="33"/>
  <c r="M16" i="33" s="1"/>
  <c r="G22" i="9" s="1"/>
  <c r="L147" i="33"/>
  <c r="M147" i="33" s="1"/>
  <c r="G153" i="9" s="1"/>
  <c r="L227" i="33"/>
  <c r="M227" i="33" s="1"/>
  <c r="G233" i="9" s="1"/>
  <c r="L220" i="33"/>
  <c r="M220" i="33" s="1"/>
  <c r="L41" i="33"/>
  <c r="M41" i="33" s="1"/>
  <c r="G47" i="9" s="1"/>
  <c r="L82" i="33"/>
  <c r="M82" i="33" s="1"/>
  <c r="G88" i="9" s="1"/>
  <c r="L94" i="33"/>
  <c r="M94" i="33" s="1"/>
  <c r="G100" i="9" s="1"/>
  <c r="L136" i="33"/>
  <c r="M136" i="33" s="1"/>
  <c r="G142" i="9" s="1"/>
  <c r="L187" i="33"/>
  <c r="M187" i="33" s="1"/>
  <c r="G193" i="9" s="1"/>
  <c r="L173" i="33"/>
  <c r="M173" i="33" s="1"/>
  <c r="G179" i="9" s="1"/>
  <c r="L273" i="33"/>
  <c r="M273" i="33" s="1"/>
  <c r="G279" i="9" s="1"/>
  <c r="L232" i="33"/>
  <c r="M232" i="33" s="1"/>
  <c r="G238" i="9" s="1"/>
  <c r="L294" i="33"/>
  <c r="M294" i="33" s="1"/>
  <c r="G300" i="9" s="1"/>
  <c r="L10" i="33"/>
  <c r="M10" i="33" s="1"/>
  <c r="G16" i="9" s="1"/>
  <c r="L202" i="33"/>
  <c r="M202" i="33" s="1"/>
  <c r="G208" i="9" s="1"/>
  <c r="L189" i="33"/>
  <c r="M189" i="33" s="1"/>
  <c r="G195" i="9" s="1"/>
  <c r="L242" i="33"/>
  <c r="M242" i="33" s="1"/>
  <c r="G248" i="9" s="1"/>
  <c r="L110" i="33"/>
  <c r="M110" i="33" s="1"/>
  <c r="G116" i="9" s="1"/>
  <c r="L23" i="33"/>
  <c r="M23" i="33" s="1"/>
  <c r="G29" i="9" s="1"/>
  <c r="L77" i="33"/>
  <c r="M77" i="33" s="1"/>
  <c r="G83" i="9" s="1"/>
  <c r="L93" i="33"/>
  <c r="M93" i="33" s="1"/>
  <c r="G99" i="9" s="1"/>
  <c r="L120" i="33"/>
  <c r="M120" i="33" s="1"/>
  <c r="G126" i="9" s="1"/>
  <c r="L235" i="33"/>
  <c r="M235" i="33" s="1"/>
  <c r="G241" i="9" s="1"/>
  <c r="L186" i="33"/>
  <c r="M186" i="33" s="1"/>
  <c r="G192" i="9" s="1"/>
  <c r="L303" i="33"/>
  <c r="M303" i="33" s="1"/>
  <c r="G309" i="9" s="1"/>
  <c r="L274" i="33"/>
  <c r="M274" i="33" s="1"/>
  <c r="G280" i="9" s="1"/>
  <c r="L224" i="33"/>
  <c r="M224" i="33" s="1"/>
  <c r="L46" i="33"/>
  <c r="M46" i="33" s="1"/>
  <c r="G52" i="9" s="1"/>
  <c r="L84" i="33"/>
  <c r="M84" i="33" s="1"/>
  <c r="G90" i="9" s="1"/>
  <c r="L49" i="33"/>
  <c r="M49" i="33" s="1"/>
  <c r="G55" i="9" s="1"/>
  <c r="L143" i="33"/>
  <c r="M143" i="33" s="1"/>
  <c r="G149" i="9" s="1"/>
  <c r="L132" i="33"/>
  <c r="M132" i="33" s="1"/>
  <c r="G138" i="9" s="1"/>
  <c r="L164" i="33"/>
  <c r="M164" i="33" s="1"/>
  <c r="G170" i="9" s="1"/>
  <c r="L198" i="33"/>
  <c r="M198" i="33" s="1"/>
  <c r="G204" i="9" s="1"/>
  <c r="L157" i="33"/>
  <c r="M157" i="33" s="1"/>
  <c r="G163" i="9" s="1"/>
  <c r="L263" i="33"/>
  <c r="M263" i="33" s="1"/>
  <c r="G269" i="9" s="1"/>
  <c r="L140" i="33"/>
  <c r="M140" i="33" s="1"/>
  <c r="G146" i="9" s="1"/>
  <c r="L210" i="33"/>
  <c r="M210" i="33" s="1"/>
  <c r="G216" i="9" s="1"/>
  <c r="L254" i="33"/>
  <c r="M254" i="33" s="1"/>
  <c r="G260" i="9" s="1"/>
  <c r="L289" i="33"/>
  <c r="M289" i="33" s="1"/>
  <c r="G295" i="9" s="1"/>
  <c r="L295" i="33"/>
  <c r="M295" i="33" s="1"/>
  <c r="G301" i="9" s="1"/>
  <c r="L268" i="33"/>
  <c r="M268" i="33" s="1"/>
  <c r="G274" i="9" s="1"/>
  <c r="L76" i="33"/>
  <c r="M76" i="33" s="1"/>
  <c r="G82" i="9" s="1"/>
  <c r="L117" i="33"/>
  <c r="M117" i="33" s="1"/>
  <c r="G123" i="9" s="1"/>
  <c r="L97" i="33"/>
  <c r="M97" i="33" s="1"/>
  <c r="G103" i="9" s="1"/>
  <c r="L175" i="33"/>
  <c r="M175" i="33" s="1"/>
  <c r="G181" i="9" s="1"/>
  <c r="L121" i="33"/>
  <c r="M121" i="33" s="1"/>
  <c r="G127" i="9" s="1"/>
  <c r="L74" i="33"/>
  <c r="M74" i="33" s="1"/>
  <c r="G80" i="9" s="1"/>
  <c r="L99" i="33"/>
  <c r="M99" i="33" s="1"/>
  <c r="G105" i="9" s="1"/>
  <c r="L171" i="33"/>
  <c r="M171" i="33" s="1"/>
  <c r="G177" i="9" s="1"/>
  <c r="L223" i="33"/>
  <c r="M223" i="33" s="1"/>
  <c r="G229" i="9" s="1"/>
  <c r="L259" i="33"/>
  <c r="M259" i="33" s="1"/>
  <c r="G265" i="9" s="1"/>
  <c r="L128" i="33"/>
  <c r="M128" i="33" s="1"/>
  <c r="G134" i="9" s="1"/>
  <c r="L301" i="33"/>
  <c r="M301" i="33" s="1"/>
  <c r="G307" i="9" s="1"/>
  <c r="L236" i="33"/>
  <c r="M236" i="33" s="1"/>
  <c r="G242" i="9" s="1"/>
  <c r="L269" i="33"/>
  <c r="M269" i="33" s="1"/>
  <c r="G275" i="9" s="1"/>
  <c r="L297" i="33"/>
  <c r="M297" i="33" s="1"/>
  <c r="G303" i="9" s="1"/>
  <c r="L163" i="33"/>
  <c r="M163" i="33" s="1"/>
  <c r="G169" i="9" s="1"/>
  <c r="L108" i="33"/>
  <c r="M108" i="33" s="1"/>
  <c r="G114" i="9" s="1"/>
  <c r="L68" i="33"/>
  <c r="M68" i="33" s="1"/>
  <c r="G74" i="9" s="1"/>
  <c r="L18" i="33"/>
  <c r="M18" i="33" s="1"/>
  <c r="G24" i="9" s="1"/>
  <c r="L255" i="33"/>
  <c r="M255" i="33" s="1"/>
  <c r="G261" i="9" s="1"/>
  <c r="L155" i="33"/>
  <c r="M155" i="33" s="1"/>
  <c r="G161" i="9" s="1"/>
  <c r="L52" i="33"/>
  <c r="M52" i="33" s="1"/>
  <c r="G58" i="9" s="1"/>
  <c r="L267" i="33"/>
  <c r="M267" i="33" s="1"/>
  <c r="G273" i="9" s="1"/>
  <c r="L24" i="33"/>
  <c r="M24" i="33" s="1"/>
  <c r="G30" i="9" s="1"/>
  <c r="L53" i="33"/>
  <c r="M53" i="33" s="1"/>
  <c r="G59" i="9" s="1"/>
  <c r="L283" i="33"/>
  <c r="M283" i="33" s="1"/>
  <c r="G289" i="9" s="1"/>
  <c r="L56" i="33"/>
  <c r="M56" i="33" s="1"/>
  <c r="G62" i="9" s="1"/>
  <c r="L79" i="33"/>
  <c r="M79" i="33" s="1"/>
  <c r="G85" i="9" s="1"/>
  <c r="L193" i="33"/>
  <c r="M193" i="33" s="1"/>
  <c r="G199" i="9" s="1"/>
  <c r="L14" i="33"/>
  <c r="M14" i="33" s="1"/>
  <c r="G20" i="9" s="1"/>
  <c r="L287" i="33"/>
  <c r="M287" i="33" s="1"/>
  <c r="G293" i="9" s="1"/>
  <c r="L9" i="33"/>
  <c r="M9" i="33" s="1"/>
  <c r="G15" i="9" s="1"/>
  <c r="L105" i="33"/>
  <c r="M105" i="33" s="1"/>
  <c r="G111" i="9" s="1"/>
  <c r="L25" i="33"/>
  <c r="M25" i="33" s="1"/>
  <c r="G31" i="9" s="1"/>
  <c r="L162" i="33"/>
  <c r="M162" i="33" s="1"/>
  <c r="G168" i="9" s="1"/>
  <c r="L112" i="33"/>
  <c r="M112" i="33" s="1"/>
  <c r="G118" i="9" s="1"/>
  <c r="L282" i="33"/>
  <c r="M282" i="33" s="1"/>
  <c r="G288" i="9" s="1"/>
  <c r="L127" i="33"/>
  <c r="M127" i="33" s="1"/>
  <c r="G133" i="9" s="1"/>
  <c r="L213" i="33"/>
  <c r="M213" i="33" s="1"/>
  <c r="G219" i="9" s="1"/>
  <c r="L201" i="33"/>
  <c r="L119" i="33"/>
  <c r="M119" i="33" s="1"/>
  <c r="G125" i="9" s="1"/>
  <c r="L158" i="33"/>
  <c r="M158" i="33" s="1"/>
  <c r="G164" i="9" s="1"/>
  <c r="L166" i="33"/>
  <c r="M166" i="33" s="1"/>
  <c r="G172" i="9" s="1"/>
  <c r="L7" i="33"/>
  <c r="M7" i="33" s="1"/>
  <c r="G13" i="9" s="1"/>
  <c r="L37" i="33"/>
  <c r="M37" i="33" s="1"/>
  <c r="G43" i="9" s="1"/>
  <c r="L182" i="33"/>
  <c r="M182" i="33" s="1"/>
  <c r="G188" i="9" s="1"/>
  <c r="L145" i="33"/>
  <c r="M145" i="33" s="1"/>
  <c r="G151" i="9" s="1"/>
  <c r="L13" i="33"/>
  <c r="M13" i="33" s="1"/>
  <c r="G19" i="9" s="1"/>
  <c r="L20" i="33"/>
  <c r="M20" i="33" s="1"/>
  <c r="G26" i="9" s="1"/>
  <c r="L51" i="33"/>
  <c r="M51" i="33" s="1"/>
  <c r="G57" i="9" s="1"/>
  <c r="L204" i="33"/>
  <c r="M204" i="33" s="1"/>
  <c r="G210" i="9" s="1"/>
  <c r="L188" i="33"/>
  <c r="M188" i="33" s="1"/>
  <c r="G194" i="9" s="1"/>
  <c r="L298" i="33"/>
  <c r="M298" i="33" s="1"/>
  <c r="G304" i="9" s="1"/>
  <c r="L35" i="33"/>
  <c r="M35" i="33" s="1"/>
  <c r="G41" i="9" s="1"/>
  <c r="L90" i="33"/>
  <c r="M90" i="33" s="1"/>
  <c r="G96" i="9" s="1"/>
  <c r="L178" i="33"/>
  <c r="M178" i="33" s="1"/>
  <c r="G184" i="9" s="1"/>
  <c r="L243" i="33"/>
  <c r="M243" i="33" s="1"/>
  <c r="G249" i="9" s="1"/>
  <c r="L253" i="33"/>
  <c r="L19" i="33"/>
  <c r="M19" i="33" s="1"/>
  <c r="G25" i="9" s="1"/>
  <c r="L58" i="33"/>
  <c r="M58" i="33" s="1"/>
  <c r="G64" i="9" s="1"/>
  <c r="L141" i="33"/>
  <c r="M141" i="33" s="1"/>
  <c r="G147" i="9" s="1"/>
  <c r="L216" i="33"/>
  <c r="M216" i="33" s="1"/>
  <c r="G222" i="9" s="1"/>
  <c r="L203" i="33"/>
  <c r="M203" i="33" s="1"/>
  <c r="G209" i="9" s="1"/>
  <c r="L212" i="33"/>
  <c r="M212" i="33" s="1"/>
  <c r="G218" i="9" s="1"/>
  <c r="L280" i="33"/>
  <c r="M280" i="33" s="1"/>
  <c r="G286" i="9" s="1"/>
  <c r="L249" i="33"/>
  <c r="M249" i="33" s="1"/>
  <c r="G255" i="9" s="1"/>
  <c r="L33" i="33"/>
  <c r="M33" i="33" s="1"/>
  <c r="G39" i="9" s="1"/>
  <c r="L62" i="33"/>
  <c r="M62" i="33" s="1"/>
  <c r="G68" i="9" s="1"/>
  <c r="L209" i="33"/>
  <c r="M209" i="33" s="1"/>
  <c r="G215" i="9" s="1"/>
  <c r="L168" i="33"/>
  <c r="M168" i="33" s="1"/>
  <c r="G174" i="9" s="1"/>
  <c r="L60" i="33"/>
  <c r="M60" i="33" s="1"/>
  <c r="G66" i="9" s="1"/>
  <c r="L288" i="33"/>
  <c r="M288" i="33" s="1"/>
  <c r="G294" i="9" s="1"/>
  <c r="L39" i="33"/>
  <c r="M39" i="33" s="1"/>
  <c r="G45" i="9" s="1"/>
  <c r="L22" i="33"/>
  <c r="M22" i="33" s="1"/>
  <c r="G28" i="9" s="1"/>
  <c r="L69" i="33"/>
  <c r="M69" i="33" s="1"/>
  <c r="G75" i="9" s="1"/>
  <c r="L156" i="33"/>
  <c r="M156" i="33" s="1"/>
  <c r="G162" i="9" s="1"/>
  <c r="L251" i="33"/>
  <c r="M251" i="33" s="1"/>
  <c r="G257" i="9" s="1"/>
  <c r="L217" i="33"/>
  <c r="M217" i="33" s="1"/>
  <c r="G223" i="9" s="1"/>
  <c r="L234" i="33"/>
  <c r="M234" i="33" s="1"/>
  <c r="G240" i="9" s="1"/>
  <c r="L277" i="33"/>
  <c r="M277" i="33" s="1"/>
  <c r="G283" i="9" s="1"/>
  <c r="L299" i="33"/>
  <c r="M299" i="33" s="1"/>
  <c r="G305" i="9" s="1"/>
  <c r="L36" i="33"/>
  <c r="M36" i="33" s="1"/>
  <c r="G42" i="9" s="1"/>
  <c r="L44" i="33"/>
  <c r="M44" i="33" s="1"/>
  <c r="G50" i="9" s="1"/>
  <c r="L54" i="33"/>
  <c r="M54" i="33" s="1"/>
  <c r="G60" i="9" s="1"/>
  <c r="L32" i="33"/>
  <c r="M32" i="33" s="1"/>
  <c r="G38" i="9" s="1"/>
  <c r="L192" i="33"/>
  <c r="M192" i="33" s="1"/>
  <c r="G198" i="9" s="1"/>
  <c r="L197" i="33"/>
  <c r="M197" i="33" s="1"/>
  <c r="G203" i="9" s="1"/>
  <c r="L219" i="33"/>
  <c r="M219" i="33" s="1"/>
  <c r="G225" i="9" s="1"/>
  <c r="L172" i="33"/>
  <c r="M172" i="33" s="1"/>
  <c r="G178" i="9" s="1"/>
  <c r="L279" i="33"/>
  <c r="M279" i="33" s="1"/>
  <c r="G285" i="9" s="1"/>
  <c r="L144" i="33"/>
  <c r="M144" i="33" s="1"/>
  <c r="G150" i="9" s="1"/>
  <c r="L129" i="33"/>
  <c r="M129" i="33" s="1"/>
  <c r="G135" i="9" s="1"/>
  <c r="L264" i="33"/>
  <c r="M264" i="33" s="1"/>
  <c r="G270" i="9" s="1"/>
  <c r="L230" i="33"/>
  <c r="M230" i="33" s="1"/>
  <c r="G236" i="9" s="1"/>
  <c r="L225" i="33"/>
  <c r="M225" i="33" s="1"/>
  <c r="G231" i="9" s="1"/>
  <c r="L276" i="33"/>
  <c r="M276" i="33" s="1"/>
  <c r="G282" i="9" s="1"/>
  <c r="L81" i="33"/>
  <c r="M81" i="33" s="1"/>
  <c r="G87" i="9" s="1"/>
  <c r="L125" i="33"/>
  <c r="M125" i="33" s="1"/>
  <c r="G131" i="9" s="1"/>
  <c r="L131" i="33"/>
  <c r="M131" i="33" s="1"/>
  <c r="G137" i="9" s="1"/>
  <c r="L191" i="33"/>
  <c r="M191" i="33" s="1"/>
  <c r="G197" i="9" s="1"/>
  <c r="L123" i="33"/>
  <c r="M123" i="33" s="1"/>
  <c r="G129" i="9" s="1"/>
  <c r="L88" i="33"/>
  <c r="M88" i="33" s="1"/>
  <c r="G94" i="9" s="1"/>
  <c r="L115" i="33"/>
  <c r="M115" i="33" s="1"/>
  <c r="G121" i="9" s="1"/>
  <c r="L184" i="33"/>
  <c r="M184" i="33" s="1"/>
  <c r="G190" i="9" s="1"/>
  <c r="L231" i="33"/>
  <c r="M231" i="33" s="1"/>
  <c r="G237" i="9" s="1"/>
  <c r="L275" i="33"/>
  <c r="M275" i="33" s="1"/>
  <c r="G281" i="9" s="1"/>
  <c r="L262" i="33"/>
  <c r="M262" i="33" s="1"/>
  <c r="G268" i="9" s="1"/>
  <c r="L246" i="33"/>
  <c r="M246" i="33" s="1"/>
  <c r="G252" i="9" s="1"/>
  <c r="L248" i="33"/>
  <c r="M248" i="33" s="1"/>
  <c r="G254" i="9" s="1"/>
  <c r="L302" i="33"/>
  <c r="M302" i="33" s="1"/>
  <c r="G308" i="9" s="1"/>
  <c r="L118" i="33"/>
  <c r="M118" i="33" s="1"/>
  <c r="G124" i="9" s="1"/>
  <c r="L134" i="33"/>
  <c r="M134" i="33" s="1"/>
  <c r="G140" i="9" s="1"/>
  <c r="L100" i="33"/>
  <c r="M100" i="33" s="1"/>
  <c r="G106" i="9" s="1"/>
  <c r="L42" i="33"/>
  <c r="M42" i="33" s="1"/>
  <c r="G48" i="9" s="1"/>
  <c r="L8" i="33"/>
  <c r="M8" i="33" s="1"/>
  <c r="G14" i="9" s="1"/>
  <c r="G263" i="9"/>
  <c r="G230" i="9"/>
  <c r="G196" i="9"/>
  <c r="G145" i="9"/>
  <c r="G227" i="9"/>
  <c r="G56" i="9"/>
  <c r="G226" i="9"/>
  <c r="G23" i="9"/>
  <c r="G217" i="9"/>
  <c r="G128" i="9"/>
  <c r="G63" i="9"/>
  <c r="G27" i="9"/>
  <c r="G144" i="9"/>
  <c r="G110" i="9"/>
  <c r="G175" i="9"/>
  <c r="G246" i="9"/>
  <c r="G298" i="9"/>
  <c r="G213" i="9"/>
  <c r="G310" i="9"/>
  <c r="H305" i="25"/>
  <c r="K39" i="40"/>
  <c r="K40" i="40" s="1"/>
  <c r="H40" i="40" s="1"/>
  <c r="L6" i="33"/>
  <c r="M6" i="33" s="1"/>
  <c r="I6" i="37"/>
  <c r="M201" i="33" l="1"/>
  <c r="B18" i="48"/>
  <c r="M253" i="33"/>
  <c r="I306" i="54"/>
  <c r="M111" i="33"/>
  <c r="M306" i="33" s="1"/>
  <c r="C7" i="9" s="1"/>
  <c r="C8" i="9" s="1"/>
  <c r="G306" i="37"/>
  <c r="C41" i="40"/>
  <c r="M5" i="11" s="1"/>
  <c r="F12" i="34"/>
  <c r="I306" i="37"/>
  <c r="G12" i="9"/>
  <c r="G207" i="9" l="1"/>
  <c r="F18" i="48"/>
  <c r="G259" i="9"/>
  <c r="F6" i="12"/>
  <c r="G117" i="9"/>
  <c r="G312" i="9" s="1"/>
  <c r="M212" i="11"/>
  <c r="M208" i="11"/>
  <c r="M204" i="11"/>
  <c r="M200" i="11"/>
  <c r="M196" i="11"/>
  <c r="M192" i="11"/>
  <c r="M188" i="11"/>
  <c r="M184" i="11"/>
  <c r="M209" i="11"/>
  <c r="M201" i="11"/>
  <c r="E34" i="48" s="1"/>
  <c r="M193" i="11"/>
  <c r="M185" i="11"/>
  <c r="M135" i="11"/>
  <c r="M118" i="11"/>
  <c r="M131" i="11"/>
  <c r="M120" i="11"/>
  <c r="M127" i="11"/>
  <c r="M112" i="11"/>
  <c r="M104" i="11"/>
  <c r="M96" i="11"/>
  <c r="M88" i="11"/>
  <c r="M123" i="11"/>
  <c r="M114" i="11"/>
  <c r="M106" i="11"/>
  <c r="M98" i="11"/>
  <c r="M90" i="11"/>
  <c r="M82" i="11"/>
  <c r="M65" i="11"/>
  <c r="M49" i="11"/>
  <c r="M109" i="11"/>
  <c r="M101" i="11"/>
  <c r="M93" i="11"/>
  <c r="M85" i="11"/>
  <c r="M62" i="11"/>
  <c r="M80" i="11"/>
  <c r="M63" i="11"/>
  <c r="M60" i="11"/>
  <c r="M187" i="11"/>
  <c r="M119" i="11"/>
  <c r="M133" i="11"/>
  <c r="M130" i="11"/>
  <c r="M137" i="11"/>
  <c r="M111" i="11"/>
  <c r="M95" i="11"/>
  <c r="M126" i="11"/>
  <c r="M207" i="11"/>
  <c r="M199" i="11"/>
  <c r="M191" i="11"/>
  <c r="M183" i="11"/>
  <c r="M129" i="11"/>
  <c r="M116" i="11"/>
  <c r="M121" i="11"/>
  <c r="M117" i="11"/>
  <c r="M107" i="11"/>
  <c r="M99" i="11"/>
  <c r="M91" i="11"/>
  <c r="M61" i="11"/>
  <c r="M58" i="11"/>
  <c r="M59" i="11"/>
  <c r="M83" i="11"/>
  <c r="M56" i="11"/>
  <c r="M211" i="11"/>
  <c r="M203" i="11"/>
  <c r="M195" i="11"/>
  <c r="M103" i="11"/>
  <c r="M53" i="11"/>
  <c r="M50" i="11"/>
  <c r="M64" i="11"/>
  <c r="M138" i="11"/>
  <c r="M214" i="11"/>
  <c r="M210" i="11"/>
  <c r="M206" i="11"/>
  <c r="M202" i="11"/>
  <c r="M198" i="11"/>
  <c r="M194" i="11"/>
  <c r="M190" i="11"/>
  <c r="M186" i="11"/>
  <c r="M182" i="11"/>
  <c r="M213" i="11"/>
  <c r="M205" i="11"/>
  <c r="M197" i="11"/>
  <c r="M189" i="11"/>
  <c r="M181" i="11"/>
  <c r="M136" i="11"/>
  <c r="M108" i="11"/>
  <c r="M100" i="11"/>
  <c r="M92" i="11"/>
  <c r="M84" i="11"/>
  <c r="M139" i="11"/>
  <c r="M128" i="11"/>
  <c r="M134" i="11"/>
  <c r="M110" i="11"/>
  <c r="M102" i="11"/>
  <c r="M94" i="11"/>
  <c r="M86" i="11"/>
  <c r="M78" i="11"/>
  <c r="M57" i="11"/>
  <c r="M113" i="11"/>
  <c r="M105" i="11"/>
  <c r="M97" i="11"/>
  <c r="M89" i="11"/>
  <c r="M81" i="11"/>
  <c r="M54" i="11"/>
  <c r="M55" i="11"/>
  <c r="M52" i="11"/>
  <c r="M122" i="11"/>
  <c r="M115" i="11"/>
  <c r="M125" i="11"/>
  <c r="M87" i="11"/>
  <c r="M66" i="11"/>
  <c r="M67" i="11"/>
  <c r="M51" i="11"/>
  <c r="M79" i="11"/>
  <c r="M13" i="11"/>
  <c r="M18" i="11"/>
  <c r="M17" i="11"/>
  <c r="M75" i="11"/>
  <c r="M12" i="11"/>
  <c r="M41" i="11"/>
  <c r="M77" i="11"/>
  <c r="M175" i="11"/>
  <c r="M260" i="11"/>
  <c r="M265" i="11"/>
  <c r="M220" i="11"/>
  <c r="M299" i="11"/>
  <c r="M22" i="11"/>
  <c r="M76" i="11"/>
  <c r="M144" i="11"/>
  <c r="M147" i="11"/>
  <c r="M160" i="11"/>
  <c r="M176" i="11"/>
  <c r="M217" i="11"/>
  <c r="M249" i="11"/>
  <c r="M278" i="11"/>
  <c r="M246" i="11"/>
  <c r="M7" i="11"/>
  <c r="M45" i="11"/>
  <c r="M173" i="11"/>
  <c r="M231" i="11"/>
  <c r="M264" i="11"/>
  <c r="M296" i="11"/>
  <c r="M234" i="11"/>
  <c r="M269" i="11"/>
  <c r="M301" i="11"/>
  <c r="M240" i="11"/>
  <c r="M271" i="11"/>
  <c r="M303" i="11"/>
  <c r="M43" i="11"/>
  <c r="M179" i="11"/>
  <c r="M292" i="11"/>
  <c r="M297" i="11"/>
  <c r="M228" i="11"/>
  <c r="M291" i="11"/>
  <c r="M28" i="11"/>
  <c r="M146" i="11"/>
  <c r="M143" i="11"/>
  <c r="M166" i="11"/>
  <c r="M229" i="11"/>
  <c r="M258" i="11"/>
  <c r="M290" i="11"/>
  <c r="M14" i="11"/>
  <c r="M8" i="11"/>
  <c r="M235" i="11"/>
  <c r="M275" i="11"/>
  <c r="M140" i="11"/>
  <c r="M241" i="11"/>
  <c r="M171" i="11"/>
  <c r="M283" i="11"/>
  <c r="M37" i="11"/>
  <c r="M255" i="11"/>
  <c r="M226" i="11"/>
  <c r="M232" i="11"/>
  <c r="M295" i="11"/>
  <c r="M276" i="11"/>
  <c r="M48" i="11"/>
  <c r="M72" i="11"/>
  <c r="M178" i="11"/>
  <c r="M253" i="11"/>
  <c r="M24" i="11"/>
  <c r="M23" i="11"/>
  <c r="M141" i="11"/>
  <c r="M153" i="11"/>
  <c r="M9" i="11"/>
  <c r="M16" i="11"/>
  <c r="M26" i="11"/>
  <c r="M25" i="11"/>
  <c r="M157" i="11"/>
  <c r="M284" i="11"/>
  <c r="M289" i="11"/>
  <c r="M236" i="11"/>
  <c r="M38" i="11"/>
  <c r="M30" i="11"/>
  <c r="M148" i="11"/>
  <c r="M155" i="11"/>
  <c r="M164" i="11"/>
  <c r="M180" i="11"/>
  <c r="M225" i="11"/>
  <c r="M257" i="11"/>
  <c r="M286" i="11"/>
  <c r="M29" i="11"/>
  <c r="M243" i="11"/>
  <c r="M281" i="11"/>
  <c r="M15" i="11"/>
  <c r="M27" i="11"/>
  <c r="M70" i="11"/>
  <c r="M161" i="11"/>
  <c r="M177" i="11"/>
  <c r="M239" i="11"/>
  <c r="M272" i="11"/>
  <c r="M304" i="11"/>
  <c r="M242" i="11"/>
  <c r="M277" i="11"/>
  <c r="M216" i="11"/>
  <c r="M248" i="11"/>
  <c r="M279" i="11"/>
  <c r="M132" i="11"/>
  <c r="M227" i="11"/>
  <c r="M230" i="11"/>
  <c r="M244" i="11"/>
  <c r="M40" i="11"/>
  <c r="M36" i="11"/>
  <c r="M150" i="11"/>
  <c r="M151" i="11"/>
  <c r="M170" i="11"/>
  <c r="M237" i="11"/>
  <c r="M266" i="11"/>
  <c r="M298" i="11"/>
  <c r="M302" i="11"/>
  <c r="M35" i="11"/>
  <c r="M223" i="11"/>
  <c r="M293" i="11"/>
  <c r="M263" i="11"/>
  <c r="M167" i="11"/>
  <c r="M149" i="11"/>
  <c r="M221" i="11"/>
  <c r="M145" i="11"/>
  <c r="M32" i="11"/>
  <c r="M20" i="11"/>
  <c r="M73" i="11"/>
  <c r="M33" i="11"/>
  <c r="M219" i="11"/>
  <c r="M222" i="11"/>
  <c r="M305" i="11"/>
  <c r="M252" i="11"/>
  <c r="M42" i="11"/>
  <c r="M34" i="11"/>
  <c r="M71" i="11"/>
  <c r="M152" i="11"/>
  <c r="M168" i="11"/>
  <c r="M233" i="11"/>
  <c r="M262" i="11"/>
  <c r="M294" i="11"/>
  <c r="M268" i="11"/>
  <c r="M31" i="11"/>
  <c r="M165" i="11"/>
  <c r="M215" i="11"/>
  <c r="M247" i="11"/>
  <c r="M280" i="11"/>
  <c r="M218" i="11"/>
  <c r="M250" i="11"/>
  <c r="M285" i="11"/>
  <c r="M224" i="11"/>
  <c r="M256" i="11"/>
  <c r="M287" i="11"/>
  <c r="M21" i="11"/>
  <c r="M74" i="11"/>
  <c r="M159" i="11"/>
  <c r="M251" i="11"/>
  <c r="M254" i="11"/>
  <c r="M259" i="11"/>
  <c r="M44" i="11"/>
  <c r="M124" i="11"/>
  <c r="M154" i="11"/>
  <c r="M158" i="11"/>
  <c r="M174" i="11"/>
  <c r="M245" i="11"/>
  <c r="M274" i="11"/>
  <c r="M47" i="11"/>
  <c r="M69" i="11"/>
  <c r="M39" i="11"/>
  <c r="M11" i="11"/>
  <c r="M163" i="11"/>
  <c r="M238" i="11"/>
  <c r="M46" i="11"/>
  <c r="M68" i="11"/>
  <c r="M156" i="11"/>
  <c r="M172" i="11"/>
  <c r="M270" i="11"/>
  <c r="M19" i="11"/>
  <c r="M300" i="11"/>
  <c r="M169" i="11"/>
  <c r="M288" i="11"/>
  <c r="M261" i="11"/>
  <c r="M10" i="11"/>
  <c r="M273" i="11"/>
  <c r="M267" i="11"/>
  <c r="M142" i="11"/>
  <c r="M162" i="11"/>
  <c r="M282" i="11"/>
  <c r="M6" i="11"/>
  <c r="C40" i="40"/>
  <c r="H5" i="11" s="1"/>
  <c r="F312" i="34"/>
  <c r="D7" i="9"/>
  <c r="D8" i="9"/>
  <c r="H7" i="11" l="1"/>
  <c r="O7" i="11" s="1"/>
  <c r="G7" i="12" s="1"/>
  <c r="F7" i="39" s="1"/>
  <c r="H130" i="11"/>
  <c r="O130" i="11" s="1"/>
  <c r="G130" i="12" s="1"/>
  <c r="F130" i="39" s="1"/>
  <c r="H207" i="11"/>
  <c r="O207" i="11" s="1"/>
  <c r="G207" i="12" s="1"/>
  <c r="F207" i="39" s="1"/>
  <c r="H199" i="11"/>
  <c r="O199" i="11" s="1"/>
  <c r="G199" i="12" s="1"/>
  <c r="F199" i="39" s="1"/>
  <c r="H191" i="11"/>
  <c r="O191" i="11" s="1"/>
  <c r="G191" i="12" s="1"/>
  <c r="F191" i="39" s="1"/>
  <c r="H183" i="11"/>
  <c r="O183" i="11" s="1"/>
  <c r="G183" i="12" s="1"/>
  <c r="F183" i="39" s="1"/>
  <c r="H138" i="11"/>
  <c r="O138" i="11" s="1"/>
  <c r="G138" i="12" s="1"/>
  <c r="F138" i="39" s="1"/>
  <c r="H122" i="11"/>
  <c r="O122" i="11" s="1"/>
  <c r="G122" i="12" s="1"/>
  <c r="F122" i="39" s="1"/>
  <c r="H134" i="11"/>
  <c r="O134" i="11" s="1"/>
  <c r="G134" i="12" s="1"/>
  <c r="F134" i="39" s="1"/>
  <c r="H116" i="11"/>
  <c r="O116" i="11" s="1"/>
  <c r="G116" i="12" s="1"/>
  <c r="F116" i="39" s="1"/>
  <c r="H110" i="11"/>
  <c r="O110" i="11" s="1"/>
  <c r="G110" i="12" s="1"/>
  <c r="F110" i="39" s="1"/>
  <c r="H102" i="11"/>
  <c r="O102" i="11" s="1"/>
  <c r="G102" i="12" s="1"/>
  <c r="F102" i="39" s="1"/>
  <c r="H94" i="11"/>
  <c r="O94" i="11" s="1"/>
  <c r="G94" i="12" s="1"/>
  <c r="F94" i="39" s="1"/>
  <c r="H86" i="11"/>
  <c r="O86" i="11" s="1"/>
  <c r="G86" i="12" s="1"/>
  <c r="F86" i="39" s="1"/>
  <c r="H20" i="11"/>
  <c r="O20" i="11" s="1"/>
  <c r="G20" i="12" s="1"/>
  <c r="F20" i="39" s="1"/>
  <c r="H12" i="11"/>
  <c r="O12" i="11" s="1"/>
  <c r="G12" i="12" s="1"/>
  <c r="F12" i="39" s="1"/>
  <c r="H210" i="11"/>
  <c r="O210" i="11" s="1"/>
  <c r="G210" i="12" s="1"/>
  <c r="F210" i="39" s="1"/>
  <c r="H202" i="11"/>
  <c r="O202" i="11" s="1"/>
  <c r="G202" i="12" s="1"/>
  <c r="F202" i="39" s="1"/>
  <c r="H194" i="11"/>
  <c r="O194" i="11" s="1"/>
  <c r="G194" i="12" s="1"/>
  <c r="F194" i="39" s="1"/>
  <c r="H182" i="11"/>
  <c r="O182" i="11" s="1"/>
  <c r="G182" i="12" s="1"/>
  <c r="F182" i="39" s="1"/>
  <c r="H132" i="11"/>
  <c r="O132" i="11" s="1"/>
  <c r="G132" i="12" s="1"/>
  <c r="F132" i="39" s="1"/>
  <c r="H201" i="11"/>
  <c r="H123" i="11"/>
  <c r="O123" i="11" s="1"/>
  <c r="G123" i="12" s="1"/>
  <c r="F123" i="39" s="1"/>
  <c r="H124" i="11"/>
  <c r="O124" i="11" s="1"/>
  <c r="G124" i="12" s="1"/>
  <c r="F124" i="39" s="1"/>
  <c r="H99" i="11"/>
  <c r="O99" i="11" s="1"/>
  <c r="G99" i="12" s="1"/>
  <c r="F99" i="39" s="1"/>
  <c r="H117" i="11"/>
  <c r="O117" i="11" s="1"/>
  <c r="G117" i="12" s="1"/>
  <c r="F117" i="39" s="1"/>
  <c r="H101" i="11"/>
  <c r="O101" i="11" s="1"/>
  <c r="G101" i="12" s="1"/>
  <c r="F101" i="39" s="1"/>
  <c r="H85" i="11"/>
  <c r="O85" i="11" s="1"/>
  <c r="G85" i="12" s="1"/>
  <c r="F85" i="39" s="1"/>
  <c r="H112" i="11"/>
  <c r="O112" i="11" s="1"/>
  <c r="G112" i="12" s="1"/>
  <c r="F112" i="39" s="1"/>
  <c r="H80" i="11"/>
  <c r="O80" i="11" s="1"/>
  <c r="G80" i="12" s="1"/>
  <c r="F80" i="39" s="1"/>
  <c r="H212" i="11"/>
  <c r="O212" i="11" s="1"/>
  <c r="G212" i="12" s="1"/>
  <c r="F212" i="39" s="1"/>
  <c r="H208" i="11"/>
  <c r="O208" i="11" s="1"/>
  <c r="G208" i="12" s="1"/>
  <c r="F208" i="39" s="1"/>
  <c r="H204" i="11"/>
  <c r="O204" i="11" s="1"/>
  <c r="G204" i="12" s="1"/>
  <c r="F204" i="39" s="1"/>
  <c r="H200" i="11"/>
  <c r="O200" i="11" s="1"/>
  <c r="G200" i="12" s="1"/>
  <c r="F200" i="39" s="1"/>
  <c r="H196" i="11"/>
  <c r="O196" i="11" s="1"/>
  <c r="G196" i="12" s="1"/>
  <c r="F196" i="39" s="1"/>
  <c r="H192" i="11"/>
  <c r="O192" i="11" s="1"/>
  <c r="G192" i="12" s="1"/>
  <c r="F192" i="39" s="1"/>
  <c r="H188" i="11"/>
  <c r="O188" i="11" s="1"/>
  <c r="G188" i="12" s="1"/>
  <c r="F188" i="39" s="1"/>
  <c r="H184" i="11"/>
  <c r="O184" i="11" s="1"/>
  <c r="G184" i="12" s="1"/>
  <c r="F184" i="39" s="1"/>
  <c r="H135" i="11"/>
  <c r="O135" i="11" s="1"/>
  <c r="G135" i="12" s="1"/>
  <c r="F135" i="39" s="1"/>
  <c r="H129" i="11"/>
  <c r="O129" i="11" s="1"/>
  <c r="G129" i="12" s="1"/>
  <c r="F129" i="39" s="1"/>
  <c r="H213" i="11"/>
  <c r="O213" i="11" s="1"/>
  <c r="G213" i="12" s="1"/>
  <c r="F213" i="39" s="1"/>
  <c r="H205" i="11"/>
  <c r="O205" i="11" s="1"/>
  <c r="G205" i="12" s="1"/>
  <c r="F205" i="39" s="1"/>
  <c r="H197" i="11"/>
  <c r="O197" i="11" s="1"/>
  <c r="G197" i="12" s="1"/>
  <c r="F197" i="39" s="1"/>
  <c r="H189" i="11"/>
  <c r="O189" i="11" s="1"/>
  <c r="G189" i="12" s="1"/>
  <c r="F189" i="39" s="1"/>
  <c r="H181" i="11"/>
  <c r="O181" i="11" s="1"/>
  <c r="G181" i="12" s="1"/>
  <c r="F181" i="39" s="1"/>
  <c r="H139" i="11"/>
  <c r="O139" i="11" s="1"/>
  <c r="G139" i="12" s="1"/>
  <c r="F139" i="39" s="1"/>
  <c r="H137" i="11"/>
  <c r="O137" i="11" s="1"/>
  <c r="G137" i="12" s="1"/>
  <c r="F137" i="39" s="1"/>
  <c r="H127" i="11"/>
  <c r="O127" i="11" s="1"/>
  <c r="G127" i="12" s="1"/>
  <c r="F127" i="39" s="1"/>
  <c r="H121" i="11"/>
  <c r="O121" i="11" s="1"/>
  <c r="G121" i="12" s="1"/>
  <c r="F121" i="39" s="1"/>
  <c r="H111" i="11"/>
  <c r="H103" i="11"/>
  <c r="O103" i="11" s="1"/>
  <c r="G103" i="12" s="1"/>
  <c r="F103" i="39" s="1"/>
  <c r="H95" i="11"/>
  <c r="O95" i="11" s="1"/>
  <c r="G95" i="12" s="1"/>
  <c r="F95" i="39" s="1"/>
  <c r="H87" i="11"/>
  <c r="O87" i="11" s="1"/>
  <c r="G87" i="12" s="1"/>
  <c r="F87" i="39" s="1"/>
  <c r="H131" i="11"/>
  <c r="O131" i="11" s="1"/>
  <c r="G131" i="12" s="1"/>
  <c r="F131" i="39" s="1"/>
  <c r="H113" i="11"/>
  <c r="O113" i="11" s="1"/>
  <c r="G113" i="12" s="1"/>
  <c r="F113" i="39" s="1"/>
  <c r="H105" i="11"/>
  <c r="O105" i="11" s="1"/>
  <c r="G105" i="12" s="1"/>
  <c r="F105" i="39" s="1"/>
  <c r="H97" i="11"/>
  <c r="O97" i="11" s="1"/>
  <c r="G97" i="12" s="1"/>
  <c r="F97" i="39" s="1"/>
  <c r="H89" i="11"/>
  <c r="O89" i="11" s="1"/>
  <c r="G89" i="12" s="1"/>
  <c r="F89" i="39" s="1"/>
  <c r="H81" i="11"/>
  <c r="O81" i="11" s="1"/>
  <c r="G81" i="12" s="1"/>
  <c r="F81" i="39" s="1"/>
  <c r="H108" i="11"/>
  <c r="O108" i="11" s="1"/>
  <c r="G108" i="12" s="1"/>
  <c r="F108" i="39" s="1"/>
  <c r="H100" i="11"/>
  <c r="O100" i="11" s="1"/>
  <c r="G100" i="12" s="1"/>
  <c r="F100" i="39" s="1"/>
  <c r="H92" i="11"/>
  <c r="O92" i="11" s="1"/>
  <c r="G92" i="12" s="1"/>
  <c r="F92" i="39" s="1"/>
  <c r="H84" i="11"/>
  <c r="O84" i="11" s="1"/>
  <c r="G84" i="12" s="1"/>
  <c r="F84" i="39" s="1"/>
  <c r="H79" i="11"/>
  <c r="O79" i="11" s="1"/>
  <c r="G79" i="12" s="1"/>
  <c r="F79" i="39" s="1"/>
  <c r="H49" i="11"/>
  <c r="O49" i="11" s="1"/>
  <c r="G49" i="12" s="1"/>
  <c r="F49" i="39" s="1"/>
  <c r="H9" i="11"/>
  <c r="O9" i="11" s="1"/>
  <c r="G9" i="12" s="1"/>
  <c r="F9" i="39" s="1"/>
  <c r="H18" i="11"/>
  <c r="O18" i="11" s="1"/>
  <c r="G18" i="12" s="1"/>
  <c r="F18" i="39" s="1"/>
  <c r="H10" i="11"/>
  <c r="O10" i="11" s="1"/>
  <c r="G10" i="12" s="1"/>
  <c r="F10" i="39" s="1"/>
  <c r="H214" i="11"/>
  <c r="O214" i="11" s="1"/>
  <c r="G214" i="12" s="1"/>
  <c r="F214" i="39" s="1"/>
  <c r="H206" i="11"/>
  <c r="O206" i="11" s="1"/>
  <c r="G206" i="12" s="1"/>
  <c r="F206" i="39" s="1"/>
  <c r="H198" i="11"/>
  <c r="O198" i="11" s="1"/>
  <c r="G198" i="12" s="1"/>
  <c r="F198" i="39" s="1"/>
  <c r="H186" i="11"/>
  <c r="O186" i="11" s="1"/>
  <c r="G186" i="12" s="1"/>
  <c r="F186" i="39" s="1"/>
  <c r="H193" i="11"/>
  <c r="O193" i="11" s="1"/>
  <c r="G193" i="12" s="1"/>
  <c r="F193" i="39" s="1"/>
  <c r="H115" i="11"/>
  <c r="O115" i="11" s="1"/>
  <c r="G115" i="12" s="1"/>
  <c r="F115" i="39" s="1"/>
  <c r="H91" i="11"/>
  <c r="O91" i="11" s="1"/>
  <c r="G91" i="12" s="1"/>
  <c r="F91" i="39" s="1"/>
  <c r="H109" i="11"/>
  <c r="O109" i="11" s="1"/>
  <c r="G109" i="12" s="1"/>
  <c r="F109" i="39" s="1"/>
  <c r="H104" i="11"/>
  <c r="O104" i="11" s="1"/>
  <c r="G104" i="12" s="1"/>
  <c r="F104" i="39" s="1"/>
  <c r="H88" i="11"/>
  <c r="O88" i="11" s="1"/>
  <c r="G88" i="12" s="1"/>
  <c r="F88" i="39" s="1"/>
  <c r="H14" i="11"/>
  <c r="O14" i="11" s="1"/>
  <c r="G14" i="12" s="1"/>
  <c r="F14" i="39" s="1"/>
  <c r="H118" i="11"/>
  <c r="O118" i="11" s="1"/>
  <c r="G118" i="12" s="1"/>
  <c r="F118" i="39" s="1"/>
  <c r="H133" i="11"/>
  <c r="O133" i="11" s="1"/>
  <c r="G133" i="12" s="1"/>
  <c r="F133" i="39" s="1"/>
  <c r="H128" i="11"/>
  <c r="O128" i="11" s="1"/>
  <c r="G128" i="12" s="1"/>
  <c r="F128" i="39" s="1"/>
  <c r="H211" i="11"/>
  <c r="O211" i="11" s="1"/>
  <c r="G211" i="12" s="1"/>
  <c r="F211" i="39" s="1"/>
  <c r="H203" i="11"/>
  <c r="O203" i="11" s="1"/>
  <c r="G203" i="12" s="1"/>
  <c r="F203" i="39" s="1"/>
  <c r="H195" i="11"/>
  <c r="O195" i="11" s="1"/>
  <c r="G195" i="12" s="1"/>
  <c r="F195" i="39" s="1"/>
  <c r="H187" i="11"/>
  <c r="O187" i="11" s="1"/>
  <c r="G187" i="12" s="1"/>
  <c r="F187" i="39" s="1"/>
  <c r="H126" i="11"/>
  <c r="O126" i="11" s="1"/>
  <c r="G126" i="12" s="1"/>
  <c r="F126" i="39" s="1"/>
  <c r="H136" i="11"/>
  <c r="O136" i="11" s="1"/>
  <c r="G136" i="12" s="1"/>
  <c r="F136" i="39" s="1"/>
  <c r="H125" i="11"/>
  <c r="O125" i="11" s="1"/>
  <c r="G125" i="12" s="1"/>
  <c r="F125" i="39" s="1"/>
  <c r="H120" i="11"/>
  <c r="O120" i="11" s="1"/>
  <c r="G120" i="12" s="1"/>
  <c r="F120" i="39" s="1"/>
  <c r="H119" i="11"/>
  <c r="O119" i="11" s="1"/>
  <c r="G119" i="12" s="1"/>
  <c r="F119" i="39" s="1"/>
  <c r="H114" i="11"/>
  <c r="O114" i="11" s="1"/>
  <c r="G114" i="12" s="1"/>
  <c r="F114" i="39" s="1"/>
  <c r="H106" i="11"/>
  <c r="O106" i="11" s="1"/>
  <c r="G106" i="12" s="1"/>
  <c r="F106" i="39" s="1"/>
  <c r="H98" i="11"/>
  <c r="O98" i="11" s="1"/>
  <c r="G98" i="12" s="1"/>
  <c r="F98" i="39" s="1"/>
  <c r="H90" i="11"/>
  <c r="O90" i="11" s="1"/>
  <c r="G90" i="12" s="1"/>
  <c r="F90" i="39" s="1"/>
  <c r="H82" i="11"/>
  <c r="O82" i="11" s="1"/>
  <c r="G82" i="12" s="1"/>
  <c r="F82" i="39" s="1"/>
  <c r="H15" i="11"/>
  <c r="O15" i="11" s="1"/>
  <c r="G15" i="12" s="1"/>
  <c r="F15" i="39" s="1"/>
  <c r="H16" i="11"/>
  <c r="O16" i="11" s="1"/>
  <c r="G16" i="12" s="1"/>
  <c r="F16" i="39" s="1"/>
  <c r="H8" i="11"/>
  <c r="O8" i="11" s="1"/>
  <c r="G8" i="12" s="1"/>
  <c r="F8" i="39" s="1"/>
  <c r="H190" i="11"/>
  <c r="O190" i="11" s="1"/>
  <c r="G190" i="12" s="1"/>
  <c r="F190" i="39" s="1"/>
  <c r="H209" i="11"/>
  <c r="O209" i="11" s="1"/>
  <c r="G209" i="12" s="1"/>
  <c r="F209" i="39" s="1"/>
  <c r="H185" i="11"/>
  <c r="O185" i="11" s="1"/>
  <c r="G185" i="12" s="1"/>
  <c r="F185" i="39" s="1"/>
  <c r="H107" i="11"/>
  <c r="O107" i="11" s="1"/>
  <c r="G107" i="12" s="1"/>
  <c r="F107" i="39" s="1"/>
  <c r="H93" i="11"/>
  <c r="O93" i="11" s="1"/>
  <c r="G93" i="12" s="1"/>
  <c r="F93" i="39" s="1"/>
  <c r="H96" i="11"/>
  <c r="O96" i="11" s="1"/>
  <c r="G96" i="12" s="1"/>
  <c r="F96" i="39" s="1"/>
  <c r="H83" i="11"/>
  <c r="O83" i="11" s="1"/>
  <c r="G83" i="12" s="1"/>
  <c r="F83" i="39" s="1"/>
  <c r="H17" i="11"/>
  <c r="O17" i="11" s="1"/>
  <c r="G17" i="12" s="1"/>
  <c r="F17" i="39" s="1"/>
  <c r="H144" i="11"/>
  <c r="O144" i="11" s="1"/>
  <c r="G144" i="12" s="1"/>
  <c r="F144" i="39" s="1"/>
  <c r="H77" i="11"/>
  <c r="O77" i="11" s="1"/>
  <c r="G77" i="12" s="1"/>
  <c r="F77" i="39" s="1"/>
  <c r="H148" i="11"/>
  <c r="O148" i="11" s="1"/>
  <c r="G148" i="12" s="1"/>
  <c r="F148" i="39" s="1"/>
  <c r="H23" i="11"/>
  <c r="O23" i="11" s="1"/>
  <c r="G23" i="12" s="1"/>
  <c r="F23" i="39" s="1"/>
  <c r="H40" i="11"/>
  <c r="O40" i="11" s="1"/>
  <c r="G40" i="12" s="1"/>
  <c r="F40" i="39" s="1"/>
  <c r="H32" i="11"/>
  <c r="O32" i="11" s="1"/>
  <c r="G32" i="12" s="1"/>
  <c r="F32" i="39" s="1"/>
  <c r="H166" i="11"/>
  <c r="O166" i="11" s="1"/>
  <c r="G166" i="12" s="1"/>
  <c r="F166" i="39" s="1"/>
  <c r="H245" i="11"/>
  <c r="O245" i="11" s="1"/>
  <c r="G245" i="12" s="1"/>
  <c r="F245" i="39" s="1"/>
  <c r="H29" i="11"/>
  <c r="H56" i="11"/>
  <c r="O56" i="11" s="1"/>
  <c r="G56" i="12" s="1"/>
  <c r="F56" i="39" s="1"/>
  <c r="H167" i="11"/>
  <c r="O167" i="11" s="1"/>
  <c r="G167" i="12" s="1"/>
  <c r="F167" i="39" s="1"/>
  <c r="H235" i="11"/>
  <c r="O235" i="11" s="1"/>
  <c r="G235" i="12" s="1"/>
  <c r="F235" i="39" s="1"/>
  <c r="H268" i="11"/>
  <c r="O268" i="11" s="1"/>
  <c r="G268" i="12" s="1"/>
  <c r="F268" i="39" s="1"/>
  <c r="H300" i="11"/>
  <c r="O300" i="11" s="1"/>
  <c r="G300" i="12" s="1"/>
  <c r="F300" i="39" s="1"/>
  <c r="H246" i="11"/>
  <c r="O246" i="11" s="1"/>
  <c r="G246" i="12" s="1"/>
  <c r="F246" i="39" s="1"/>
  <c r="H281" i="11"/>
  <c r="O281" i="11" s="1"/>
  <c r="G281" i="12" s="1"/>
  <c r="F281" i="39" s="1"/>
  <c r="H220" i="11"/>
  <c r="O220" i="11" s="1"/>
  <c r="G220" i="12" s="1"/>
  <c r="F220" i="39" s="1"/>
  <c r="H252" i="11"/>
  <c r="O252" i="11" s="1"/>
  <c r="G252" i="12" s="1"/>
  <c r="F252" i="39" s="1"/>
  <c r="H283" i="11"/>
  <c r="O283" i="11" s="1"/>
  <c r="G283" i="12" s="1"/>
  <c r="F283" i="39" s="1"/>
  <c r="H48" i="11"/>
  <c r="O48" i="11" s="1"/>
  <c r="G48" i="12" s="1"/>
  <c r="F48" i="39" s="1"/>
  <c r="H63" i="11"/>
  <c r="O63" i="11" s="1"/>
  <c r="G63" i="12" s="1"/>
  <c r="F63" i="39" s="1"/>
  <c r="H162" i="11"/>
  <c r="O162" i="11" s="1"/>
  <c r="G162" i="12" s="1"/>
  <c r="F162" i="39" s="1"/>
  <c r="H140" i="11"/>
  <c r="O140" i="11" s="1"/>
  <c r="G140" i="12" s="1"/>
  <c r="F140" i="39" s="1"/>
  <c r="H46" i="11"/>
  <c r="O46" i="11" s="1"/>
  <c r="G46" i="12" s="1"/>
  <c r="F46" i="39" s="1"/>
  <c r="H25" i="11"/>
  <c r="O25" i="11" s="1"/>
  <c r="G25" i="12" s="1"/>
  <c r="F25" i="39" s="1"/>
  <c r="H43" i="11"/>
  <c r="O43" i="11" s="1"/>
  <c r="G43" i="12" s="1"/>
  <c r="F43" i="39" s="1"/>
  <c r="H65" i="11"/>
  <c r="O65" i="11" s="1"/>
  <c r="G65" i="12" s="1"/>
  <c r="F65" i="39" s="1"/>
  <c r="H172" i="11"/>
  <c r="O172" i="11" s="1"/>
  <c r="G172" i="12" s="1"/>
  <c r="F172" i="39" s="1"/>
  <c r="H155" i="11"/>
  <c r="O155" i="11" s="1"/>
  <c r="G155" i="12" s="1"/>
  <c r="F155" i="39" s="1"/>
  <c r="H241" i="11"/>
  <c r="O241" i="11" s="1"/>
  <c r="G241" i="12" s="1"/>
  <c r="F241" i="39" s="1"/>
  <c r="H270" i="11"/>
  <c r="O270" i="11" s="1"/>
  <c r="G270" i="12" s="1"/>
  <c r="F270" i="39" s="1"/>
  <c r="H302" i="11"/>
  <c r="O302" i="11" s="1"/>
  <c r="G302" i="12" s="1"/>
  <c r="F302" i="39" s="1"/>
  <c r="H39" i="11"/>
  <c r="O39" i="11" s="1"/>
  <c r="G39" i="12" s="1"/>
  <c r="F39" i="39" s="1"/>
  <c r="H170" i="11"/>
  <c r="O170" i="11" s="1"/>
  <c r="G170" i="12" s="1"/>
  <c r="F170" i="39" s="1"/>
  <c r="H258" i="11"/>
  <c r="O258" i="11" s="1"/>
  <c r="G258" i="12" s="1"/>
  <c r="F258" i="39" s="1"/>
  <c r="H69" i="11"/>
  <c r="O69" i="11" s="1"/>
  <c r="G69" i="12" s="1"/>
  <c r="F69" i="39" s="1"/>
  <c r="H58" i="11"/>
  <c r="O58" i="11" s="1"/>
  <c r="G58" i="12" s="1"/>
  <c r="F58" i="39" s="1"/>
  <c r="H68" i="11"/>
  <c r="O68" i="11" s="1"/>
  <c r="G68" i="12" s="1"/>
  <c r="F68" i="39" s="1"/>
  <c r="H165" i="11"/>
  <c r="O165" i="11" s="1"/>
  <c r="G165" i="12" s="1"/>
  <c r="F165" i="39" s="1"/>
  <c r="H215" i="11"/>
  <c r="O215" i="11" s="1"/>
  <c r="G215" i="12" s="1"/>
  <c r="F215" i="39" s="1"/>
  <c r="H247" i="11"/>
  <c r="O247" i="11" s="1"/>
  <c r="G247" i="12" s="1"/>
  <c r="F247" i="39" s="1"/>
  <c r="H280" i="11"/>
  <c r="O280" i="11" s="1"/>
  <c r="G280" i="12" s="1"/>
  <c r="F280" i="39" s="1"/>
  <c r="H218" i="11"/>
  <c r="O218" i="11" s="1"/>
  <c r="G218" i="12" s="1"/>
  <c r="F218" i="39" s="1"/>
  <c r="H250" i="11"/>
  <c r="O250" i="11" s="1"/>
  <c r="G250" i="12" s="1"/>
  <c r="F250" i="39" s="1"/>
  <c r="H285" i="11"/>
  <c r="O285" i="11" s="1"/>
  <c r="G285" i="12" s="1"/>
  <c r="F285" i="39" s="1"/>
  <c r="H232" i="11"/>
  <c r="O232" i="11" s="1"/>
  <c r="G232" i="12" s="1"/>
  <c r="F232" i="39" s="1"/>
  <c r="H263" i="11"/>
  <c r="O263" i="11" s="1"/>
  <c r="G263" i="12" s="1"/>
  <c r="F263" i="39" s="1"/>
  <c r="H295" i="11"/>
  <c r="O295" i="11" s="1"/>
  <c r="G295" i="12" s="1"/>
  <c r="F295" i="39" s="1"/>
  <c r="H153" i="11"/>
  <c r="O153" i="11" s="1"/>
  <c r="G153" i="12" s="1"/>
  <c r="F153" i="39" s="1"/>
  <c r="H36" i="11"/>
  <c r="O36" i="11" s="1"/>
  <c r="G36" i="12" s="1"/>
  <c r="F36" i="39" s="1"/>
  <c r="H71" i="11"/>
  <c r="O71" i="11" s="1"/>
  <c r="G71" i="12" s="1"/>
  <c r="F71" i="39" s="1"/>
  <c r="H151" i="11"/>
  <c r="O151" i="11" s="1"/>
  <c r="G151" i="12" s="1"/>
  <c r="F151" i="39" s="1"/>
  <c r="H229" i="11"/>
  <c r="O229" i="11" s="1"/>
  <c r="G229" i="12" s="1"/>
  <c r="F229" i="39" s="1"/>
  <c r="H52" i="11"/>
  <c r="O52" i="11" s="1"/>
  <c r="G52" i="12" s="1"/>
  <c r="F52" i="39" s="1"/>
  <c r="H163" i="11"/>
  <c r="O163" i="11" s="1"/>
  <c r="G163" i="12" s="1"/>
  <c r="F163" i="39" s="1"/>
  <c r="H179" i="11"/>
  <c r="O179" i="11" s="1"/>
  <c r="G179" i="12" s="1"/>
  <c r="F179" i="39" s="1"/>
  <c r="H227" i="11"/>
  <c r="O227" i="11" s="1"/>
  <c r="G227" i="12" s="1"/>
  <c r="F227" i="39" s="1"/>
  <c r="H292" i="11"/>
  <c r="O292" i="11" s="1"/>
  <c r="G292" i="12" s="1"/>
  <c r="F292" i="39" s="1"/>
  <c r="H273" i="11"/>
  <c r="O273" i="11" s="1"/>
  <c r="G273" i="12" s="1"/>
  <c r="F273" i="39" s="1"/>
  <c r="H244" i="11"/>
  <c r="O244" i="11" s="1"/>
  <c r="G244" i="12" s="1"/>
  <c r="F244" i="39" s="1"/>
  <c r="H51" i="11"/>
  <c r="O51" i="11" s="1"/>
  <c r="G51" i="12" s="1"/>
  <c r="F51" i="39" s="1"/>
  <c r="H24" i="11"/>
  <c r="O24" i="11" s="1"/>
  <c r="G24" i="12" s="1"/>
  <c r="F24" i="39" s="1"/>
  <c r="H147" i="11"/>
  <c r="O147" i="11" s="1"/>
  <c r="G147" i="12" s="1"/>
  <c r="F147" i="39" s="1"/>
  <c r="H233" i="11"/>
  <c r="O233" i="11" s="1"/>
  <c r="G233" i="12" s="1"/>
  <c r="F233" i="39" s="1"/>
  <c r="H70" i="11"/>
  <c r="O70" i="11" s="1"/>
  <c r="G70" i="12" s="1"/>
  <c r="F70" i="39" s="1"/>
  <c r="H253" i="11"/>
  <c r="H161" i="11"/>
  <c r="O161" i="11" s="1"/>
  <c r="G161" i="12" s="1"/>
  <c r="F161" i="39" s="1"/>
  <c r="H304" i="11"/>
  <c r="O304" i="11" s="1"/>
  <c r="G304" i="12" s="1"/>
  <c r="F304" i="39" s="1"/>
  <c r="H242" i="11"/>
  <c r="O242" i="11" s="1"/>
  <c r="G242" i="12" s="1"/>
  <c r="F242" i="39" s="1"/>
  <c r="H224" i="11"/>
  <c r="O224" i="11" s="1"/>
  <c r="G224" i="12" s="1"/>
  <c r="F224" i="39" s="1"/>
  <c r="H287" i="11"/>
  <c r="O287" i="11" s="1"/>
  <c r="G287" i="12" s="1"/>
  <c r="F287" i="39" s="1"/>
  <c r="H152" i="11"/>
  <c r="O152" i="11" s="1"/>
  <c r="G152" i="12" s="1"/>
  <c r="F152" i="39" s="1"/>
  <c r="H28" i="11"/>
  <c r="O28" i="11" s="1"/>
  <c r="G28" i="12" s="1"/>
  <c r="F28" i="39" s="1"/>
  <c r="H22" i="11"/>
  <c r="O22" i="11" s="1"/>
  <c r="G22" i="12" s="1"/>
  <c r="F22" i="39" s="1"/>
  <c r="H55" i="11"/>
  <c r="O55" i="11" s="1"/>
  <c r="G55" i="12" s="1"/>
  <c r="F55" i="39" s="1"/>
  <c r="H142" i="11"/>
  <c r="O142" i="11" s="1"/>
  <c r="G142" i="12" s="1"/>
  <c r="F142" i="39" s="1"/>
  <c r="H178" i="11"/>
  <c r="O178" i="11" s="1"/>
  <c r="G178" i="12" s="1"/>
  <c r="F178" i="39" s="1"/>
  <c r="H266" i="11"/>
  <c r="O266" i="11" s="1"/>
  <c r="G266" i="12" s="1"/>
  <c r="F266" i="39" s="1"/>
  <c r="H73" i="11"/>
  <c r="O73" i="11" s="1"/>
  <c r="G73" i="12" s="1"/>
  <c r="F73" i="39" s="1"/>
  <c r="H60" i="11"/>
  <c r="O60" i="11" s="1"/>
  <c r="G60" i="12" s="1"/>
  <c r="F60" i="39" s="1"/>
  <c r="H72" i="11"/>
  <c r="O72" i="11" s="1"/>
  <c r="G72" i="12" s="1"/>
  <c r="F72" i="39" s="1"/>
  <c r="H171" i="11"/>
  <c r="O171" i="11" s="1"/>
  <c r="G171" i="12" s="1"/>
  <c r="F171" i="39" s="1"/>
  <c r="H243" i="11"/>
  <c r="O243" i="11" s="1"/>
  <c r="G243" i="12" s="1"/>
  <c r="F243" i="39" s="1"/>
  <c r="H276" i="11"/>
  <c r="O276" i="11" s="1"/>
  <c r="G276" i="12" s="1"/>
  <c r="F276" i="39" s="1"/>
  <c r="H222" i="11"/>
  <c r="O222" i="11" s="1"/>
  <c r="G222" i="12" s="1"/>
  <c r="F222" i="39" s="1"/>
  <c r="H254" i="11"/>
  <c r="O254" i="11" s="1"/>
  <c r="G254" i="12" s="1"/>
  <c r="F254" i="39" s="1"/>
  <c r="H289" i="11"/>
  <c r="O289" i="11" s="1"/>
  <c r="G289" i="12" s="1"/>
  <c r="F289" i="39" s="1"/>
  <c r="H228" i="11"/>
  <c r="O228" i="11" s="1"/>
  <c r="G228" i="12" s="1"/>
  <c r="F228" i="39" s="1"/>
  <c r="H259" i="11"/>
  <c r="O259" i="11" s="1"/>
  <c r="G259" i="12" s="1"/>
  <c r="F259" i="39" s="1"/>
  <c r="H291" i="11"/>
  <c r="O291" i="11" s="1"/>
  <c r="G291" i="12" s="1"/>
  <c r="F291" i="39" s="1"/>
  <c r="H35" i="11"/>
  <c r="O35" i="11" s="1"/>
  <c r="G35" i="12" s="1"/>
  <c r="F35" i="39" s="1"/>
  <c r="H174" i="11"/>
  <c r="O174" i="11" s="1"/>
  <c r="G174" i="12" s="1"/>
  <c r="F174" i="39" s="1"/>
  <c r="H45" i="11"/>
  <c r="O45" i="11" s="1"/>
  <c r="G45" i="12" s="1"/>
  <c r="F45" i="39" s="1"/>
  <c r="H53" i="11"/>
  <c r="O53" i="11" s="1"/>
  <c r="G53" i="12" s="1"/>
  <c r="F53" i="39" s="1"/>
  <c r="H160" i="11"/>
  <c r="O160" i="11" s="1"/>
  <c r="G160" i="12" s="1"/>
  <c r="F160" i="39" s="1"/>
  <c r="H176" i="11"/>
  <c r="O176" i="11" s="1"/>
  <c r="G176" i="12" s="1"/>
  <c r="F176" i="39" s="1"/>
  <c r="H217" i="11"/>
  <c r="O217" i="11" s="1"/>
  <c r="G217" i="12" s="1"/>
  <c r="F217" i="39" s="1"/>
  <c r="H249" i="11"/>
  <c r="O249" i="11" s="1"/>
  <c r="G249" i="12" s="1"/>
  <c r="F249" i="39" s="1"/>
  <c r="H278" i="11"/>
  <c r="O278" i="11" s="1"/>
  <c r="G278" i="12" s="1"/>
  <c r="F278" i="39" s="1"/>
  <c r="H44" i="11"/>
  <c r="O44" i="11" s="1"/>
  <c r="G44" i="12" s="1"/>
  <c r="F44" i="39" s="1"/>
  <c r="H59" i="11"/>
  <c r="O59" i="11" s="1"/>
  <c r="G59" i="12" s="1"/>
  <c r="F59" i="39" s="1"/>
  <c r="H149" i="11"/>
  <c r="O149" i="11" s="1"/>
  <c r="G149" i="12" s="1"/>
  <c r="F149" i="39" s="1"/>
  <c r="H156" i="11"/>
  <c r="O156" i="11" s="1"/>
  <c r="G156" i="12" s="1"/>
  <c r="F156" i="39" s="1"/>
  <c r="H274" i="11"/>
  <c r="O274" i="11" s="1"/>
  <c r="G274" i="12" s="1"/>
  <c r="F274" i="39" s="1"/>
  <c r="H19" i="11"/>
  <c r="O19" i="11" s="1"/>
  <c r="G19" i="12" s="1"/>
  <c r="F19" i="39" s="1"/>
  <c r="H62" i="11"/>
  <c r="O62" i="11" s="1"/>
  <c r="G62" i="12" s="1"/>
  <c r="F62" i="39" s="1"/>
  <c r="H76" i="11"/>
  <c r="O76" i="11" s="1"/>
  <c r="G76" i="12" s="1"/>
  <c r="F76" i="39" s="1"/>
  <c r="H169" i="11"/>
  <c r="O169" i="11" s="1"/>
  <c r="G169" i="12" s="1"/>
  <c r="H223" i="11"/>
  <c r="O223" i="11" s="1"/>
  <c r="G223" i="12" s="1"/>
  <c r="F223" i="39" s="1"/>
  <c r="H255" i="11"/>
  <c r="O255" i="11" s="1"/>
  <c r="G255" i="12" s="1"/>
  <c r="F255" i="39" s="1"/>
  <c r="H288" i="11"/>
  <c r="O288" i="11" s="1"/>
  <c r="G288" i="12" s="1"/>
  <c r="F288" i="39" s="1"/>
  <c r="H226" i="11"/>
  <c r="O226" i="11" s="1"/>
  <c r="G226" i="12" s="1"/>
  <c r="F226" i="39" s="1"/>
  <c r="H261" i="11"/>
  <c r="O261" i="11" s="1"/>
  <c r="G261" i="12" s="1"/>
  <c r="F261" i="39" s="1"/>
  <c r="H293" i="11"/>
  <c r="O293" i="11" s="1"/>
  <c r="G293" i="12" s="1"/>
  <c r="F293" i="39" s="1"/>
  <c r="H240" i="11"/>
  <c r="O240" i="11" s="1"/>
  <c r="G240" i="12" s="1"/>
  <c r="F240" i="39" s="1"/>
  <c r="H271" i="11"/>
  <c r="O271" i="11" s="1"/>
  <c r="G271" i="12" s="1"/>
  <c r="F271" i="39" s="1"/>
  <c r="H303" i="11"/>
  <c r="O303" i="11" s="1"/>
  <c r="G303" i="12" s="1"/>
  <c r="F303" i="39" s="1"/>
  <c r="H47" i="11"/>
  <c r="O47" i="11" s="1"/>
  <c r="G47" i="12" s="1"/>
  <c r="F47" i="39" s="1"/>
  <c r="H54" i="11"/>
  <c r="O54" i="11" s="1"/>
  <c r="G54" i="12" s="1"/>
  <c r="F54" i="39" s="1"/>
  <c r="H177" i="11"/>
  <c r="O177" i="11" s="1"/>
  <c r="G177" i="12" s="1"/>
  <c r="F177" i="39" s="1"/>
  <c r="H272" i="11"/>
  <c r="O272" i="11" s="1"/>
  <c r="G272" i="12" s="1"/>
  <c r="F272" i="39" s="1"/>
  <c r="H256" i="11"/>
  <c r="O256" i="11" s="1"/>
  <c r="G256" i="12" s="1"/>
  <c r="F256" i="39" s="1"/>
  <c r="H41" i="11"/>
  <c r="O41" i="11" s="1"/>
  <c r="G41" i="12" s="1"/>
  <c r="F41" i="39" s="1"/>
  <c r="H27" i="11"/>
  <c r="O27" i="11" s="1"/>
  <c r="G27" i="12" s="1"/>
  <c r="F27" i="39" s="1"/>
  <c r="H145" i="11"/>
  <c r="O145" i="11" s="1"/>
  <c r="G145" i="12" s="1"/>
  <c r="F145" i="39" s="1"/>
  <c r="H34" i="11"/>
  <c r="O34" i="11" s="1"/>
  <c r="G34" i="12" s="1"/>
  <c r="F34" i="39" s="1"/>
  <c r="H30" i="11"/>
  <c r="O30" i="11" s="1"/>
  <c r="G30" i="12" s="1"/>
  <c r="F30" i="39" s="1"/>
  <c r="H26" i="11"/>
  <c r="O26" i="11" s="1"/>
  <c r="G26" i="12" s="1"/>
  <c r="F26" i="39" s="1"/>
  <c r="H67" i="11"/>
  <c r="O67" i="11" s="1"/>
  <c r="G67" i="12" s="1"/>
  <c r="F67" i="39" s="1"/>
  <c r="H154" i="11"/>
  <c r="O154" i="11" s="1"/>
  <c r="G154" i="12" s="1"/>
  <c r="F154" i="39" s="1"/>
  <c r="H141" i="11"/>
  <c r="O141" i="11" s="1"/>
  <c r="G141" i="12" s="1"/>
  <c r="F141" i="39" s="1"/>
  <c r="H282" i="11"/>
  <c r="O282" i="11" s="1"/>
  <c r="G282" i="12" s="1"/>
  <c r="F282" i="39" s="1"/>
  <c r="H11" i="11"/>
  <c r="O11" i="11" s="1"/>
  <c r="G11" i="12" s="1"/>
  <c r="F11" i="39" s="1"/>
  <c r="H64" i="11"/>
  <c r="O64" i="11" s="1"/>
  <c r="G64" i="12" s="1"/>
  <c r="F64" i="39" s="1"/>
  <c r="H159" i="11"/>
  <c r="O159" i="11" s="1"/>
  <c r="G159" i="12" s="1"/>
  <c r="F159" i="39" s="1"/>
  <c r="H175" i="11"/>
  <c r="O175" i="11" s="1"/>
  <c r="G175" i="12" s="1"/>
  <c r="F175" i="39" s="1"/>
  <c r="H219" i="11"/>
  <c r="O219" i="11" s="1"/>
  <c r="G219" i="12" s="1"/>
  <c r="F219" i="39" s="1"/>
  <c r="H251" i="11"/>
  <c r="O251" i="11" s="1"/>
  <c r="G251" i="12" s="1"/>
  <c r="F251" i="39" s="1"/>
  <c r="H284" i="11"/>
  <c r="O284" i="11" s="1"/>
  <c r="G284" i="12" s="1"/>
  <c r="F284" i="39" s="1"/>
  <c r="H230" i="11"/>
  <c r="O230" i="11" s="1"/>
  <c r="G230" i="12" s="1"/>
  <c r="F230" i="39" s="1"/>
  <c r="H265" i="11"/>
  <c r="O265" i="11" s="1"/>
  <c r="G265" i="12" s="1"/>
  <c r="F265" i="39" s="1"/>
  <c r="H297" i="11"/>
  <c r="O297" i="11" s="1"/>
  <c r="G297" i="12" s="1"/>
  <c r="F297" i="39" s="1"/>
  <c r="H236" i="11"/>
  <c r="O236" i="11" s="1"/>
  <c r="G236" i="12" s="1"/>
  <c r="F236" i="39" s="1"/>
  <c r="H267" i="11"/>
  <c r="O267" i="11" s="1"/>
  <c r="G267" i="12" s="1"/>
  <c r="F267" i="39" s="1"/>
  <c r="H299" i="11"/>
  <c r="O299" i="11" s="1"/>
  <c r="G299" i="12" s="1"/>
  <c r="F299" i="39" s="1"/>
  <c r="H33" i="11"/>
  <c r="O33" i="11" s="1"/>
  <c r="G33" i="12" s="1"/>
  <c r="F33" i="39" s="1"/>
  <c r="H146" i="11"/>
  <c r="O146" i="11" s="1"/>
  <c r="G146" i="12" s="1"/>
  <c r="F146" i="39" s="1"/>
  <c r="H157" i="11"/>
  <c r="O157" i="11" s="1"/>
  <c r="G157" i="12" s="1"/>
  <c r="F157" i="39" s="1"/>
  <c r="H221" i="11"/>
  <c r="O221" i="11" s="1"/>
  <c r="G221" i="12" s="1"/>
  <c r="F221" i="39" s="1"/>
  <c r="H38" i="11"/>
  <c r="O38" i="11" s="1"/>
  <c r="G38" i="12" s="1"/>
  <c r="F38" i="39" s="1"/>
  <c r="H75" i="11"/>
  <c r="O75" i="11" s="1"/>
  <c r="G75" i="12" s="1"/>
  <c r="F75" i="39" s="1"/>
  <c r="H57" i="11"/>
  <c r="O57" i="11" s="1"/>
  <c r="G57" i="12" s="1"/>
  <c r="F57" i="39" s="1"/>
  <c r="H74" i="11"/>
  <c r="O74" i="11" s="1"/>
  <c r="G74" i="12" s="1"/>
  <c r="F74" i="39" s="1"/>
  <c r="H164" i="11"/>
  <c r="O164" i="11" s="1"/>
  <c r="G164" i="12" s="1"/>
  <c r="F164" i="39" s="1"/>
  <c r="H180" i="11"/>
  <c r="O180" i="11" s="1"/>
  <c r="G180" i="12" s="1"/>
  <c r="F180" i="39" s="1"/>
  <c r="H225" i="11"/>
  <c r="O225" i="11" s="1"/>
  <c r="G225" i="12" s="1"/>
  <c r="F225" i="39" s="1"/>
  <c r="H257" i="11"/>
  <c r="O257" i="11" s="1"/>
  <c r="G257" i="12" s="1"/>
  <c r="F257" i="39" s="1"/>
  <c r="H286" i="11"/>
  <c r="O286" i="11" s="1"/>
  <c r="G286" i="12" s="1"/>
  <c r="F286" i="39" s="1"/>
  <c r="H150" i="11"/>
  <c r="O150" i="11" s="1"/>
  <c r="G150" i="12" s="1"/>
  <c r="F150" i="39" s="1"/>
  <c r="H237" i="11"/>
  <c r="O237" i="11" s="1"/>
  <c r="G237" i="12" s="1"/>
  <c r="F237" i="39" s="1"/>
  <c r="H290" i="11"/>
  <c r="O290" i="11" s="1"/>
  <c r="G290" i="12" s="1"/>
  <c r="F290" i="39" s="1"/>
  <c r="H21" i="11"/>
  <c r="O21" i="11" s="1"/>
  <c r="G21" i="12" s="1"/>
  <c r="F21" i="39" s="1"/>
  <c r="H50" i="11"/>
  <c r="O50" i="11" s="1"/>
  <c r="G50" i="12" s="1"/>
  <c r="F50" i="39" s="1"/>
  <c r="H66" i="11"/>
  <c r="O66" i="11" s="1"/>
  <c r="G66" i="12" s="1"/>
  <c r="F66" i="39" s="1"/>
  <c r="H173" i="11"/>
  <c r="O173" i="11" s="1"/>
  <c r="G173" i="12" s="1"/>
  <c r="F173" i="39" s="1"/>
  <c r="H231" i="11"/>
  <c r="O231" i="11" s="1"/>
  <c r="G231" i="12" s="1"/>
  <c r="F231" i="39" s="1"/>
  <c r="H264" i="11"/>
  <c r="O264" i="11" s="1"/>
  <c r="G264" i="12" s="1"/>
  <c r="F264" i="39" s="1"/>
  <c r="H296" i="11"/>
  <c r="O296" i="11" s="1"/>
  <c r="G296" i="12" s="1"/>
  <c r="F296" i="39" s="1"/>
  <c r="H234" i="11"/>
  <c r="O234" i="11" s="1"/>
  <c r="G234" i="12" s="1"/>
  <c r="F234" i="39" s="1"/>
  <c r="H269" i="11"/>
  <c r="O269" i="11" s="1"/>
  <c r="G269" i="12" s="1"/>
  <c r="F269" i="39" s="1"/>
  <c r="H301" i="11"/>
  <c r="O301" i="11" s="1"/>
  <c r="G301" i="12" s="1"/>
  <c r="F301" i="39" s="1"/>
  <c r="H216" i="11"/>
  <c r="O216" i="11" s="1"/>
  <c r="G216" i="12" s="1"/>
  <c r="F216" i="39" s="1"/>
  <c r="H248" i="11"/>
  <c r="O248" i="11" s="1"/>
  <c r="G248" i="12" s="1"/>
  <c r="F248" i="39" s="1"/>
  <c r="H279" i="11"/>
  <c r="O279" i="11" s="1"/>
  <c r="G279" i="12" s="1"/>
  <c r="F279" i="39" s="1"/>
  <c r="H31" i="11"/>
  <c r="O31" i="11" s="1"/>
  <c r="G31" i="12" s="1"/>
  <c r="F31" i="39" s="1"/>
  <c r="H78" i="11"/>
  <c r="O78" i="11" s="1"/>
  <c r="G78" i="12" s="1"/>
  <c r="F78" i="39" s="1"/>
  <c r="H298" i="11"/>
  <c r="O298" i="11" s="1"/>
  <c r="G298" i="12" s="1"/>
  <c r="F298" i="39" s="1"/>
  <c r="H13" i="11"/>
  <c r="O13" i="11" s="1"/>
  <c r="G13" i="12" s="1"/>
  <c r="F13" i="39" s="1"/>
  <c r="H260" i="11"/>
  <c r="O260" i="11" s="1"/>
  <c r="G260" i="12" s="1"/>
  <c r="F260" i="39" s="1"/>
  <c r="H238" i="11"/>
  <c r="O238" i="11" s="1"/>
  <c r="G238" i="12" s="1"/>
  <c r="F238" i="39" s="1"/>
  <c r="H305" i="11"/>
  <c r="O305" i="11" s="1"/>
  <c r="G305" i="12" s="1"/>
  <c r="F305" i="39" s="1"/>
  <c r="H275" i="11"/>
  <c r="O275" i="11" s="1"/>
  <c r="G275" i="12" s="1"/>
  <c r="F275" i="39" s="1"/>
  <c r="H143" i="11"/>
  <c r="O143" i="11" s="1"/>
  <c r="G143" i="12" s="1"/>
  <c r="F143" i="39" s="1"/>
  <c r="H42" i="11"/>
  <c r="O42" i="11" s="1"/>
  <c r="G42" i="12" s="1"/>
  <c r="F42" i="39" s="1"/>
  <c r="H61" i="11"/>
  <c r="O61" i="11" s="1"/>
  <c r="G61" i="12" s="1"/>
  <c r="F61" i="39" s="1"/>
  <c r="H168" i="11"/>
  <c r="O168" i="11" s="1"/>
  <c r="G168" i="12" s="1"/>
  <c r="F168" i="39" s="1"/>
  <c r="H262" i="11"/>
  <c r="O262" i="11" s="1"/>
  <c r="G262" i="12" s="1"/>
  <c r="F262" i="39" s="1"/>
  <c r="H294" i="11"/>
  <c r="O294" i="11" s="1"/>
  <c r="G294" i="12" s="1"/>
  <c r="F294" i="39" s="1"/>
  <c r="H158" i="11"/>
  <c r="O158" i="11" s="1"/>
  <c r="G158" i="12" s="1"/>
  <c r="F158" i="39" s="1"/>
  <c r="H37" i="11"/>
  <c r="O37" i="11" s="1"/>
  <c r="G37" i="12" s="1"/>
  <c r="F37" i="39" s="1"/>
  <c r="H239" i="11"/>
  <c r="O239" i="11" s="1"/>
  <c r="G239" i="12" s="1"/>
  <c r="F239" i="39" s="1"/>
  <c r="H277" i="11"/>
  <c r="O277" i="11" s="1"/>
  <c r="G277" i="12" s="1"/>
  <c r="F277" i="39" s="1"/>
  <c r="O29" i="11"/>
  <c r="G29" i="12" s="1"/>
  <c r="F29" i="39" s="1"/>
  <c r="H6" i="11"/>
  <c r="O6" i="11" s="1"/>
  <c r="F306" i="12"/>
  <c r="F11" i="34"/>
  <c r="M306" i="11"/>
  <c r="H11" i="9"/>
  <c r="B21" i="48" s="1"/>
  <c r="O201" i="11" l="1"/>
  <c r="G201" i="12" s="1"/>
  <c r="F201" i="39" s="1"/>
  <c r="E33" i="48"/>
  <c r="F34" i="48" s="1"/>
  <c r="O253" i="11"/>
  <c r="G253" i="12" s="1"/>
  <c r="O111" i="11"/>
  <c r="G111" i="12" s="1"/>
  <c r="F111" i="39" s="1"/>
  <c r="F169" i="39"/>
  <c r="F253" i="39"/>
  <c r="H14" i="9"/>
  <c r="I14" i="9" s="1"/>
  <c r="G7" i="25" s="1"/>
  <c r="H18" i="9"/>
  <c r="I18" i="9" s="1"/>
  <c r="G11" i="25" s="1"/>
  <c r="H22" i="9"/>
  <c r="I22" i="9" s="1"/>
  <c r="G15" i="25" s="1"/>
  <c r="H26" i="9"/>
  <c r="I26" i="9" s="1"/>
  <c r="G19" i="25" s="1"/>
  <c r="H30" i="9"/>
  <c r="I30" i="9" s="1"/>
  <c r="G23" i="25" s="1"/>
  <c r="H34" i="9"/>
  <c r="I34" i="9" s="1"/>
  <c r="G27" i="25" s="1"/>
  <c r="H38" i="9"/>
  <c r="I38" i="9" s="1"/>
  <c r="G31" i="25" s="1"/>
  <c r="H42" i="9"/>
  <c r="I42" i="9" s="1"/>
  <c r="G35" i="25" s="1"/>
  <c r="H46" i="9"/>
  <c r="I46" i="9" s="1"/>
  <c r="G39" i="25" s="1"/>
  <c r="H50" i="9"/>
  <c r="I50" i="9" s="1"/>
  <c r="G43" i="25" s="1"/>
  <c r="H54" i="9"/>
  <c r="I54" i="9" s="1"/>
  <c r="G47" i="25" s="1"/>
  <c r="H58" i="9"/>
  <c r="I58" i="9" s="1"/>
  <c r="G51" i="25" s="1"/>
  <c r="H62" i="9"/>
  <c r="I62" i="9" s="1"/>
  <c r="G55" i="25" s="1"/>
  <c r="H66" i="9"/>
  <c r="I66" i="9" s="1"/>
  <c r="G59" i="25" s="1"/>
  <c r="H70" i="9"/>
  <c r="I70" i="9" s="1"/>
  <c r="G63" i="25" s="1"/>
  <c r="H74" i="9"/>
  <c r="I74" i="9" s="1"/>
  <c r="G67" i="25" s="1"/>
  <c r="H78" i="9"/>
  <c r="I78" i="9" s="1"/>
  <c r="G71" i="25" s="1"/>
  <c r="H82" i="9"/>
  <c r="I82" i="9" s="1"/>
  <c r="G75" i="25" s="1"/>
  <c r="H86" i="9"/>
  <c r="I86" i="9" s="1"/>
  <c r="G79" i="25" s="1"/>
  <c r="H90" i="9"/>
  <c r="I90" i="9" s="1"/>
  <c r="G83" i="25" s="1"/>
  <c r="H15" i="9"/>
  <c r="I15" i="9" s="1"/>
  <c r="G8" i="25" s="1"/>
  <c r="H19" i="9"/>
  <c r="I19" i="9" s="1"/>
  <c r="G12" i="25" s="1"/>
  <c r="H23" i="9"/>
  <c r="I23" i="9" s="1"/>
  <c r="G16" i="25" s="1"/>
  <c r="H27" i="9"/>
  <c r="I27" i="9" s="1"/>
  <c r="G20" i="25" s="1"/>
  <c r="H31" i="9"/>
  <c r="I31" i="9" s="1"/>
  <c r="G24" i="25" s="1"/>
  <c r="H35" i="9"/>
  <c r="I35" i="9" s="1"/>
  <c r="G28" i="25" s="1"/>
  <c r="H39" i="9"/>
  <c r="I39" i="9" s="1"/>
  <c r="G32" i="25" s="1"/>
  <c r="H43" i="9"/>
  <c r="I43" i="9" s="1"/>
  <c r="G36" i="25" s="1"/>
  <c r="H47" i="9"/>
  <c r="I47" i="9" s="1"/>
  <c r="G40" i="25" s="1"/>
  <c r="H51" i="9"/>
  <c r="I51" i="9" s="1"/>
  <c r="G44" i="25" s="1"/>
  <c r="H55" i="9"/>
  <c r="I55" i="9" s="1"/>
  <c r="G48" i="25" s="1"/>
  <c r="H59" i="9"/>
  <c r="I59" i="9" s="1"/>
  <c r="G52" i="25" s="1"/>
  <c r="H63" i="9"/>
  <c r="I63" i="9" s="1"/>
  <c r="G56" i="25" s="1"/>
  <c r="H67" i="9"/>
  <c r="I67" i="9" s="1"/>
  <c r="G60" i="25" s="1"/>
  <c r="H71" i="9"/>
  <c r="I71" i="9" s="1"/>
  <c r="G64" i="25" s="1"/>
  <c r="H75" i="9"/>
  <c r="I75" i="9" s="1"/>
  <c r="G68" i="25" s="1"/>
  <c r="H79" i="9"/>
  <c r="I79" i="9" s="1"/>
  <c r="G72" i="25" s="1"/>
  <c r="H83" i="9"/>
  <c r="I83" i="9" s="1"/>
  <c r="G76" i="25" s="1"/>
  <c r="H87" i="9"/>
  <c r="I87" i="9" s="1"/>
  <c r="G80" i="25" s="1"/>
  <c r="H91" i="9"/>
  <c r="I91" i="9" s="1"/>
  <c r="G84" i="25" s="1"/>
  <c r="H95" i="9"/>
  <c r="I95" i="9" s="1"/>
  <c r="G88" i="25" s="1"/>
  <c r="H99" i="9"/>
  <c r="I99" i="9" s="1"/>
  <c r="G92" i="25" s="1"/>
  <c r="H103" i="9"/>
  <c r="I103" i="9" s="1"/>
  <c r="G96" i="25" s="1"/>
  <c r="H107" i="9"/>
  <c r="I107" i="9" s="1"/>
  <c r="G100" i="25" s="1"/>
  <c r="H111" i="9"/>
  <c r="I111" i="9" s="1"/>
  <c r="G104" i="25" s="1"/>
  <c r="H115" i="9"/>
  <c r="I115" i="9" s="1"/>
  <c r="G108" i="25" s="1"/>
  <c r="H119" i="9"/>
  <c r="I119" i="9" s="1"/>
  <c r="G112" i="25" s="1"/>
  <c r="H123" i="9"/>
  <c r="I123" i="9" s="1"/>
  <c r="G116" i="25" s="1"/>
  <c r="H16" i="9"/>
  <c r="I16" i="9" s="1"/>
  <c r="G9" i="25" s="1"/>
  <c r="H20" i="9"/>
  <c r="I20" i="9" s="1"/>
  <c r="G13" i="25" s="1"/>
  <c r="H24" i="9"/>
  <c r="I24" i="9" s="1"/>
  <c r="G17" i="25" s="1"/>
  <c r="H28" i="9"/>
  <c r="I28" i="9" s="1"/>
  <c r="G21" i="25" s="1"/>
  <c r="H32" i="9"/>
  <c r="I32" i="9" s="1"/>
  <c r="G25" i="25" s="1"/>
  <c r="H36" i="9"/>
  <c r="I36" i="9" s="1"/>
  <c r="G29" i="25" s="1"/>
  <c r="H40" i="9"/>
  <c r="I40" i="9" s="1"/>
  <c r="G33" i="25" s="1"/>
  <c r="H44" i="9"/>
  <c r="I44" i="9" s="1"/>
  <c r="G37" i="25" s="1"/>
  <c r="H48" i="9"/>
  <c r="I48" i="9" s="1"/>
  <c r="G41" i="25" s="1"/>
  <c r="H52" i="9"/>
  <c r="I52" i="9" s="1"/>
  <c r="G45" i="25" s="1"/>
  <c r="H56" i="9"/>
  <c r="I56" i="9" s="1"/>
  <c r="G49" i="25" s="1"/>
  <c r="H60" i="9"/>
  <c r="I60" i="9" s="1"/>
  <c r="G53" i="25" s="1"/>
  <c r="H64" i="9"/>
  <c r="I64" i="9" s="1"/>
  <c r="G57" i="25" s="1"/>
  <c r="H68" i="9"/>
  <c r="I68" i="9" s="1"/>
  <c r="G61" i="25" s="1"/>
  <c r="H72" i="9"/>
  <c r="I72" i="9" s="1"/>
  <c r="G65" i="25" s="1"/>
  <c r="H76" i="9"/>
  <c r="I76" i="9" s="1"/>
  <c r="G69" i="25" s="1"/>
  <c r="H80" i="9"/>
  <c r="I80" i="9" s="1"/>
  <c r="G73" i="25" s="1"/>
  <c r="H84" i="9"/>
  <c r="I84" i="9" s="1"/>
  <c r="G77" i="25" s="1"/>
  <c r="H88" i="9"/>
  <c r="I88" i="9" s="1"/>
  <c r="G81" i="25" s="1"/>
  <c r="H92" i="9"/>
  <c r="I92" i="9" s="1"/>
  <c r="G85" i="25" s="1"/>
  <c r="H96" i="9"/>
  <c r="I96" i="9" s="1"/>
  <c r="G89" i="25" s="1"/>
  <c r="H100" i="9"/>
  <c r="I100" i="9" s="1"/>
  <c r="G93" i="25" s="1"/>
  <c r="H104" i="9"/>
  <c r="I104" i="9" s="1"/>
  <c r="G97" i="25" s="1"/>
  <c r="H108" i="9"/>
  <c r="I108" i="9" s="1"/>
  <c r="G101" i="25" s="1"/>
  <c r="H112" i="9"/>
  <c r="I112" i="9" s="1"/>
  <c r="G105" i="25" s="1"/>
  <c r="H116" i="9"/>
  <c r="I116" i="9" s="1"/>
  <c r="G109" i="25" s="1"/>
  <c r="H120" i="9"/>
  <c r="I120" i="9" s="1"/>
  <c r="G113" i="25" s="1"/>
  <c r="H124" i="9"/>
  <c r="I124" i="9" s="1"/>
  <c r="G117" i="25" s="1"/>
  <c r="H13" i="9"/>
  <c r="I13" i="9" s="1"/>
  <c r="G6" i="25" s="1"/>
  <c r="H17" i="9"/>
  <c r="I17" i="9" s="1"/>
  <c r="G10" i="25" s="1"/>
  <c r="H25" i="9"/>
  <c r="I25" i="9" s="1"/>
  <c r="G18" i="25" s="1"/>
  <c r="H41" i="9"/>
  <c r="I41" i="9" s="1"/>
  <c r="G34" i="25" s="1"/>
  <c r="H57" i="9"/>
  <c r="I57" i="9" s="1"/>
  <c r="G50" i="25" s="1"/>
  <c r="H73" i="9"/>
  <c r="I73" i="9" s="1"/>
  <c r="G66" i="25" s="1"/>
  <c r="H89" i="9"/>
  <c r="I89" i="9" s="1"/>
  <c r="G82" i="25" s="1"/>
  <c r="H127" i="9"/>
  <c r="I127" i="9" s="1"/>
  <c r="G120" i="25" s="1"/>
  <c r="H131" i="9"/>
  <c r="I131" i="9" s="1"/>
  <c r="G124" i="25" s="1"/>
  <c r="H135" i="9"/>
  <c r="I135" i="9" s="1"/>
  <c r="G128" i="25" s="1"/>
  <c r="H139" i="9"/>
  <c r="I139" i="9" s="1"/>
  <c r="G132" i="25" s="1"/>
  <c r="H143" i="9"/>
  <c r="I143" i="9" s="1"/>
  <c r="G136" i="25" s="1"/>
  <c r="H147" i="9"/>
  <c r="I147" i="9" s="1"/>
  <c r="G140" i="25" s="1"/>
  <c r="H151" i="9"/>
  <c r="I151" i="9" s="1"/>
  <c r="G144" i="25" s="1"/>
  <c r="H155" i="9"/>
  <c r="I155" i="9" s="1"/>
  <c r="G148" i="25" s="1"/>
  <c r="H159" i="9"/>
  <c r="I159" i="9" s="1"/>
  <c r="G152" i="25" s="1"/>
  <c r="H163" i="9"/>
  <c r="I163" i="9" s="1"/>
  <c r="G156" i="25" s="1"/>
  <c r="H167" i="9"/>
  <c r="I167" i="9" s="1"/>
  <c r="G160" i="25" s="1"/>
  <c r="H171" i="9"/>
  <c r="I171" i="9" s="1"/>
  <c r="G164" i="25" s="1"/>
  <c r="H175" i="9"/>
  <c r="I175" i="9" s="1"/>
  <c r="G168" i="25" s="1"/>
  <c r="H21" i="9"/>
  <c r="I21" i="9" s="1"/>
  <c r="G14" i="25" s="1"/>
  <c r="H37" i="9"/>
  <c r="I37" i="9" s="1"/>
  <c r="G30" i="25" s="1"/>
  <c r="H53" i="9"/>
  <c r="I53" i="9" s="1"/>
  <c r="G46" i="25" s="1"/>
  <c r="H69" i="9"/>
  <c r="I69" i="9" s="1"/>
  <c r="G62" i="25" s="1"/>
  <c r="H85" i="9"/>
  <c r="I85" i="9" s="1"/>
  <c r="G78" i="25" s="1"/>
  <c r="H97" i="9"/>
  <c r="I97" i="9" s="1"/>
  <c r="G90" i="25" s="1"/>
  <c r="H98" i="9"/>
  <c r="I98" i="9" s="1"/>
  <c r="G91" i="25" s="1"/>
  <c r="H105" i="9"/>
  <c r="I105" i="9" s="1"/>
  <c r="G98" i="25" s="1"/>
  <c r="H106" i="9"/>
  <c r="I106" i="9" s="1"/>
  <c r="G99" i="25" s="1"/>
  <c r="H113" i="9"/>
  <c r="I113" i="9" s="1"/>
  <c r="G106" i="25" s="1"/>
  <c r="H114" i="9"/>
  <c r="I114" i="9" s="1"/>
  <c r="G107" i="25" s="1"/>
  <c r="H121" i="9"/>
  <c r="I121" i="9" s="1"/>
  <c r="G114" i="25" s="1"/>
  <c r="H122" i="9"/>
  <c r="I122" i="9" s="1"/>
  <c r="G115" i="25" s="1"/>
  <c r="H128" i="9"/>
  <c r="I128" i="9" s="1"/>
  <c r="G121" i="25" s="1"/>
  <c r="H132" i="9"/>
  <c r="I132" i="9" s="1"/>
  <c r="G125" i="25" s="1"/>
  <c r="H136" i="9"/>
  <c r="I136" i="9" s="1"/>
  <c r="G129" i="25" s="1"/>
  <c r="H140" i="9"/>
  <c r="I140" i="9" s="1"/>
  <c r="G133" i="25" s="1"/>
  <c r="H144" i="9"/>
  <c r="I144" i="9" s="1"/>
  <c r="G137" i="25" s="1"/>
  <c r="H148" i="9"/>
  <c r="I148" i="9" s="1"/>
  <c r="G141" i="25" s="1"/>
  <c r="H152" i="9"/>
  <c r="I152" i="9" s="1"/>
  <c r="G145" i="25" s="1"/>
  <c r="H156" i="9"/>
  <c r="I156" i="9" s="1"/>
  <c r="G149" i="25" s="1"/>
  <c r="H33" i="9"/>
  <c r="I33" i="9" s="1"/>
  <c r="G26" i="25" s="1"/>
  <c r="H49" i="9"/>
  <c r="I49" i="9" s="1"/>
  <c r="G42" i="25" s="1"/>
  <c r="H65" i="9"/>
  <c r="I65" i="9" s="1"/>
  <c r="G58" i="25" s="1"/>
  <c r="H81" i="9"/>
  <c r="I81" i="9" s="1"/>
  <c r="G74" i="25" s="1"/>
  <c r="H129" i="9"/>
  <c r="I129" i="9" s="1"/>
  <c r="G122" i="25" s="1"/>
  <c r="H133" i="9"/>
  <c r="I133" i="9" s="1"/>
  <c r="G126" i="25" s="1"/>
  <c r="H137" i="9"/>
  <c r="I137" i="9" s="1"/>
  <c r="G130" i="25" s="1"/>
  <c r="H141" i="9"/>
  <c r="I141" i="9" s="1"/>
  <c r="G134" i="25" s="1"/>
  <c r="H145" i="9"/>
  <c r="I145" i="9" s="1"/>
  <c r="G138" i="25" s="1"/>
  <c r="H149" i="9"/>
  <c r="I149" i="9" s="1"/>
  <c r="G142" i="25" s="1"/>
  <c r="H153" i="9"/>
  <c r="I153" i="9" s="1"/>
  <c r="G146" i="25" s="1"/>
  <c r="H157" i="9"/>
  <c r="I157" i="9" s="1"/>
  <c r="G150" i="25" s="1"/>
  <c r="H161" i="9"/>
  <c r="I161" i="9" s="1"/>
  <c r="G154" i="25" s="1"/>
  <c r="H165" i="9"/>
  <c r="I165" i="9" s="1"/>
  <c r="G158" i="25" s="1"/>
  <c r="H169" i="9"/>
  <c r="I169" i="9" s="1"/>
  <c r="G162" i="25" s="1"/>
  <c r="H173" i="9"/>
  <c r="I173" i="9" s="1"/>
  <c r="G166" i="25" s="1"/>
  <c r="H45" i="9"/>
  <c r="I45" i="9" s="1"/>
  <c r="G38" i="25" s="1"/>
  <c r="H77" i="9"/>
  <c r="I77" i="9" s="1"/>
  <c r="G70" i="25" s="1"/>
  <c r="H130" i="9"/>
  <c r="I130" i="9" s="1"/>
  <c r="G123" i="25" s="1"/>
  <c r="H146" i="9"/>
  <c r="I146" i="9" s="1"/>
  <c r="G139" i="25" s="1"/>
  <c r="H160" i="9"/>
  <c r="I160" i="9" s="1"/>
  <c r="G153" i="25" s="1"/>
  <c r="H168" i="9"/>
  <c r="I168" i="9" s="1"/>
  <c r="G161" i="25" s="1"/>
  <c r="H176" i="9"/>
  <c r="I176" i="9" s="1"/>
  <c r="G169" i="25" s="1"/>
  <c r="H180" i="9"/>
  <c r="I180" i="9" s="1"/>
  <c r="G173" i="25" s="1"/>
  <c r="H184" i="9"/>
  <c r="I184" i="9" s="1"/>
  <c r="G177" i="25" s="1"/>
  <c r="H188" i="9"/>
  <c r="I188" i="9" s="1"/>
  <c r="G181" i="25" s="1"/>
  <c r="H192" i="9"/>
  <c r="I192" i="9" s="1"/>
  <c r="G185" i="25" s="1"/>
  <c r="H196" i="9"/>
  <c r="I196" i="9" s="1"/>
  <c r="G189" i="25" s="1"/>
  <c r="H200" i="9"/>
  <c r="I200" i="9" s="1"/>
  <c r="G193" i="25" s="1"/>
  <c r="H204" i="9"/>
  <c r="I204" i="9" s="1"/>
  <c r="G197" i="25" s="1"/>
  <c r="H208" i="9"/>
  <c r="I208" i="9" s="1"/>
  <c r="G201" i="25" s="1"/>
  <c r="H212" i="9"/>
  <c r="I212" i="9" s="1"/>
  <c r="G205" i="25" s="1"/>
  <c r="H216" i="9"/>
  <c r="I216" i="9" s="1"/>
  <c r="G209" i="25" s="1"/>
  <c r="H220" i="9"/>
  <c r="I220" i="9" s="1"/>
  <c r="G213" i="25" s="1"/>
  <c r="H224" i="9"/>
  <c r="I224" i="9" s="1"/>
  <c r="G217" i="25" s="1"/>
  <c r="H228" i="9"/>
  <c r="I228" i="9" s="1"/>
  <c r="G221" i="25" s="1"/>
  <c r="H232" i="9"/>
  <c r="I232" i="9" s="1"/>
  <c r="G225" i="25" s="1"/>
  <c r="H236" i="9"/>
  <c r="I236" i="9" s="1"/>
  <c r="G229" i="25" s="1"/>
  <c r="H240" i="9"/>
  <c r="I240" i="9" s="1"/>
  <c r="G233" i="25" s="1"/>
  <c r="H244" i="9"/>
  <c r="I244" i="9" s="1"/>
  <c r="G237" i="25" s="1"/>
  <c r="H248" i="9"/>
  <c r="I248" i="9" s="1"/>
  <c r="G241" i="25" s="1"/>
  <c r="H252" i="9"/>
  <c r="I252" i="9" s="1"/>
  <c r="G245" i="25" s="1"/>
  <c r="H256" i="9"/>
  <c r="I256" i="9" s="1"/>
  <c r="G249" i="25" s="1"/>
  <c r="H260" i="9"/>
  <c r="I260" i="9" s="1"/>
  <c r="G253" i="25" s="1"/>
  <c r="H264" i="9"/>
  <c r="I264" i="9" s="1"/>
  <c r="G257" i="25" s="1"/>
  <c r="H268" i="9"/>
  <c r="I268" i="9" s="1"/>
  <c r="G261" i="25" s="1"/>
  <c r="H272" i="9"/>
  <c r="I272" i="9" s="1"/>
  <c r="G265" i="25" s="1"/>
  <c r="H94" i="9"/>
  <c r="I94" i="9" s="1"/>
  <c r="G87" i="25" s="1"/>
  <c r="H102" i="9"/>
  <c r="I102" i="9" s="1"/>
  <c r="G95" i="25" s="1"/>
  <c r="H110" i="9"/>
  <c r="I110" i="9" s="1"/>
  <c r="G103" i="25" s="1"/>
  <c r="H118" i="9"/>
  <c r="I118" i="9" s="1"/>
  <c r="G111" i="25" s="1"/>
  <c r="H126" i="9"/>
  <c r="I126" i="9" s="1"/>
  <c r="G119" i="25" s="1"/>
  <c r="H142" i="9"/>
  <c r="I142" i="9" s="1"/>
  <c r="G135" i="25" s="1"/>
  <c r="H158" i="9"/>
  <c r="I158" i="9" s="1"/>
  <c r="G151" i="25" s="1"/>
  <c r="H166" i="9"/>
  <c r="I166" i="9" s="1"/>
  <c r="G159" i="25" s="1"/>
  <c r="H174" i="9"/>
  <c r="I174" i="9" s="1"/>
  <c r="G167" i="25" s="1"/>
  <c r="H177" i="9"/>
  <c r="I177" i="9" s="1"/>
  <c r="G170" i="25" s="1"/>
  <c r="H181" i="9"/>
  <c r="I181" i="9" s="1"/>
  <c r="G174" i="25" s="1"/>
  <c r="H185" i="9"/>
  <c r="I185" i="9" s="1"/>
  <c r="G178" i="25" s="1"/>
  <c r="H189" i="9"/>
  <c r="I189" i="9" s="1"/>
  <c r="G182" i="25" s="1"/>
  <c r="H193" i="9"/>
  <c r="I193" i="9" s="1"/>
  <c r="G186" i="25" s="1"/>
  <c r="H197" i="9"/>
  <c r="I197" i="9" s="1"/>
  <c r="G190" i="25" s="1"/>
  <c r="H201" i="9"/>
  <c r="I201" i="9" s="1"/>
  <c r="G194" i="25" s="1"/>
  <c r="H205" i="9"/>
  <c r="I205" i="9" s="1"/>
  <c r="G198" i="25" s="1"/>
  <c r="H209" i="9"/>
  <c r="I209" i="9" s="1"/>
  <c r="G202" i="25" s="1"/>
  <c r="H213" i="9"/>
  <c r="I213" i="9" s="1"/>
  <c r="G206" i="25" s="1"/>
  <c r="H217" i="9"/>
  <c r="I217" i="9" s="1"/>
  <c r="G210" i="25" s="1"/>
  <c r="H221" i="9"/>
  <c r="I221" i="9" s="1"/>
  <c r="G214" i="25" s="1"/>
  <c r="H225" i="9"/>
  <c r="I225" i="9" s="1"/>
  <c r="G218" i="25" s="1"/>
  <c r="H229" i="9"/>
  <c r="I229" i="9" s="1"/>
  <c r="G222" i="25" s="1"/>
  <c r="H233" i="9"/>
  <c r="I233" i="9" s="1"/>
  <c r="G226" i="25" s="1"/>
  <c r="H237" i="9"/>
  <c r="I237" i="9" s="1"/>
  <c r="G230" i="25" s="1"/>
  <c r="H241" i="9"/>
  <c r="I241" i="9" s="1"/>
  <c r="G234" i="25" s="1"/>
  <c r="H245" i="9"/>
  <c r="I245" i="9" s="1"/>
  <c r="G238" i="25" s="1"/>
  <c r="H249" i="9"/>
  <c r="I249" i="9" s="1"/>
  <c r="G242" i="25" s="1"/>
  <c r="H29" i="9"/>
  <c r="I29" i="9" s="1"/>
  <c r="G22" i="25" s="1"/>
  <c r="H61" i="9"/>
  <c r="I61" i="9" s="1"/>
  <c r="G54" i="25" s="1"/>
  <c r="H93" i="9"/>
  <c r="I93" i="9" s="1"/>
  <c r="G86" i="25" s="1"/>
  <c r="H101" i="9"/>
  <c r="I101" i="9" s="1"/>
  <c r="G94" i="25" s="1"/>
  <c r="H109" i="9"/>
  <c r="I109" i="9" s="1"/>
  <c r="G102" i="25" s="1"/>
  <c r="H117" i="9"/>
  <c r="H125" i="9"/>
  <c r="I125" i="9" s="1"/>
  <c r="G118" i="25" s="1"/>
  <c r="H138" i="9"/>
  <c r="I138" i="9" s="1"/>
  <c r="G131" i="25" s="1"/>
  <c r="H154" i="9"/>
  <c r="I154" i="9" s="1"/>
  <c r="G147" i="25" s="1"/>
  <c r="H164" i="9"/>
  <c r="I164" i="9" s="1"/>
  <c r="G157" i="25" s="1"/>
  <c r="H172" i="9"/>
  <c r="I172" i="9" s="1"/>
  <c r="G165" i="25" s="1"/>
  <c r="H178" i="9"/>
  <c r="I178" i="9" s="1"/>
  <c r="G171" i="25" s="1"/>
  <c r="H182" i="9"/>
  <c r="I182" i="9" s="1"/>
  <c r="G175" i="25" s="1"/>
  <c r="H186" i="9"/>
  <c r="I186" i="9" s="1"/>
  <c r="G179" i="25" s="1"/>
  <c r="H190" i="9"/>
  <c r="I190" i="9" s="1"/>
  <c r="G183" i="25" s="1"/>
  <c r="H194" i="9"/>
  <c r="I194" i="9" s="1"/>
  <c r="G187" i="25" s="1"/>
  <c r="H198" i="9"/>
  <c r="I198" i="9" s="1"/>
  <c r="G191" i="25" s="1"/>
  <c r="H202" i="9"/>
  <c r="I202" i="9" s="1"/>
  <c r="G195" i="25" s="1"/>
  <c r="H206" i="9"/>
  <c r="I206" i="9" s="1"/>
  <c r="G199" i="25" s="1"/>
  <c r="H210" i="9"/>
  <c r="I210" i="9" s="1"/>
  <c r="G203" i="25" s="1"/>
  <c r="H214" i="9"/>
  <c r="I214" i="9" s="1"/>
  <c r="G207" i="25" s="1"/>
  <c r="H218" i="9"/>
  <c r="I218" i="9" s="1"/>
  <c r="G211" i="25" s="1"/>
  <c r="H222" i="9"/>
  <c r="I222" i="9" s="1"/>
  <c r="G215" i="25" s="1"/>
  <c r="H226" i="9"/>
  <c r="I226" i="9" s="1"/>
  <c r="G219" i="25" s="1"/>
  <c r="H230" i="9"/>
  <c r="I230" i="9" s="1"/>
  <c r="G223" i="25" s="1"/>
  <c r="H234" i="9"/>
  <c r="I234" i="9" s="1"/>
  <c r="G227" i="25" s="1"/>
  <c r="H238" i="9"/>
  <c r="I238" i="9" s="1"/>
  <c r="G231" i="25" s="1"/>
  <c r="H242" i="9"/>
  <c r="I242" i="9" s="1"/>
  <c r="G235" i="25" s="1"/>
  <c r="H150" i="9"/>
  <c r="I150" i="9" s="1"/>
  <c r="G143" i="25" s="1"/>
  <c r="H183" i="9"/>
  <c r="I183" i="9" s="1"/>
  <c r="G176" i="25" s="1"/>
  <c r="H199" i="9"/>
  <c r="I199" i="9" s="1"/>
  <c r="G192" i="25" s="1"/>
  <c r="H215" i="9"/>
  <c r="I215" i="9" s="1"/>
  <c r="G208" i="25" s="1"/>
  <c r="H231" i="9"/>
  <c r="I231" i="9" s="1"/>
  <c r="G224" i="25" s="1"/>
  <c r="H235" i="9"/>
  <c r="I235" i="9" s="1"/>
  <c r="G228" i="25" s="1"/>
  <c r="H239" i="9"/>
  <c r="I239" i="9" s="1"/>
  <c r="G232" i="25" s="1"/>
  <c r="H243" i="9"/>
  <c r="I243" i="9" s="1"/>
  <c r="G236" i="25" s="1"/>
  <c r="H250" i="9"/>
  <c r="I250" i="9" s="1"/>
  <c r="G243" i="25" s="1"/>
  <c r="H251" i="9"/>
  <c r="I251" i="9" s="1"/>
  <c r="G244" i="25" s="1"/>
  <c r="H255" i="9"/>
  <c r="I255" i="9" s="1"/>
  <c r="G248" i="25" s="1"/>
  <c r="H257" i="9"/>
  <c r="I257" i="9" s="1"/>
  <c r="G250" i="25" s="1"/>
  <c r="H258" i="9"/>
  <c r="I258" i="9" s="1"/>
  <c r="G251" i="25" s="1"/>
  <c r="H271" i="9"/>
  <c r="I271" i="9" s="1"/>
  <c r="G264" i="25" s="1"/>
  <c r="H273" i="9"/>
  <c r="I273" i="9" s="1"/>
  <c r="G266" i="25" s="1"/>
  <c r="H277" i="9"/>
  <c r="I277" i="9" s="1"/>
  <c r="G270" i="25" s="1"/>
  <c r="H281" i="9"/>
  <c r="I281" i="9" s="1"/>
  <c r="G274" i="25" s="1"/>
  <c r="H285" i="9"/>
  <c r="I285" i="9" s="1"/>
  <c r="G278" i="25" s="1"/>
  <c r="H289" i="9"/>
  <c r="I289" i="9" s="1"/>
  <c r="G282" i="25" s="1"/>
  <c r="H293" i="9"/>
  <c r="I293" i="9" s="1"/>
  <c r="G286" i="25" s="1"/>
  <c r="H297" i="9"/>
  <c r="I297" i="9" s="1"/>
  <c r="G290" i="25" s="1"/>
  <c r="H301" i="9"/>
  <c r="I301" i="9" s="1"/>
  <c r="G294" i="25" s="1"/>
  <c r="H305" i="9"/>
  <c r="I305" i="9" s="1"/>
  <c r="G298" i="25" s="1"/>
  <c r="H309" i="9"/>
  <c r="I309" i="9" s="1"/>
  <c r="G302" i="25" s="1"/>
  <c r="H179" i="9"/>
  <c r="I179" i="9" s="1"/>
  <c r="G172" i="25" s="1"/>
  <c r="H195" i="9"/>
  <c r="I195" i="9" s="1"/>
  <c r="G188" i="25" s="1"/>
  <c r="H211" i="9"/>
  <c r="I211" i="9" s="1"/>
  <c r="G204" i="25" s="1"/>
  <c r="H227" i="9"/>
  <c r="I227" i="9" s="1"/>
  <c r="G220" i="25" s="1"/>
  <c r="H259" i="9"/>
  <c r="H261" i="9"/>
  <c r="I261" i="9" s="1"/>
  <c r="G254" i="25" s="1"/>
  <c r="H262" i="9"/>
  <c r="I262" i="9" s="1"/>
  <c r="G255" i="25" s="1"/>
  <c r="H274" i="9"/>
  <c r="I274" i="9" s="1"/>
  <c r="G267" i="25" s="1"/>
  <c r="H278" i="9"/>
  <c r="I278" i="9" s="1"/>
  <c r="G271" i="25" s="1"/>
  <c r="H282" i="9"/>
  <c r="I282" i="9" s="1"/>
  <c r="G275" i="25" s="1"/>
  <c r="H286" i="9"/>
  <c r="I286" i="9" s="1"/>
  <c r="G279" i="25" s="1"/>
  <c r="H290" i="9"/>
  <c r="I290" i="9" s="1"/>
  <c r="G283" i="25" s="1"/>
  <c r="H294" i="9"/>
  <c r="I294" i="9" s="1"/>
  <c r="G287" i="25" s="1"/>
  <c r="H298" i="9"/>
  <c r="I298" i="9" s="1"/>
  <c r="G291" i="25" s="1"/>
  <c r="H302" i="9"/>
  <c r="I302" i="9" s="1"/>
  <c r="G295" i="25" s="1"/>
  <c r="H306" i="9"/>
  <c r="I306" i="9" s="1"/>
  <c r="G299" i="25" s="1"/>
  <c r="H310" i="9"/>
  <c r="I310" i="9" s="1"/>
  <c r="G303" i="25" s="1"/>
  <c r="H134" i="9"/>
  <c r="I134" i="9" s="1"/>
  <c r="G127" i="25" s="1"/>
  <c r="H162" i="9"/>
  <c r="I162" i="9" s="1"/>
  <c r="G155" i="25" s="1"/>
  <c r="H170" i="9"/>
  <c r="I170" i="9" s="1"/>
  <c r="G163" i="25" s="1"/>
  <c r="H191" i="9"/>
  <c r="I191" i="9" s="1"/>
  <c r="G184" i="25" s="1"/>
  <c r="H207" i="9"/>
  <c r="H223" i="9"/>
  <c r="I223" i="9" s="1"/>
  <c r="G216" i="25" s="1"/>
  <c r="H246" i="9"/>
  <c r="I246" i="9" s="1"/>
  <c r="G239" i="25" s="1"/>
  <c r="H247" i="9"/>
  <c r="I247" i="9" s="1"/>
  <c r="G240" i="25" s="1"/>
  <c r="H263" i="9"/>
  <c r="I263" i="9" s="1"/>
  <c r="G256" i="25" s="1"/>
  <c r="H265" i="9"/>
  <c r="I265" i="9" s="1"/>
  <c r="G258" i="25" s="1"/>
  <c r="H266" i="9"/>
  <c r="I266" i="9" s="1"/>
  <c r="G259" i="25" s="1"/>
  <c r="H275" i="9"/>
  <c r="I275" i="9" s="1"/>
  <c r="G268" i="25" s="1"/>
  <c r="H279" i="9"/>
  <c r="I279" i="9" s="1"/>
  <c r="G272" i="25" s="1"/>
  <c r="H283" i="9"/>
  <c r="I283" i="9" s="1"/>
  <c r="G276" i="25" s="1"/>
  <c r="H287" i="9"/>
  <c r="I287" i="9" s="1"/>
  <c r="G280" i="25" s="1"/>
  <c r="H291" i="9"/>
  <c r="I291" i="9" s="1"/>
  <c r="G284" i="25" s="1"/>
  <c r="H295" i="9"/>
  <c r="I295" i="9" s="1"/>
  <c r="G288" i="25" s="1"/>
  <c r="H299" i="9"/>
  <c r="I299" i="9" s="1"/>
  <c r="G292" i="25" s="1"/>
  <c r="H303" i="9"/>
  <c r="I303" i="9" s="1"/>
  <c r="G296" i="25" s="1"/>
  <c r="H307" i="9"/>
  <c r="I307" i="9" s="1"/>
  <c r="G300" i="25" s="1"/>
  <c r="H311" i="9"/>
  <c r="I311" i="9" s="1"/>
  <c r="G304" i="25" s="1"/>
  <c r="H187" i="9"/>
  <c r="I187" i="9" s="1"/>
  <c r="G180" i="25" s="1"/>
  <c r="H203" i="9"/>
  <c r="I203" i="9" s="1"/>
  <c r="G196" i="25" s="1"/>
  <c r="H219" i="9"/>
  <c r="I219" i="9" s="1"/>
  <c r="G212" i="25" s="1"/>
  <c r="H253" i="9"/>
  <c r="I253" i="9" s="1"/>
  <c r="G246" i="25" s="1"/>
  <c r="H254" i="9"/>
  <c r="I254" i="9" s="1"/>
  <c r="G247" i="25" s="1"/>
  <c r="H267" i="9"/>
  <c r="I267" i="9" s="1"/>
  <c r="G260" i="25" s="1"/>
  <c r="H269" i="9"/>
  <c r="I269" i="9" s="1"/>
  <c r="G262" i="25" s="1"/>
  <c r="H270" i="9"/>
  <c r="I270" i="9" s="1"/>
  <c r="G263" i="25" s="1"/>
  <c r="H276" i="9"/>
  <c r="I276" i="9" s="1"/>
  <c r="G269" i="25" s="1"/>
  <c r="H280" i="9"/>
  <c r="I280" i="9" s="1"/>
  <c r="G273" i="25" s="1"/>
  <c r="H284" i="9"/>
  <c r="I284" i="9" s="1"/>
  <c r="G277" i="25" s="1"/>
  <c r="H288" i="9"/>
  <c r="I288" i="9" s="1"/>
  <c r="G281" i="25" s="1"/>
  <c r="H292" i="9"/>
  <c r="I292" i="9" s="1"/>
  <c r="G285" i="25" s="1"/>
  <c r="H296" i="9"/>
  <c r="I296" i="9" s="1"/>
  <c r="G289" i="25" s="1"/>
  <c r="H300" i="9"/>
  <c r="I300" i="9" s="1"/>
  <c r="G293" i="25" s="1"/>
  <c r="H304" i="9"/>
  <c r="I304" i="9" s="1"/>
  <c r="G297" i="25" s="1"/>
  <c r="H308" i="9"/>
  <c r="I308" i="9" s="1"/>
  <c r="G301" i="25" s="1"/>
  <c r="H12" i="9"/>
  <c r="G6" i="12"/>
  <c r="F6" i="39" s="1"/>
  <c r="H306" i="11"/>
  <c r="I207" i="9" l="1"/>
  <c r="G200" i="25" s="1"/>
  <c r="F22" i="48"/>
  <c r="F24" i="48" s="1"/>
  <c r="I259" i="9"/>
  <c r="G252" i="25" s="1"/>
  <c r="I117" i="9"/>
  <c r="E111" i="39" s="1"/>
  <c r="D294" i="54"/>
  <c r="E294" i="54" s="1"/>
  <c r="D294" i="12"/>
  <c r="E294" i="39"/>
  <c r="D263" i="54"/>
  <c r="E263" i="54" s="1"/>
  <c r="D263" i="12"/>
  <c r="E263" i="39"/>
  <c r="D301" i="54"/>
  <c r="E301" i="54" s="1"/>
  <c r="E301" i="39"/>
  <c r="D301" i="12"/>
  <c r="D269" i="54"/>
  <c r="E269" i="54" s="1"/>
  <c r="E269" i="39"/>
  <c r="D269" i="12"/>
  <c r="D185" i="54"/>
  <c r="E185" i="54" s="1"/>
  <c r="E185" i="39"/>
  <c r="D185" i="12"/>
  <c r="D290" i="54"/>
  <c r="E290" i="54" s="1"/>
  <c r="E290" i="39"/>
  <c r="D290" i="12"/>
  <c r="D274" i="54"/>
  <c r="E274" i="54" s="1"/>
  <c r="E274" i="39"/>
  <c r="D274" i="12"/>
  <c r="D261" i="54"/>
  <c r="E261" i="54" s="1"/>
  <c r="E261" i="39"/>
  <c r="D261" i="12"/>
  <c r="D197" i="54"/>
  <c r="E197" i="54" s="1"/>
  <c r="E197" i="39"/>
  <c r="D197" i="12"/>
  <c r="D297" i="54"/>
  <c r="E297" i="54" s="1"/>
  <c r="E297" i="39"/>
  <c r="D297" i="12"/>
  <c r="D281" i="54"/>
  <c r="E281" i="54" s="1"/>
  <c r="E281" i="39"/>
  <c r="D281" i="12"/>
  <c r="D260" i="54"/>
  <c r="E260" i="54" s="1"/>
  <c r="E260" i="39"/>
  <c r="D260" i="12"/>
  <c r="D240" i="54"/>
  <c r="E240" i="54" s="1"/>
  <c r="E240" i="39"/>
  <c r="D240" i="12"/>
  <c r="D164" i="54"/>
  <c r="E164" i="54" s="1"/>
  <c r="E164" i="39"/>
  <c r="D164" i="12"/>
  <c r="D300" i="54"/>
  <c r="E300" i="54" s="1"/>
  <c r="E300" i="39"/>
  <c r="D300" i="12"/>
  <c r="D284" i="54"/>
  <c r="E284" i="54" s="1"/>
  <c r="E284" i="39"/>
  <c r="D284" i="12"/>
  <c r="D268" i="54"/>
  <c r="E268" i="54" s="1"/>
  <c r="E268" i="39"/>
  <c r="D268" i="12"/>
  <c r="D221" i="54"/>
  <c r="E221" i="54" s="1"/>
  <c r="E221" i="39"/>
  <c r="D221" i="12"/>
  <c r="D303" i="54"/>
  <c r="E303" i="54" s="1"/>
  <c r="D303" i="12"/>
  <c r="E303" i="39"/>
  <c r="D287" i="54"/>
  <c r="E287" i="54" s="1"/>
  <c r="D287" i="12"/>
  <c r="E287" i="39"/>
  <c r="D271" i="54"/>
  <c r="E271" i="54" s="1"/>
  <c r="D271" i="12"/>
  <c r="E271" i="39"/>
  <c r="D251" i="54"/>
  <c r="E251" i="54" s="1"/>
  <c r="D251" i="12"/>
  <c r="E251" i="39"/>
  <c r="D237" i="54"/>
  <c r="E237" i="54" s="1"/>
  <c r="E237" i="39"/>
  <c r="D237" i="12"/>
  <c r="D209" i="54"/>
  <c r="E209" i="54" s="1"/>
  <c r="E209" i="39"/>
  <c r="D209" i="12"/>
  <c r="D236" i="54"/>
  <c r="E236" i="54" s="1"/>
  <c r="E236" i="39"/>
  <c r="D236" i="12"/>
  <c r="D220" i="54"/>
  <c r="E220" i="54" s="1"/>
  <c r="E220" i="39"/>
  <c r="D220" i="12"/>
  <c r="D204" i="54"/>
  <c r="E204" i="54" s="1"/>
  <c r="D204" i="12"/>
  <c r="E204" i="39"/>
  <c r="D188" i="54"/>
  <c r="E188" i="54" s="1"/>
  <c r="E188" i="39"/>
  <c r="D188" i="12"/>
  <c r="D172" i="54"/>
  <c r="E172" i="54" s="1"/>
  <c r="D172" i="12"/>
  <c r="E172" i="39"/>
  <c r="D132" i="54"/>
  <c r="E132" i="54" s="1"/>
  <c r="D132" i="12"/>
  <c r="E132" i="39"/>
  <c r="D95" i="54"/>
  <c r="E95" i="54" s="1"/>
  <c r="D95" i="12"/>
  <c r="E95" i="39"/>
  <c r="D243" i="54"/>
  <c r="E243" i="54" s="1"/>
  <c r="D243" i="12"/>
  <c r="E243" i="39"/>
  <c r="D227" i="54"/>
  <c r="E227" i="54" s="1"/>
  <c r="D227" i="12"/>
  <c r="E227" i="39"/>
  <c r="D211" i="54"/>
  <c r="E211" i="54" s="1"/>
  <c r="D211" i="12"/>
  <c r="E211" i="39"/>
  <c r="D195" i="54"/>
  <c r="E195" i="54" s="1"/>
  <c r="E195" i="39"/>
  <c r="D195" i="12"/>
  <c r="D179" i="54"/>
  <c r="E179" i="54" s="1"/>
  <c r="E179" i="39"/>
  <c r="D179" i="12"/>
  <c r="D160" i="54"/>
  <c r="E160" i="54" s="1"/>
  <c r="D160" i="12"/>
  <c r="E160" i="39"/>
  <c r="D112" i="54"/>
  <c r="E112" i="54" s="1"/>
  <c r="D112" i="12"/>
  <c r="E112" i="39"/>
  <c r="D266" i="54"/>
  <c r="E266" i="54" s="1"/>
  <c r="D266" i="12"/>
  <c r="E266" i="39"/>
  <c r="D250" i="54"/>
  <c r="E250" i="54" s="1"/>
  <c r="D250" i="12"/>
  <c r="E250" i="39"/>
  <c r="D234" i="54"/>
  <c r="E234" i="54" s="1"/>
  <c r="D234" i="12"/>
  <c r="E234" i="39"/>
  <c r="D218" i="54"/>
  <c r="E218" i="54" s="1"/>
  <c r="D218" i="12"/>
  <c r="E218" i="39"/>
  <c r="D202" i="54"/>
  <c r="E202" i="54" s="1"/>
  <c r="E202" i="39"/>
  <c r="D202" i="12"/>
  <c r="D186" i="54"/>
  <c r="E186" i="54" s="1"/>
  <c r="E186" i="39"/>
  <c r="D186" i="12"/>
  <c r="D170" i="54"/>
  <c r="E170" i="54" s="1"/>
  <c r="E170" i="39"/>
  <c r="D170" i="12"/>
  <c r="D124" i="54"/>
  <c r="E124" i="54" s="1"/>
  <c r="D124" i="12"/>
  <c r="E124" i="39"/>
  <c r="D163" i="54"/>
  <c r="E163" i="54" s="1"/>
  <c r="D163" i="12"/>
  <c r="E163" i="39"/>
  <c r="D147" i="54"/>
  <c r="E147" i="54" s="1"/>
  <c r="D147" i="12"/>
  <c r="E147" i="39"/>
  <c r="D131" i="54"/>
  <c r="E131" i="54" s="1"/>
  <c r="D131" i="12"/>
  <c r="E131" i="39"/>
  <c r="D59" i="54"/>
  <c r="E59" i="54" s="1"/>
  <c r="E59" i="39"/>
  <c r="D59" i="12"/>
  <c r="D146" i="54"/>
  <c r="E146" i="54" s="1"/>
  <c r="E146" i="39"/>
  <c r="D146" i="12"/>
  <c r="D130" i="54"/>
  <c r="E130" i="54" s="1"/>
  <c r="E130" i="39"/>
  <c r="D130" i="12"/>
  <c r="D115" i="54"/>
  <c r="E115" i="54" s="1"/>
  <c r="D115" i="12"/>
  <c r="E115" i="39"/>
  <c r="D99" i="54"/>
  <c r="E99" i="54" s="1"/>
  <c r="D99" i="12"/>
  <c r="E99" i="39"/>
  <c r="D63" i="54"/>
  <c r="E63" i="54" s="1"/>
  <c r="E63" i="39"/>
  <c r="D63" i="12"/>
  <c r="D169" i="54"/>
  <c r="E169" i="54" s="1"/>
  <c r="E169" i="39"/>
  <c r="D169" i="12"/>
  <c r="D153" i="54"/>
  <c r="E153" i="54" s="1"/>
  <c r="D153" i="12"/>
  <c r="E153" i="39"/>
  <c r="D137" i="54"/>
  <c r="E137" i="54" s="1"/>
  <c r="D137" i="12"/>
  <c r="E137" i="39"/>
  <c r="D121" i="54"/>
  <c r="E121" i="54" s="1"/>
  <c r="E121" i="39"/>
  <c r="D121" i="12"/>
  <c r="D35" i="54"/>
  <c r="E35" i="54" s="1"/>
  <c r="D35" i="12"/>
  <c r="E35" i="39"/>
  <c r="D118" i="54"/>
  <c r="E118" i="54" s="1"/>
  <c r="E118" i="39"/>
  <c r="D118" i="12"/>
  <c r="D102" i="54"/>
  <c r="E102" i="54" s="1"/>
  <c r="E102" i="39"/>
  <c r="D102" i="12"/>
  <c r="D86" i="54"/>
  <c r="E86" i="54" s="1"/>
  <c r="E86" i="39"/>
  <c r="D86" i="12"/>
  <c r="D70" i="54"/>
  <c r="E70" i="54" s="1"/>
  <c r="E70" i="39"/>
  <c r="D70" i="12"/>
  <c r="D54" i="54"/>
  <c r="E54" i="54" s="1"/>
  <c r="E54" i="39"/>
  <c r="D54" i="12"/>
  <c r="D38" i="54"/>
  <c r="E38" i="54" s="1"/>
  <c r="E38" i="39"/>
  <c r="D38" i="12"/>
  <c r="D22" i="54"/>
  <c r="E22" i="54" s="1"/>
  <c r="E22" i="39"/>
  <c r="D22" i="12"/>
  <c r="D117" i="54"/>
  <c r="E117" i="54" s="1"/>
  <c r="E117" i="39"/>
  <c r="D117" i="12"/>
  <c r="D101" i="54"/>
  <c r="E101" i="54" s="1"/>
  <c r="E101" i="39"/>
  <c r="D101" i="12"/>
  <c r="D85" i="54"/>
  <c r="E85" i="54" s="1"/>
  <c r="E85" i="39"/>
  <c r="D85" i="12"/>
  <c r="D69" i="54"/>
  <c r="E69" i="54" s="1"/>
  <c r="E69" i="39"/>
  <c r="D69" i="12"/>
  <c r="D53" i="54"/>
  <c r="E53" i="54" s="1"/>
  <c r="E53" i="39"/>
  <c r="D53" i="12"/>
  <c r="D37" i="54"/>
  <c r="E37" i="54" s="1"/>
  <c r="E37" i="39"/>
  <c r="D37" i="12"/>
  <c r="D21" i="54"/>
  <c r="E21" i="54" s="1"/>
  <c r="E21" i="39"/>
  <c r="D21" i="12"/>
  <c r="D84" i="54"/>
  <c r="E84" i="54" s="1"/>
  <c r="D84" i="12"/>
  <c r="E84" i="39"/>
  <c r="D68" i="54"/>
  <c r="E68" i="54" s="1"/>
  <c r="D68" i="12"/>
  <c r="E68" i="39"/>
  <c r="D52" i="54"/>
  <c r="E52" i="54" s="1"/>
  <c r="D52" i="12"/>
  <c r="E52" i="39"/>
  <c r="D36" i="54"/>
  <c r="E36" i="54" s="1"/>
  <c r="D36" i="12"/>
  <c r="E36" i="39"/>
  <c r="D20" i="54"/>
  <c r="E20" i="54" s="1"/>
  <c r="D20" i="12"/>
  <c r="E20" i="39"/>
  <c r="D299" i="54"/>
  <c r="E299" i="54" s="1"/>
  <c r="D299" i="12"/>
  <c r="E299" i="39"/>
  <c r="D267" i="54"/>
  <c r="E267" i="54" s="1"/>
  <c r="D267" i="12"/>
  <c r="E267" i="39"/>
  <c r="D233" i="54"/>
  <c r="E233" i="54" s="1"/>
  <c r="E233" i="39"/>
  <c r="D233" i="12"/>
  <c r="D232" i="54"/>
  <c r="E232" i="54" s="1"/>
  <c r="E232" i="39"/>
  <c r="D232" i="12"/>
  <c r="D200" i="54"/>
  <c r="E200" i="54" s="1"/>
  <c r="E200" i="39"/>
  <c r="D200" i="12"/>
  <c r="D119" i="54"/>
  <c r="E119" i="54" s="1"/>
  <c r="D119" i="12"/>
  <c r="E119" i="39"/>
  <c r="D239" i="54"/>
  <c r="E239" i="54" s="1"/>
  <c r="D239" i="12"/>
  <c r="E239" i="39"/>
  <c r="D207" i="54"/>
  <c r="E207" i="54" s="1"/>
  <c r="D207" i="12"/>
  <c r="E207" i="39"/>
  <c r="D152" i="54"/>
  <c r="E152" i="54" s="1"/>
  <c r="E152" i="39"/>
  <c r="D152" i="12"/>
  <c r="D262" i="54"/>
  <c r="E262" i="54" s="1"/>
  <c r="D262" i="12"/>
  <c r="E262" i="39"/>
  <c r="D214" i="54"/>
  <c r="E214" i="54" s="1"/>
  <c r="D214" i="12"/>
  <c r="E214" i="39"/>
  <c r="D198" i="54"/>
  <c r="E198" i="54" s="1"/>
  <c r="D198" i="12"/>
  <c r="E198" i="39"/>
  <c r="D162" i="54"/>
  <c r="E162" i="54" s="1"/>
  <c r="E162" i="39"/>
  <c r="D162" i="12"/>
  <c r="D71" i="54"/>
  <c r="E71" i="54" s="1"/>
  <c r="D71" i="12"/>
  <c r="E71" i="39"/>
  <c r="D159" i="54"/>
  <c r="E159" i="54" s="1"/>
  <c r="E159" i="39"/>
  <c r="D159" i="12"/>
  <c r="D143" i="54"/>
  <c r="E143" i="54" s="1"/>
  <c r="E143" i="39"/>
  <c r="D143" i="12"/>
  <c r="D127" i="54"/>
  <c r="E127" i="54" s="1"/>
  <c r="D127" i="12"/>
  <c r="E127" i="39"/>
  <c r="D43" i="54"/>
  <c r="E43" i="54" s="1"/>
  <c r="D43" i="12"/>
  <c r="E43" i="39"/>
  <c r="D142" i="54"/>
  <c r="E142" i="54" s="1"/>
  <c r="E142" i="39"/>
  <c r="D142" i="12"/>
  <c r="D126" i="54"/>
  <c r="E126" i="54" s="1"/>
  <c r="E126" i="39"/>
  <c r="D126" i="12"/>
  <c r="D108" i="54"/>
  <c r="E108" i="54" s="1"/>
  <c r="D108" i="12"/>
  <c r="E108" i="39"/>
  <c r="D92" i="54"/>
  <c r="E92" i="54" s="1"/>
  <c r="D92" i="12"/>
  <c r="E92" i="39"/>
  <c r="D47" i="54"/>
  <c r="E47" i="54" s="1"/>
  <c r="E47" i="39"/>
  <c r="D47" i="12"/>
  <c r="D165" i="54"/>
  <c r="E165" i="54" s="1"/>
  <c r="E165" i="39"/>
  <c r="D165" i="12"/>
  <c r="D149" i="54"/>
  <c r="E149" i="54" s="1"/>
  <c r="E149" i="39"/>
  <c r="D149" i="12"/>
  <c r="D133" i="54"/>
  <c r="E133" i="54" s="1"/>
  <c r="D133" i="12"/>
  <c r="E133" i="39"/>
  <c r="D83" i="54"/>
  <c r="E83" i="54" s="1"/>
  <c r="D83" i="12"/>
  <c r="E83" i="39"/>
  <c r="D19" i="54"/>
  <c r="E19" i="54" s="1"/>
  <c r="E19" i="39"/>
  <c r="D19" i="12"/>
  <c r="D114" i="54"/>
  <c r="E114" i="54" s="1"/>
  <c r="E114" i="39"/>
  <c r="D114" i="12"/>
  <c r="D98" i="54"/>
  <c r="E98" i="54" s="1"/>
  <c r="E98" i="39"/>
  <c r="D98" i="12"/>
  <c r="D82" i="54"/>
  <c r="E82" i="54" s="1"/>
  <c r="E82" i="39"/>
  <c r="D82" i="12"/>
  <c r="D66" i="54"/>
  <c r="E66" i="54" s="1"/>
  <c r="E66" i="39"/>
  <c r="D66" i="12"/>
  <c r="D50" i="54"/>
  <c r="E50" i="54" s="1"/>
  <c r="E50" i="39"/>
  <c r="D50" i="12"/>
  <c r="D34" i="54"/>
  <c r="E34" i="54" s="1"/>
  <c r="E34" i="39"/>
  <c r="D34" i="12"/>
  <c r="D18" i="54"/>
  <c r="E18" i="54" s="1"/>
  <c r="E18" i="39"/>
  <c r="D18" i="12"/>
  <c r="D113" i="54"/>
  <c r="E113" i="54" s="1"/>
  <c r="E113" i="39"/>
  <c r="D113" i="12"/>
  <c r="D97" i="54"/>
  <c r="E97" i="54" s="1"/>
  <c r="E97" i="39"/>
  <c r="D97" i="12"/>
  <c r="D81" i="54"/>
  <c r="E81" i="54" s="1"/>
  <c r="E81" i="39"/>
  <c r="D81" i="12"/>
  <c r="D65" i="54"/>
  <c r="E65" i="54" s="1"/>
  <c r="E65" i="39"/>
  <c r="D65" i="12"/>
  <c r="D49" i="54"/>
  <c r="E49" i="54" s="1"/>
  <c r="E49" i="39"/>
  <c r="D49" i="12"/>
  <c r="D33" i="54"/>
  <c r="E33" i="54" s="1"/>
  <c r="E33" i="39"/>
  <c r="D33" i="12"/>
  <c r="D17" i="54"/>
  <c r="E17" i="54" s="1"/>
  <c r="E17" i="39"/>
  <c r="D17" i="12"/>
  <c r="D80" i="54"/>
  <c r="E80" i="54" s="1"/>
  <c r="D80" i="12"/>
  <c r="E80" i="39"/>
  <c r="D64" i="54"/>
  <c r="E64" i="54" s="1"/>
  <c r="D64" i="12"/>
  <c r="E64" i="39"/>
  <c r="D48" i="54"/>
  <c r="E48" i="54" s="1"/>
  <c r="D48" i="12"/>
  <c r="E48" i="39"/>
  <c r="D32" i="54"/>
  <c r="E32" i="54" s="1"/>
  <c r="D32" i="12"/>
  <c r="E32" i="39"/>
  <c r="D16" i="54"/>
  <c r="E16" i="54" s="1"/>
  <c r="D16" i="12"/>
  <c r="E16" i="39"/>
  <c r="D213" i="54"/>
  <c r="E213" i="54" s="1"/>
  <c r="E213" i="39"/>
  <c r="D213" i="12"/>
  <c r="D302" i="54"/>
  <c r="E302" i="54" s="1"/>
  <c r="D302" i="12"/>
  <c r="E302" i="39"/>
  <c r="D286" i="54"/>
  <c r="E286" i="54" s="1"/>
  <c r="D286" i="12"/>
  <c r="E286" i="39"/>
  <c r="D270" i="54"/>
  <c r="E270" i="54" s="1"/>
  <c r="D270" i="12"/>
  <c r="E270" i="39"/>
  <c r="D248" i="54"/>
  <c r="E248" i="54" s="1"/>
  <c r="E248" i="39"/>
  <c r="D248" i="12"/>
  <c r="D181" i="54"/>
  <c r="E181" i="54" s="1"/>
  <c r="E181" i="39"/>
  <c r="D181" i="12"/>
  <c r="D293" i="54"/>
  <c r="E293" i="54" s="1"/>
  <c r="E293" i="39"/>
  <c r="D293" i="12"/>
  <c r="D277" i="54"/>
  <c r="E277" i="54" s="1"/>
  <c r="E277" i="39"/>
  <c r="D277" i="12"/>
  <c r="D259" i="54"/>
  <c r="E259" i="54" s="1"/>
  <c r="D259" i="12"/>
  <c r="E259" i="39"/>
  <c r="D217" i="54"/>
  <c r="E217" i="54" s="1"/>
  <c r="E217" i="39"/>
  <c r="D217" i="12"/>
  <c r="D156" i="54"/>
  <c r="E156" i="54" s="1"/>
  <c r="E156" i="39"/>
  <c r="D156" i="12"/>
  <c r="D296" i="54"/>
  <c r="E296" i="54" s="1"/>
  <c r="E296" i="39"/>
  <c r="D296" i="12"/>
  <c r="D280" i="54"/>
  <c r="E280" i="54" s="1"/>
  <c r="E280" i="39"/>
  <c r="D280" i="12"/>
  <c r="D256" i="54"/>
  <c r="E256" i="54" s="1"/>
  <c r="E256" i="39"/>
  <c r="D256" i="12"/>
  <c r="D205" i="54"/>
  <c r="E205" i="54" s="1"/>
  <c r="E205" i="39"/>
  <c r="D205" i="12"/>
  <c r="D283" i="54"/>
  <c r="E283" i="54" s="1"/>
  <c r="D283" i="12"/>
  <c r="E283" i="39"/>
  <c r="D249" i="54"/>
  <c r="E249" i="54" s="1"/>
  <c r="E249" i="39"/>
  <c r="D249" i="12"/>
  <c r="D193" i="54"/>
  <c r="E193" i="54" s="1"/>
  <c r="E193" i="39"/>
  <c r="D193" i="12"/>
  <c r="D216" i="54"/>
  <c r="E216" i="54" s="1"/>
  <c r="E216" i="39"/>
  <c r="D216" i="12"/>
  <c r="D184" i="54"/>
  <c r="E184" i="54" s="1"/>
  <c r="D184" i="12"/>
  <c r="E184" i="39"/>
  <c r="D166" i="54"/>
  <c r="E166" i="54" s="1"/>
  <c r="D166" i="12"/>
  <c r="E166" i="39"/>
  <c r="D87" i="54"/>
  <c r="E87" i="54" s="1"/>
  <c r="D87" i="12"/>
  <c r="E87" i="39"/>
  <c r="D223" i="54"/>
  <c r="E223" i="54" s="1"/>
  <c r="D223" i="12"/>
  <c r="E223" i="39"/>
  <c r="D191" i="54"/>
  <c r="E191" i="54" s="1"/>
  <c r="E191" i="39"/>
  <c r="D191" i="12"/>
  <c r="D175" i="54"/>
  <c r="E175" i="54" s="1"/>
  <c r="E175" i="39"/>
  <c r="D175" i="12"/>
  <c r="D104" i="54"/>
  <c r="E104" i="54" s="1"/>
  <c r="D104" i="12"/>
  <c r="E104" i="39"/>
  <c r="D246" i="54"/>
  <c r="E246" i="54" s="1"/>
  <c r="D246" i="12"/>
  <c r="E246" i="39"/>
  <c r="D230" i="54"/>
  <c r="E230" i="54" s="1"/>
  <c r="D230" i="12"/>
  <c r="E230" i="39"/>
  <c r="D182" i="54"/>
  <c r="E182" i="54" s="1"/>
  <c r="D182" i="12"/>
  <c r="E182" i="39"/>
  <c r="D298" i="54"/>
  <c r="E298" i="54" s="1"/>
  <c r="D298" i="12"/>
  <c r="E298" i="39"/>
  <c r="D282" i="54"/>
  <c r="E282" i="54" s="1"/>
  <c r="E282" i="39"/>
  <c r="D282" i="12"/>
  <c r="D264" i="54"/>
  <c r="E264" i="54" s="1"/>
  <c r="E264" i="39"/>
  <c r="D264" i="12"/>
  <c r="D247" i="54"/>
  <c r="E247" i="54" s="1"/>
  <c r="D247" i="12"/>
  <c r="E247" i="39"/>
  <c r="D305" i="54"/>
  <c r="E305" i="54" s="1"/>
  <c r="E305" i="39"/>
  <c r="D305" i="12"/>
  <c r="D289" i="54"/>
  <c r="E289" i="54" s="1"/>
  <c r="E289" i="39"/>
  <c r="D289" i="12"/>
  <c r="D273" i="54"/>
  <c r="E273" i="54" s="1"/>
  <c r="E273" i="39"/>
  <c r="D273" i="12"/>
  <c r="D257" i="54"/>
  <c r="E257" i="54" s="1"/>
  <c r="E257" i="39"/>
  <c r="D257" i="12"/>
  <c r="D201" i="54"/>
  <c r="E201" i="39"/>
  <c r="D201" i="12"/>
  <c r="D128" i="54"/>
  <c r="E128" i="54" s="1"/>
  <c r="D128" i="12"/>
  <c r="E128" i="39"/>
  <c r="D292" i="54"/>
  <c r="E292" i="54" s="1"/>
  <c r="E292" i="39"/>
  <c r="D292" i="12"/>
  <c r="D276" i="54"/>
  <c r="E276" i="54" s="1"/>
  <c r="E276" i="39"/>
  <c r="D276" i="12"/>
  <c r="D255" i="54"/>
  <c r="E255" i="54" s="1"/>
  <c r="D255" i="12"/>
  <c r="E255" i="39"/>
  <c r="D189" i="54"/>
  <c r="E189" i="54" s="1"/>
  <c r="E189" i="39"/>
  <c r="D189" i="12"/>
  <c r="D295" i="54"/>
  <c r="E295" i="54" s="1"/>
  <c r="D295" i="12"/>
  <c r="E295" i="39"/>
  <c r="D279" i="54"/>
  <c r="E279" i="54" s="1"/>
  <c r="D279" i="12"/>
  <c r="E279" i="39"/>
  <c r="D265" i="54"/>
  <c r="E265" i="54" s="1"/>
  <c r="E265" i="39"/>
  <c r="D265" i="12"/>
  <c r="D245" i="54"/>
  <c r="E245" i="54" s="1"/>
  <c r="E245" i="39"/>
  <c r="D245" i="12"/>
  <c r="D229" i="54"/>
  <c r="E229" i="54" s="1"/>
  <c r="E229" i="39"/>
  <c r="D229" i="12"/>
  <c r="D177" i="54"/>
  <c r="E177" i="54" s="1"/>
  <c r="E177" i="39"/>
  <c r="D177" i="12"/>
  <c r="D228" i="54"/>
  <c r="E228" i="54" s="1"/>
  <c r="E228" i="39"/>
  <c r="D228" i="12"/>
  <c r="D212" i="54"/>
  <c r="E212" i="54" s="1"/>
  <c r="E212" i="39"/>
  <c r="D212" i="12"/>
  <c r="D196" i="54"/>
  <c r="E196" i="54" s="1"/>
  <c r="E196" i="39"/>
  <c r="D196" i="12"/>
  <c r="D180" i="54"/>
  <c r="E180" i="54" s="1"/>
  <c r="D180" i="12"/>
  <c r="E180" i="39"/>
  <c r="D158" i="54"/>
  <c r="E158" i="54" s="1"/>
  <c r="E158" i="39"/>
  <c r="D158" i="12"/>
  <c r="D55" i="54"/>
  <c r="E55" i="54" s="1"/>
  <c r="E55" i="39"/>
  <c r="D55" i="12"/>
  <c r="D235" i="54"/>
  <c r="E235" i="54" s="1"/>
  <c r="D235" i="12"/>
  <c r="E235" i="39"/>
  <c r="D219" i="54"/>
  <c r="E219" i="54" s="1"/>
  <c r="D219" i="12"/>
  <c r="E219" i="39"/>
  <c r="D203" i="54"/>
  <c r="E203" i="54" s="1"/>
  <c r="D203" i="12"/>
  <c r="E203" i="39"/>
  <c r="D187" i="54"/>
  <c r="E187" i="54" s="1"/>
  <c r="E187" i="39"/>
  <c r="D187" i="12"/>
  <c r="D171" i="54"/>
  <c r="E171" i="54" s="1"/>
  <c r="E171" i="39"/>
  <c r="D171" i="12"/>
  <c r="D136" i="54"/>
  <c r="E136" i="54" s="1"/>
  <c r="D136" i="12"/>
  <c r="E136" i="39"/>
  <c r="D96" i="54"/>
  <c r="E96" i="54" s="1"/>
  <c r="E96" i="39"/>
  <c r="D96" i="12"/>
  <c r="D258" i="54"/>
  <c r="E258" i="54" s="1"/>
  <c r="D258" i="12"/>
  <c r="E258" i="39"/>
  <c r="D242" i="54"/>
  <c r="E242" i="54" s="1"/>
  <c r="D242" i="12"/>
  <c r="E242" i="39"/>
  <c r="D226" i="54"/>
  <c r="E226" i="54" s="1"/>
  <c r="D226" i="12"/>
  <c r="E226" i="39"/>
  <c r="D210" i="54"/>
  <c r="E210" i="54" s="1"/>
  <c r="D210" i="12"/>
  <c r="E210" i="39"/>
  <c r="D194" i="54"/>
  <c r="E194" i="54" s="1"/>
  <c r="D194" i="12"/>
  <c r="E194" i="39"/>
  <c r="D178" i="54"/>
  <c r="E178" i="54" s="1"/>
  <c r="D178" i="12"/>
  <c r="E178" i="39"/>
  <c r="D154" i="54"/>
  <c r="E154" i="54" s="1"/>
  <c r="E154" i="39"/>
  <c r="D154" i="12"/>
  <c r="D39" i="54"/>
  <c r="E39" i="54" s="1"/>
  <c r="E39" i="39"/>
  <c r="D39" i="12"/>
  <c r="D155" i="54"/>
  <c r="E155" i="54" s="1"/>
  <c r="D155" i="12"/>
  <c r="E155" i="39"/>
  <c r="D139" i="54"/>
  <c r="E139" i="54" s="1"/>
  <c r="D139" i="12"/>
  <c r="E139" i="39"/>
  <c r="D123" i="54"/>
  <c r="E123" i="54" s="1"/>
  <c r="E123" i="39"/>
  <c r="D123" i="12"/>
  <c r="D27" i="54"/>
  <c r="E27" i="54" s="1"/>
  <c r="E27" i="39"/>
  <c r="D27" i="12"/>
  <c r="D138" i="54"/>
  <c r="E138" i="54" s="1"/>
  <c r="E138" i="39"/>
  <c r="D138" i="12"/>
  <c r="D122" i="54"/>
  <c r="E122" i="54" s="1"/>
  <c r="E122" i="39"/>
  <c r="D122" i="12"/>
  <c r="D107" i="54"/>
  <c r="E107" i="54" s="1"/>
  <c r="D107" i="12"/>
  <c r="E107" i="39"/>
  <c r="D91" i="54"/>
  <c r="E91" i="54" s="1"/>
  <c r="D91" i="12"/>
  <c r="E91" i="39"/>
  <c r="D31" i="54"/>
  <c r="E31" i="54" s="1"/>
  <c r="D31" i="12"/>
  <c r="E31" i="39"/>
  <c r="D161" i="54"/>
  <c r="E161" i="54" s="1"/>
  <c r="D161" i="12"/>
  <c r="E161" i="39"/>
  <c r="D145" i="54"/>
  <c r="E145" i="54" s="1"/>
  <c r="D145" i="12"/>
  <c r="E145" i="39"/>
  <c r="D129" i="54"/>
  <c r="E129" i="54" s="1"/>
  <c r="E129" i="39"/>
  <c r="D129" i="12"/>
  <c r="D67" i="54"/>
  <c r="E67" i="54" s="1"/>
  <c r="D67" i="12"/>
  <c r="E67" i="39"/>
  <c r="D11" i="54"/>
  <c r="E11" i="54" s="1"/>
  <c r="E11" i="39"/>
  <c r="D11" i="12"/>
  <c r="D110" i="54"/>
  <c r="E110" i="54" s="1"/>
  <c r="E110" i="39"/>
  <c r="D110" i="12"/>
  <c r="D94" i="54"/>
  <c r="E94" i="54" s="1"/>
  <c r="D94" i="12"/>
  <c r="E94" i="39"/>
  <c r="D78" i="54"/>
  <c r="E78" i="54" s="1"/>
  <c r="E78" i="39"/>
  <c r="D78" i="12"/>
  <c r="D62" i="54"/>
  <c r="E62" i="54" s="1"/>
  <c r="E62" i="39"/>
  <c r="D62" i="12"/>
  <c r="D46" i="54"/>
  <c r="E46" i="54" s="1"/>
  <c r="E46" i="39"/>
  <c r="D46" i="12"/>
  <c r="D30" i="54"/>
  <c r="E30" i="54" s="1"/>
  <c r="E30" i="39"/>
  <c r="D30" i="12"/>
  <c r="D14" i="54"/>
  <c r="E14" i="54" s="1"/>
  <c r="E14" i="39"/>
  <c r="D14" i="12"/>
  <c r="D109" i="54"/>
  <c r="E109" i="54" s="1"/>
  <c r="E109" i="39"/>
  <c r="D109" i="12"/>
  <c r="D93" i="54"/>
  <c r="E93" i="54" s="1"/>
  <c r="E93" i="39"/>
  <c r="D93" i="12"/>
  <c r="D77" i="54"/>
  <c r="E77" i="54" s="1"/>
  <c r="E77" i="39"/>
  <c r="D77" i="12"/>
  <c r="D61" i="54"/>
  <c r="E61" i="54" s="1"/>
  <c r="E61" i="39"/>
  <c r="D61" i="12"/>
  <c r="D45" i="54"/>
  <c r="E45" i="54" s="1"/>
  <c r="E45" i="39"/>
  <c r="D45" i="12"/>
  <c r="D29" i="54"/>
  <c r="E29" i="54" s="1"/>
  <c r="E29" i="39"/>
  <c r="D29" i="12"/>
  <c r="D13" i="54"/>
  <c r="E13" i="54" s="1"/>
  <c r="E13" i="39"/>
  <c r="D13" i="12"/>
  <c r="D76" i="54"/>
  <c r="E76" i="54" s="1"/>
  <c r="D76" i="12"/>
  <c r="E76" i="39"/>
  <c r="D60" i="54"/>
  <c r="E60" i="54" s="1"/>
  <c r="D60" i="12"/>
  <c r="E60" i="39"/>
  <c r="D44" i="54"/>
  <c r="E44" i="54" s="1"/>
  <c r="D44" i="12"/>
  <c r="E44" i="39"/>
  <c r="D28" i="54"/>
  <c r="E28" i="54" s="1"/>
  <c r="D28" i="12"/>
  <c r="E28" i="39"/>
  <c r="D12" i="54"/>
  <c r="E12" i="54" s="1"/>
  <c r="D12" i="12"/>
  <c r="E12" i="39"/>
  <c r="D278" i="54"/>
  <c r="E278" i="54" s="1"/>
  <c r="D278" i="12"/>
  <c r="E278" i="39"/>
  <c r="D285" i="54"/>
  <c r="E285" i="54" s="1"/>
  <c r="E285" i="39"/>
  <c r="D285" i="12"/>
  <c r="D241" i="54"/>
  <c r="E241" i="54" s="1"/>
  <c r="E241" i="39"/>
  <c r="D241" i="12"/>
  <c r="D304" i="54"/>
  <c r="E304" i="54" s="1"/>
  <c r="E304" i="39"/>
  <c r="D304" i="12"/>
  <c r="D288" i="54"/>
  <c r="E288" i="54" s="1"/>
  <c r="E288" i="39"/>
  <c r="D288" i="12"/>
  <c r="D272" i="54"/>
  <c r="E272" i="54" s="1"/>
  <c r="E272" i="39"/>
  <c r="D272" i="12"/>
  <c r="D253" i="54"/>
  <c r="E253" i="39"/>
  <c r="D253" i="12"/>
  <c r="D173" i="54"/>
  <c r="E173" i="54" s="1"/>
  <c r="E173" i="39"/>
  <c r="D173" i="12"/>
  <c r="D291" i="54"/>
  <c r="E291" i="54" s="1"/>
  <c r="D291" i="12"/>
  <c r="E291" i="39"/>
  <c r="D275" i="54"/>
  <c r="E275" i="54" s="1"/>
  <c r="D275" i="12"/>
  <c r="E275" i="39"/>
  <c r="D252" i="54"/>
  <c r="E252" i="54" s="1"/>
  <c r="E252" i="39"/>
  <c r="D252" i="12"/>
  <c r="D244" i="54"/>
  <c r="E244" i="54" s="1"/>
  <c r="E244" i="39"/>
  <c r="D244" i="12"/>
  <c r="D225" i="54"/>
  <c r="E225" i="54" s="1"/>
  <c r="E225" i="39"/>
  <c r="D225" i="12"/>
  <c r="D144" i="54"/>
  <c r="E144" i="54" s="1"/>
  <c r="E144" i="39"/>
  <c r="D144" i="12"/>
  <c r="D224" i="54"/>
  <c r="E224" i="54" s="1"/>
  <c r="E224" i="39"/>
  <c r="D224" i="12"/>
  <c r="D208" i="54"/>
  <c r="E208" i="54" s="1"/>
  <c r="D208" i="12"/>
  <c r="E208" i="39"/>
  <c r="D192" i="54"/>
  <c r="E192" i="54" s="1"/>
  <c r="E192" i="39"/>
  <c r="D192" i="12"/>
  <c r="D176" i="54"/>
  <c r="E176" i="54" s="1"/>
  <c r="D176" i="12"/>
  <c r="E176" i="39"/>
  <c r="D148" i="54"/>
  <c r="E148" i="54" s="1"/>
  <c r="E148" i="39"/>
  <c r="D148" i="12"/>
  <c r="D103" i="54"/>
  <c r="E103" i="54" s="1"/>
  <c r="D103" i="12"/>
  <c r="E103" i="39"/>
  <c r="D23" i="54"/>
  <c r="E23" i="54" s="1"/>
  <c r="D23" i="12"/>
  <c r="E23" i="39"/>
  <c r="D231" i="54"/>
  <c r="E231" i="54" s="1"/>
  <c r="D231" i="12"/>
  <c r="E231" i="39"/>
  <c r="D215" i="54"/>
  <c r="E215" i="54" s="1"/>
  <c r="D215" i="12"/>
  <c r="E215" i="39"/>
  <c r="D199" i="54"/>
  <c r="E199" i="54" s="1"/>
  <c r="E199" i="39"/>
  <c r="D199" i="12"/>
  <c r="D183" i="54"/>
  <c r="E183" i="54" s="1"/>
  <c r="E183" i="39"/>
  <c r="D183" i="12"/>
  <c r="D168" i="54"/>
  <c r="E168" i="54" s="1"/>
  <c r="E168" i="39"/>
  <c r="D168" i="12"/>
  <c r="D120" i="54"/>
  <c r="E120" i="54" s="1"/>
  <c r="D120" i="12"/>
  <c r="E120" i="39"/>
  <c r="D88" i="54"/>
  <c r="E88" i="54" s="1"/>
  <c r="D88" i="12"/>
  <c r="E88" i="39"/>
  <c r="D254" i="54"/>
  <c r="E254" i="54" s="1"/>
  <c r="D254" i="12"/>
  <c r="E254" i="39"/>
  <c r="D238" i="54"/>
  <c r="E238" i="54" s="1"/>
  <c r="D238" i="12"/>
  <c r="E238" i="39"/>
  <c r="D222" i="54"/>
  <c r="E222" i="54" s="1"/>
  <c r="D222" i="12"/>
  <c r="E222" i="39"/>
  <c r="D206" i="54"/>
  <c r="E206" i="54" s="1"/>
  <c r="E206" i="39"/>
  <c r="D206" i="12"/>
  <c r="D190" i="54"/>
  <c r="E190" i="54" s="1"/>
  <c r="E190" i="39"/>
  <c r="D190" i="12"/>
  <c r="D174" i="54"/>
  <c r="E174" i="54" s="1"/>
  <c r="E174" i="39"/>
  <c r="D174" i="12"/>
  <c r="D140" i="54"/>
  <c r="E140" i="54" s="1"/>
  <c r="D140" i="12"/>
  <c r="E140" i="39"/>
  <c r="D167" i="54"/>
  <c r="E167" i="54" s="1"/>
  <c r="E167" i="39"/>
  <c r="D167" i="12"/>
  <c r="D151" i="54"/>
  <c r="E151" i="54" s="1"/>
  <c r="E151" i="39"/>
  <c r="D151" i="12"/>
  <c r="D135" i="54"/>
  <c r="E135" i="54" s="1"/>
  <c r="D135" i="12"/>
  <c r="E135" i="39"/>
  <c r="D75" i="54"/>
  <c r="E75" i="54" s="1"/>
  <c r="D75" i="12"/>
  <c r="E75" i="39"/>
  <c r="D150" i="54"/>
  <c r="E150" i="54" s="1"/>
  <c r="E150" i="39"/>
  <c r="D150" i="12"/>
  <c r="D134" i="54"/>
  <c r="E134" i="54" s="1"/>
  <c r="E134" i="39"/>
  <c r="D134" i="12"/>
  <c r="D116" i="54"/>
  <c r="E116" i="54" s="1"/>
  <c r="D116" i="12"/>
  <c r="E116" i="39"/>
  <c r="D100" i="54"/>
  <c r="E100" i="54" s="1"/>
  <c r="D100" i="12"/>
  <c r="E100" i="39"/>
  <c r="D79" i="54"/>
  <c r="E79" i="54" s="1"/>
  <c r="D79" i="12"/>
  <c r="E79" i="39"/>
  <c r="D15" i="54"/>
  <c r="E15" i="54" s="1"/>
  <c r="D15" i="12"/>
  <c r="E15" i="39"/>
  <c r="D157" i="54"/>
  <c r="E157" i="54" s="1"/>
  <c r="E157" i="39"/>
  <c r="D157" i="12"/>
  <c r="D141" i="54"/>
  <c r="E141" i="54" s="1"/>
  <c r="E141" i="39"/>
  <c r="D141" i="12"/>
  <c r="D125" i="54"/>
  <c r="E125" i="54" s="1"/>
  <c r="E125" i="39"/>
  <c r="D125" i="12"/>
  <c r="D51" i="54"/>
  <c r="E51" i="54" s="1"/>
  <c r="E51" i="39"/>
  <c r="D51" i="12"/>
  <c r="D7" i="54"/>
  <c r="E7" i="54" s="1"/>
  <c r="E7" i="39"/>
  <c r="D7" i="12"/>
  <c r="D106" i="54"/>
  <c r="E106" i="54" s="1"/>
  <c r="E106" i="39"/>
  <c r="D106" i="12"/>
  <c r="D90" i="54"/>
  <c r="E90" i="54" s="1"/>
  <c r="E90" i="39"/>
  <c r="D90" i="12"/>
  <c r="D74" i="54"/>
  <c r="E74" i="54" s="1"/>
  <c r="E74" i="39"/>
  <c r="D74" i="12"/>
  <c r="D58" i="54"/>
  <c r="E58" i="54" s="1"/>
  <c r="E58" i="39"/>
  <c r="D58" i="12"/>
  <c r="D42" i="54"/>
  <c r="E42" i="54" s="1"/>
  <c r="E42" i="39"/>
  <c r="D42" i="12"/>
  <c r="D26" i="54"/>
  <c r="E26" i="54" s="1"/>
  <c r="E26" i="39"/>
  <c r="D26" i="12"/>
  <c r="D10" i="54"/>
  <c r="E10" i="54" s="1"/>
  <c r="E10" i="39"/>
  <c r="D10" i="12"/>
  <c r="D105" i="54"/>
  <c r="E105" i="54" s="1"/>
  <c r="E105" i="39"/>
  <c r="D105" i="12"/>
  <c r="D89" i="54"/>
  <c r="E89" i="54" s="1"/>
  <c r="E89" i="39"/>
  <c r="D89" i="12"/>
  <c r="D73" i="54"/>
  <c r="E73" i="54" s="1"/>
  <c r="E73" i="39"/>
  <c r="D73" i="12"/>
  <c r="D57" i="54"/>
  <c r="E57" i="54" s="1"/>
  <c r="E57" i="39"/>
  <c r="D57" i="12"/>
  <c r="D41" i="54"/>
  <c r="E41" i="54" s="1"/>
  <c r="E41" i="39"/>
  <c r="D41" i="12"/>
  <c r="D25" i="54"/>
  <c r="E25" i="54" s="1"/>
  <c r="E25" i="39"/>
  <c r="D25" i="12"/>
  <c r="D9" i="54"/>
  <c r="E9" i="54" s="1"/>
  <c r="E9" i="39"/>
  <c r="D9" i="12"/>
  <c r="D72" i="54"/>
  <c r="E72" i="54" s="1"/>
  <c r="D72" i="12"/>
  <c r="E72" i="39"/>
  <c r="D56" i="54"/>
  <c r="E56" i="54" s="1"/>
  <c r="D56" i="12"/>
  <c r="E56" i="39"/>
  <c r="D40" i="54"/>
  <c r="E40" i="54" s="1"/>
  <c r="D40" i="12"/>
  <c r="E40" i="39"/>
  <c r="D24" i="54"/>
  <c r="E24" i="54" s="1"/>
  <c r="E24" i="39"/>
  <c r="D24" i="12"/>
  <c r="D8" i="54"/>
  <c r="E8" i="54" s="1"/>
  <c r="D8" i="12"/>
  <c r="E8" i="39"/>
  <c r="C5" i="34"/>
  <c r="C8" i="34" s="1"/>
  <c r="I12" i="9"/>
  <c r="G5" i="25" s="1"/>
  <c r="H312" i="9"/>
  <c r="E201" i="54" l="1"/>
  <c r="D61" i="48" s="1"/>
  <c r="D60" i="48"/>
  <c r="E253" i="54"/>
  <c r="D111" i="12"/>
  <c r="G110" i="25"/>
  <c r="D111" i="54" s="1"/>
  <c r="E111" i="54" s="1"/>
  <c r="D6" i="12"/>
  <c r="E6" i="39"/>
  <c r="D6" i="54"/>
  <c r="G11" i="34"/>
  <c r="G306" i="12"/>
  <c r="I312" i="9"/>
  <c r="D306" i="12" s="1"/>
  <c r="D306" i="54" l="1"/>
  <c r="E6" i="54"/>
  <c r="E306" i="54" s="1"/>
  <c r="G305" i="25"/>
  <c r="C306" i="54" l="1"/>
  <c r="D5" i="34"/>
  <c r="D6" i="34" l="1"/>
  <c r="D8" i="34" s="1"/>
  <c r="J11" i="34" s="1"/>
  <c r="J91" i="34" l="1"/>
  <c r="H85" i="12" s="1"/>
  <c r="I85" i="12" s="1"/>
  <c r="J95" i="34"/>
  <c r="H89" i="12" s="1"/>
  <c r="I89" i="12" s="1"/>
  <c r="J15" i="34"/>
  <c r="H9" i="12" s="1"/>
  <c r="I9" i="12" s="1"/>
  <c r="J19" i="34"/>
  <c r="H13" i="12" s="1"/>
  <c r="I13" i="12" s="1"/>
  <c r="J23" i="34"/>
  <c r="H17" i="12" s="1"/>
  <c r="I17" i="12" s="1"/>
  <c r="J27" i="34"/>
  <c r="H21" i="12" s="1"/>
  <c r="I21" i="12" s="1"/>
  <c r="J31" i="34"/>
  <c r="H25" i="12" s="1"/>
  <c r="I25" i="12" s="1"/>
  <c r="J35" i="34"/>
  <c r="H29" i="12" s="1"/>
  <c r="I29" i="12" s="1"/>
  <c r="J39" i="34"/>
  <c r="H33" i="12" s="1"/>
  <c r="I33" i="12" s="1"/>
  <c r="J43" i="34"/>
  <c r="H37" i="12" s="1"/>
  <c r="I37" i="12" s="1"/>
  <c r="J47" i="34"/>
  <c r="H41" i="12" s="1"/>
  <c r="I41" i="12" s="1"/>
  <c r="J51" i="34"/>
  <c r="H45" i="12" s="1"/>
  <c r="I45" i="12" s="1"/>
  <c r="J55" i="34"/>
  <c r="H49" i="12" s="1"/>
  <c r="I49" i="12" s="1"/>
  <c r="J59" i="34"/>
  <c r="H53" i="12" s="1"/>
  <c r="I53" i="12" s="1"/>
  <c r="J63" i="34"/>
  <c r="H57" i="12" s="1"/>
  <c r="I57" i="12" s="1"/>
  <c r="J67" i="34"/>
  <c r="H61" i="12" s="1"/>
  <c r="I61" i="12" s="1"/>
  <c r="J71" i="34"/>
  <c r="H65" i="12" s="1"/>
  <c r="I65" i="12" s="1"/>
  <c r="J75" i="34"/>
  <c r="H69" i="12" s="1"/>
  <c r="I69" i="12" s="1"/>
  <c r="J79" i="34"/>
  <c r="H73" i="12" s="1"/>
  <c r="I73" i="12" s="1"/>
  <c r="J83" i="34"/>
  <c r="H77" i="12" s="1"/>
  <c r="I77" i="12" s="1"/>
  <c r="J87" i="34"/>
  <c r="H81" i="12" s="1"/>
  <c r="I81" i="12" s="1"/>
  <c r="J99" i="34"/>
  <c r="H93" i="12" s="1"/>
  <c r="I93" i="12" s="1"/>
  <c r="J103" i="34"/>
  <c r="H97" i="12" s="1"/>
  <c r="I97" i="12" s="1"/>
  <c r="J107" i="34"/>
  <c r="H101" i="12" s="1"/>
  <c r="I101" i="12" s="1"/>
  <c r="J111" i="34"/>
  <c r="H105" i="12" s="1"/>
  <c r="I105" i="12" s="1"/>
  <c r="J115" i="34"/>
  <c r="H109" i="12" s="1"/>
  <c r="I109" i="12" s="1"/>
  <c r="J108" i="34"/>
  <c r="H102" i="12" s="1"/>
  <c r="I102" i="12" s="1"/>
  <c r="J116" i="34"/>
  <c r="H110" i="12" s="1"/>
  <c r="I110" i="12" s="1"/>
  <c r="J119" i="34"/>
  <c r="H113" i="12" s="1"/>
  <c r="I113" i="12" s="1"/>
  <c r="J123" i="34"/>
  <c r="H117" i="12" s="1"/>
  <c r="I117" i="12" s="1"/>
  <c r="J127" i="34"/>
  <c r="H121" i="12" s="1"/>
  <c r="I121" i="12" s="1"/>
  <c r="J131" i="34"/>
  <c r="H125" i="12" s="1"/>
  <c r="I125" i="12" s="1"/>
  <c r="J135" i="34"/>
  <c r="H129" i="12" s="1"/>
  <c r="I129" i="12" s="1"/>
  <c r="J139" i="34"/>
  <c r="H133" i="12" s="1"/>
  <c r="I133" i="12" s="1"/>
  <c r="J143" i="34"/>
  <c r="H137" i="12" s="1"/>
  <c r="I137" i="12" s="1"/>
  <c r="J147" i="34"/>
  <c r="H141" i="12" s="1"/>
  <c r="I141" i="12" s="1"/>
  <c r="J151" i="34"/>
  <c r="H145" i="12" s="1"/>
  <c r="I145" i="12" s="1"/>
  <c r="J155" i="34"/>
  <c r="H149" i="12" s="1"/>
  <c r="I149" i="12" s="1"/>
  <c r="J159" i="34"/>
  <c r="H153" i="12" s="1"/>
  <c r="I153" i="12" s="1"/>
  <c r="J164" i="34"/>
  <c r="H158" i="12" s="1"/>
  <c r="I158" i="12" s="1"/>
  <c r="J168" i="34"/>
  <c r="H162" i="12" s="1"/>
  <c r="I162" i="12" s="1"/>
  <c r="J172" i="34"/>
  <c r="H166" i="12" s="1"/>
  <c r="I166" i="12" s="1"/>
  <c r="J176" i="34"/>
  <c r="H170" i="12" s="1"/>
  <c r="I170" i="12" s="1"/>
  <c r="J180" i="34"/>
  <c r="H174" i="12" s="1"/>
  <c r="I174" i="12" s="1"/>
  <c r="J184" i="34"/>
  <c r="H178" i="12" s="1"/>
  <c r="I178" i="12" s="1"/>
  <c r="J188" i="34"/>
  <c r="H182" i="12" s="1"/>
  <c r="I182" i="12" s="1"/>
  <c r="J192" i="34"/>
  <c r="H186" i="12" s="1"/>
  <c r="I186" i="12" s="1"/>
  <c r="J196" i="34"/>
  <c r="H190" i="12" s="1"/>
  <c r="I190" i="12" s="1"/>
  <c r="J200" i="34"/>
  <c r="H194" i="12" s="1"/>
  <c r="I194" i="12" s="1"/>
  <c r="J204" i="34"/>
  <c r="H198" i="12" s="1"/>
  <c r="I198" i="12" s="1"/>
  <c r="J208" i="34"/>
  <c r="H202" i="12" s="1"/>
  <c r="I202" i="12" s="1"/>
  <c r="J212" i="34"/>
  <c r="H206" i="12" s="1"/>
  <c r="I206" i="12" s="1"/>
  <c r="J216" i="34"/>
  <c r="H210" i="12" s="1"/>
  <c r="I210" i="12" s="1"/>
  <c r="J220" i="34"/>
  <c r="H214" i="12" s="1"/>
  <c r="I214" i="12" s="1"/>
  <c r="J224" i="34"/>
  <c r="H218" i="12" s="1"/>
  <c r="I218" i="12" s="1"/>
  <c r="J228" i="34"/>
  <c r="H222" i="12" s="1"/>
  <c r="I222" i="12" s="1"/>
  <c r="J232" i="34"/>
  <c r="H226" i="12" s="1"/>
  <c r="I226" i="12" s="1"/>
  <c r="J236" i="34"/>
  <c r="H230" i="12" s="1"/>
  <c r="I230" i="12" s="1"/>
  <c r="J240" i="34"/>
  <c r="H234" i="12" s="1"/>
  <c r="I234" i="12" s="1"/>
  <c r="J244" i="34"/>
  <c r="H238" i="12" s="1"/>
  <c r="I238" i="12" s="1"/>
  <c r="J248" i="34"/>
  <c r="H242" i="12" s="1"/>
  <c r="I242" i="12" s="1"/>
  <c r="J252" i="34"/>
  <c r="H246" i="12" s="1"/>
  <c r="I246" i="12" s="1"/>
  <c r="J256" i="34"/>
  <c r="H250" i="12" s="1"/>
  <c r="I250" i="12" s="1"/>
  <c r="J260" i="34"/>
  <c r="H254" i="12" s="1"/>
  <c r="I254" i="12" s="1"/>
  <c r="J264" i="34"/>
  <c r="H258" i="12" s="1"/>
  <c r="I258" i="12" s="1"/>
  <c r="J268" i="34"/>
  <c r="H262" i="12" s="1"/>
  <c r="I262" i="12" s="1"/>
  <c r="J272" i="34"/>
  <c r="H266" i="12" s="1"/>
  <c r="I266" i="12" s="1"/>
  <c r="J276" i="34"/>
  <c r="H270" i="12" s="1"/>
  <c r="I270" i="12" s="1"/>
  <c r="J280" i="34"/>
  <c r="H274" i="12" s="1"/>
  <c r="I274" i="12" s="1"/>
  <c r="J284" i="34"/>
  <c r="H278" i="12" s="1"/>
  <c r="I278" i="12" s="1"/>
  <c r="J163" i="34"/>
  <c r="H157" i="12" s="1"/>
  <c r="I157" i="12" s="1"/>
  <c r="J112" i="34"/>
  <c r="H106" i="12" s="1"/>
  <c r="I106" i="12" s="1"/>
  <c r="J292" i="34"/>
  <c r="H286" i="12" s="1"/>
  <c r="I286" i="12" s="1"/>
  <c r="J296" i="34"/>
  <c r="H290" i="12" s="1"/>
  <c r="I290" i="12" s="1"/>
  <c r="J300" i="34"/>
  <c r="H294" i="12" s="1"/>
  <c r="I294" i="12" s="1"/>
  <c r="J304" i="34"/>
  <c r="H298" i="12" s="1"/>
  <c r="I298" i="12" s="1"/>
  <c r="J308" i="34"/>
  <c r="H302" i="12" s="1"/>
  <c r="I302" i="12" s="1"/>
  <c r="J104" i="34"/>
  <c r="H98" i="12" s="1"/>
  <c r="I98" i="12" s="1"/>
  <c r="J288" i="34"/>
  <c r="H282" i="12" s="1"/>
  <c r="I282" i="12" s="1"/>
  <c r="J169" i="34"/>
  <c r="H163" i="12" s="1"/>
  <c r="I163" i="12" s="1"/>
  <c r="J170" i="34"/>
  <c r="H164" i="12" s="1"/>
  <c r="I164" i="12" s="1"/>
  <c r="J177" i="34"/>
  <c r="H171" i="12" s="1"/>
  <c r="I171" i="12" s="1"/>
  <c r="J178" i="34"/>
  <c r="H172" i="12" s="1"/>
  <c r="I172" i="12" s="1"/>
  <c r="J185" i="34"/>
  <c r="H179" i="12" s="1"/>
  <c r="I179" i="12" s="1"/>
  <c r="J186" i="34"/>
  <c r="H180" i="12" s="1"/>
  <c r="I180" i="12" s="1"/>
  <c r="J193" i="34"/>
  <c r="H187" i="12" s="1"/>
  <c r="I187" i="12" s="1"/>
  <c r="J194" i="34"/>
  <c r="H188" i="12" s="1"/>
  <c r="I188" i="12" s="1"/>
  <c r="J201" i="34"/>
  <c r="H195" i="12" s="1"/>
  <c r="I195" i="12" s="1"/>
  <c r="J202" i="34"/>
  <c r="H196" i="12" s="1"/>
  <c r="I196" i="12" s="1"/>
  <c r="J209" i="34"/>
  <c r="H203" i="12" s="1"/>
  <c r="I203" i="12" s="1"/>
  <c r="J210" i="34"/>
  <c r="H204" i="12" s="1"/>
  <c r="I204" i="12" s="1"/>
  <c r="J217" i="34"/>
  <c r="H211" i="12" s="1"/>
  <c r="I211" i="12" s="1"/>
  <c r="J218" i="34"/>
  <c r="H212" i="12" s="1"/>
  <c r="I212" i="12" s="1"/>
  <c r="J225" i="34"/>
  <c r="H219" i="12" s="1"/>
  <c r="I219" i="12" s="1"/>
  <c r="J226" i="34"/>
  <c r="H220" i="12" s="1"/>
  <c r="I220" i="12" s="1"/>
  <c r="J233" i="34"/>
  <c r="H227" i="12" s="1"/>
  <c r="I227" i="12" s="1"/>
  <c r="J234" i="34"/>
  <c r="H228" i="12" s="1"/>
  <c r="I228" i="12" s="1"/>
  <c r="J241" i="34"/>
  <c r="H235" i="12" s="1"/>
  <c r="I235" i="12" s="1"/>
  <c r="J242" i="34"/>
  <c r="H236" i="12" s="1"/>
  <c r="I236" i="12" s="1"/>
  <c r="J249" i="34"/>
  <c r="H243" i="12" s="1"/>
  <c r="I243" i="12" s="1"/>
  <c r="J250" i="34"/>
  <c r="H244" i="12" s="1"/>
  <c r="I244" i="12" s="1"/>
  <c r="J257" i="34"/>
  <c r="H251" i="12" s="1"/>
  <c r="I251" i="12" s="1"/>
  <c r="J258" i="34"/>
  <c r="H252" i="12" s="1"/>
  <c r="I252" i="12" s="1"/>
  <c r="J265" i="34"/>
  <c r="H259" i="12" s="1"/>
  <c r="I259" i="12" s="1"/>
  <c r="J266" i="34"/>
  <c r="H260" i="12" s="1"/>
  <c r="I260" i="12" s="1"/>
  <c r="J273" i="34"/>
  <c r="H267" i="12" s="1"/>
  <c r="I267" i="12" s="1"/>
  <c r="J274" i="34"/>
  <c r="H268" i="12" s="1"/>
  <c r="I268" i="12" s="1"/>
  <c r="J281" i="34"/>
  <c r="H275" i="12" s="1"/>
  <c r="I275" i="12" s="1"/>
  <c r="J282" i="34"/>
  <c r="H276" i="12" s="1"/>
  <c r="I276" i="12" s="1"/>
  <c r="J289" i="34"/>
  <c r="H283" i="12" s="1"/>
  <c r="I283" i="12" s="1"/>
  <c r="J293" i="34"/>
  <c r="H287" i="12" s="1"/>
  <c r="I287" i="12" s="1"/>
  <c r="J297" i="34"/>
  <c r="H291" i="12" s="1"/>
  <c r="I291" i="12" s="1"/>
  <c r="J301" i="34"/>
  <c r="H295" i="12" s="1"/>
  <c r="I295" i="12" s="1"/>
  <c r="J305" i="34"/>
  <c r="H299" i="12" s="1"/>
  <c r="I299" i="12" s="1"/>
  <c r="J309" i="34"/>
  <c r="H303" i="12" s="1"/>
  <c r="I303" i="12" s="1"/>
  <c r="J92" i="34"/>
  <c r="H86" i="12" s="1"/>
  <c r="I86" i="12" s="1"/>
  <c r="J96" i="34"/>
  <c r="H90" i="12" s="1"/>
  <c r="I90" i="12" s="1"/>
  <c r="J97" i="34"/>
  <c r="H91" i="12" s="1"/>
  <c r="I91" i="12" s="1"/>
  <c r="J101" i="34"/>
  <c r="H95" i="12" s="1"/>
  <c r="I95" i="12" s="1"/>
  <c r="J93" i="34"/>
  <c r="H87" i="12" s="1"/>
  <c r="I87" i="12" s="1"/>
  <c r="J165" i="34"/>
  <c r="H159" i="12" s="1"/>
  <c r="I159" i="12" s="1"/>
  <c r="J166" i="34"/>
  <c r="H160" i="12" s="1"/>
  <c r="I160" i="12" s="1"/>
  <c r="J173" i="34"/>
  <c r="H167" i="12" s="1"/>
  <c r="I167" i="12" s="1"/>
  <c r="J174" i="34"/>
  <c r="H168" i="12" s="1"/>
  <c r="I168" i="12" s="1"/>
  <c r="J181" i="34"/>
  <c r="H175" i="12" s="1"/>
  <c r="I175" i="12" s="1"/>
  <c r="J182" i="34"/>
  <c r="H176" i="12" s="1"/>
  <c r="I176" i="12" s="1"/>
  <c r="J189" i="34"/>
  <c r="H183" i="12" s="1"/>
  <c r="I183" i="12" s="1"/>
  <c r="J190" i="34"/>
  <c r="H184" i="12" s="1"/>
  <c r="I184" i="12" s="1"/>
  <c r="J197" i="34"/>
  <c r="H191" i="12" s="1"/>
  <c r="I191" i="12" s="1"/>
  <c r="J198" i="34"/>
  <c r="H192" i="12" s="1"/>
  <c r="I192" i="12" s="1"/>
  <c r="J205" i="34"/>
  <c r="H199" i="12" s="1"/>
  <c r="I199" i="12" s="1"/>
  <c r="J206" i="34"/>
  <c r="H200" i="12" s="1"/>
  <c r="I200" i="12" s="1"/>
  <c r="J213" i="34"/>
  <c r="H207" i="12" s="1"/>
  <c r="I207" i="12" s="1"/>
  <c r="J214" i="34"/>
  <c r="H208" i="12" s="1"/>
  <c r="I208" i="12" s="1"/>
  <c r="J221" i="34"/>
  <c r="H215" i="12" s="1"/>
  <c r="I215" i="12" s="1"/>
  <c r="J222" i="34"/>
  <c r="H216" i="12" s="1"/>
  <c r="I216" i="12" s="1"/>
  <c r="J229" i="34"/>
  <c r="H223" i="12" s="1"/>
  <c r="I223" i="12" s="1"/>
  <c r="J230" i="34"/>
  <c r="H224" i="12" s="1"/>
  <c r="I224" i="12" s="1"/>
  <c r="J237" i="34"/>
  <c r="H231" i="12" s="1"/>
  <c r="I231" i="12" s="1"/>
  <c r="J238" i="34"/>
  <c r="H232" i="12" s="1"/>
  <c r="I232" i="12" s="1"/>
  <c r="J245" i="34"/>
  <c r="H239" i="12" s="1"/>
  <c r="I239" i="12" s="1"/>
  <c r="J246" i="34"/>
  <c r="H240" i="12" s="1"/>
  <c r="I240" i="12" s="1"/>
  <c r="J253" i="34"/>
  <c r="H247" i="12" s="1"/>
  <c r="I247" i="12" s="1"/>
  <c r="J254" i="34"/>
  <c r="H248" i="12" s="1"/>
  <c r="I248" i="12" s="1"/>
  <c r="J261" i="34"/>
  <c r="H255" i="12" s="1"/>
  <c r="I255" i="12" s="1"/>
  <c r="J262" i="34"/>
  <c r="H256" i="12" s="1"/>
  <c r="I256" i="12" s="1"/>
  <c r="J269" i="34"/>
  <c r="H263" i="12" s="1"/>
  <c r="I263" i="12" s="1"/>
  <c r="J270" i="34"/>
  <c r="H264" i="12" s="1"/>
  <c r="I264" i="12" s="1"/>
  <c r="J277" i="34"/>
  <c r="H271" i="12" s="1"/>
  <c r="I271" i="12" s="1"/>
  <c r="J278" i="34"/>
  <c r="H272" i="12" s="1"/>
  <c r="I272" i="12" s="1"/>
  <c r="J285" i="34"/>
  <c r="H279" i="12" s="1"/>
  <c r="I279" i="12" s="1"/>
  <c r="J156" i="34"/>
  <c r="H150" i="12" s="1"/>
  <c r="I150" i="12" s="1"/>
  <c r="J124" i="34"/>
  <c r="H118" i="12" s="1"/>
  <c r="I118" i="12" s="1"/>
  <c r="J243" i="34"/>
  <c r="H237" i="12" s="1"/>
  <c r="I237" i="12" s="1"/>
  <c r="J179" i="34"/>
  <c r="H173" i="12" s="1"/>
  <c r="I173" i="12" s="1"/>
  <c r="J263" i="34"/>
  <c r="H257" i="12" s="1"/>
  <c r="I257" i="12" s="1"/>
  <c r="J231" i="34"/>
  <c r="H225" i="12" s="1"/>
  <c r="I225" i="12" s="1"/>
  <c r="J199" i="34"/>
  <c r="H193" i="12" s="1"/>
  <c r="I193" i="12" s="1"/>
  <c r="J167" i="34"/>
  <c r="H161" i="12" s="1"/>
  <c r="I161" i="12" s="1"/>
  <c r="J307" i="34"/>
  <c r="H301" i="12" s="1"/>
  <c r="I301" i="12" s="1"/>
  <c r="J299" i="34"/>
  <c r="H293" i="12" s="1"/>
  <c r="I293" i="12" s="1"/>
  <c r="J291" i="34"/>
  <c r="H285" i="12" s="1"/>
  <c r="I285" i="12" s="1"/>
  <c r="J219" i="34"/>
  <c r="H213" i="12" s="1"/>
  <c r="I213" i="12" s="1"/>
  <c r="J195" i="34"/>
  <c r="H189" i="12" s="1"/>
  <c r="I189" i="12" s="1"/>
  <c r="J160" i="34"/>
  <c r="H154" i="12" s="1"/>
  <c r="I154" i="12" s="1"/>
  <c r="J128" i="34"/>
  <c r="H122" i="12" s="1"/>
  <c r="I122" i="12" s="1"/>
  <c r="J98" i="34"/>
  <c r="H92" i="12" s="1"/>
  <c r="I92" i="12" s="1"/>
  <c r="J86" i="34"/>
  <c r="H80" i="12" s="1"/>
  <c r="I80" i="12" s="1"/>
  <c r="J78" i="34"/>
  <c r="H72" i="12" s="1"/>
  <c r="I72" i="12" s="1"/>
  <c r="J70" i="34"/>
  <c r="H64" i="12" s="1"/>
  <c r="I64" i="12" s="1"/>
  <c r="J62" i="34"/>
  <c r="H56" i="12" s="1"/>
  <c r="I56" i="12" s="1"/>
  <c r="J54" i="34"/>
  <c r="H48" i="12" s="1"/>
  <c r="I48" i="12" s="1"/>
  <c r="J46" i="34"/>
  <c r="H40" i="12" s="1"/>
  <c r="I40" i="12" s="1"/>
  <c r="J38" i="34"/>
  <c r="H32" i="12" s="1"/>
  <c r="I32" i="12" s="1"/>
  <c r="J30" i="34"/>
  <c r="H24" i="12" s="1"/>
  <c r="I24" i="12" s="1"/>
  <c r="J22" i="34"/>
  <c r="H16" i="12" s="1"/>
  <c r="I16" i="12" s="1"/>
  <c r="J14" i="34"/>
  <c r="H8" i="12" s="1"/>
  <c r="I8" i="12" s="1"/>
  <c r="J162" i="34"/>
  <c r="H156" i="12" s="1"/>
  <c r="I156" i="12" s="1"/>
  <c r="J146" i="34"/>
  <c r="H140" i="12" s="1"/>
  <c r="I140" i="12" s="1"/>
  <c r="J130" i="34"/>
  <c r="H124" i="12" s="1"/>
  <c r="I124" i="12" s="1"/>
  <c r="J161" i="34"/>
  <c r="H155" i="12" s="1"/>
  <c r="I155" i="12" s="1"/>
  <c r="J145" i="34"/>
  <c r="H139" i="12" s="1"/>
  <c r="I139" i="12" s="1"/>
  <c r="J129" i="34"/>
  <c r="H123" i="12" s="1"/>
  <c r="I123" i="12" s="1"/>
  <c r="J89" i="34"/>
  <c r="H83" i="12" s="1"/>
  <c r="I83" i="12" s="1"/>
  <c r="J73" i="34"/>
  <c r="H67" i="12" s="1"/>
  <c r="I67" i="12" s="1"/>
  <c r="J57" i="34"/>
  <c r="H51" i="12" s="1"/>
  <c r="I51" i="12" s="1"/>
  <c r="J41" i="34"/>
  <c r="H35" i="12" s="1"/>
  <c r="I35" i="12" s="1"/>
  <c r="J25" i="34"/>
  <c r="H19" i="12" s="1"/>
  <c r="I19" i="12" s="1"/>
  <c r="J16" i="34"/>
  <c r="H10" i="12" s="1"/>
  <c r="I10" i="12" s="1"/>
  <c r="J149" i="34"/>
  <c r="H143" i="12" s="1"/>
  <c r="I143" i="12" s="1"/>
  <c r="J106" i="34"/>
  <c r="H100" i="12" s="1"/>
  <c r="I100" i="12" s="1"/>
  <c r="J61" i="34"/>
  <c r="H55" i="12" s="1"/>
  <c r="I55" i="12" s="1"/>
  <c r="J13" i="34"/>
  <c r="H7" i="12" s="1"/>
  <c r="I7" i="12" s="1"/>
  <c r="J148" i="34"/>
  <c r="H142" i="12" s="1"/>
  <c r="I142" i="12" s="1"/>
  <c r="J283" i="34"/>
  <c r="H277" i="12" s="1"/>
  <c r="I277" i="12" s="1"/>
  <c r="J259" i="34"/>
  <c r="H253" i="12" s="1"/>
  <c r="I253" i="12" s="1"/>
  <c r="J171" i="34"/>
  <c r="H165" i="12" s="1"/>
  <c r="I165" i="12" s="1"/>
  <c r="J271" i="34"/>
  <c r="H265" i="12" s="1"/>
  <c r="I265" i="12" s="1"/>
  <c r="J239" i="34"/>
  <c r="H233" i="12" s="1"/>
  <c r="I233" i="12" s="1"/>
  <c r="J207" i="34"/>
  <c r="J175" i="34"/>
  <c r="H169" i="12" s="1"/>
  <c r="I169" i="12" s="1"/>
  <c r="J306" i="34"/>
  <c r="H300" i="12" s="1"/>
  <c r="I300" i="12" s="1"/>
  <c r="J290" i="34"/>
  <c r="H284" i="12" s="1"/>
  <c r="I284" i="12" s="1"/>
  <c r="J275" i="34"/>
  <c r="H269" i="12" s="1"/>
  <c r="I269" i="12" s="1"/>
  <c r="J235" i="34"/>
  <c r="H229" i="12" s="1"/>
  <c r="I229" i="12" s="1"/>
  <c r="J211" i="34"/>
  <c r="H205" i="12" s="1"/>
  <c r="I205" i="12" s="1"/>
  <c r="J152" i="34"/>
  <c r="H146" i="12" s="1"/>
  <c r="I146" i="12" s="1"/>
  <c r="J120" i="34"/>
  <c r="H114" i="12" s="1"/>
  <c r="I114" i="12" s="1"/>
  <c r="J94" i="34"/>
  <c r="H88" i="12" s="1"/>
  <c r="I88" i="12" s="1"/>
  <c r="J84" i="34"/>
  <c r="H78" i="12" s="1"/>
  <c r="I78" i="12" s="1"/>
  <c r="J76" i="34"/>
  <c r="H70" i="12" s="1"/>
  <c r="I70" i="12" s="1"/>
  <c r="J68" i="34"/>
  <c r="H62" i="12" s="1"/>
  <c r="I62" i="12" s="1"/>
  <c r="J60" i="34"/>
  <c r="H54" i="12" s="1"/>
  <c r="I54" i="12" s="1"/>
  <c r="J52" i="34"/>
  <c r="H46" i="12" s="1"/>
  <c r="I46" i="12" s="1"/>
  <c r="J44" i="34"/>
  <c r="H38" i="12" s="1"/>
  <c r="I38" i="12" s="1"/>
  <c r="J36" i="34"/>
  <c r="H30" i="12" s="1"/>
  <c r="I30" i="12" s="1"/>
  <c r="J28" i="34"/>
  <c r="H22" i="12" s="1"/>
  <c r="I22" i="12" s="1"/>
  <c r="J20" i="34"/>
  <c r="H14" i="12" s="1"/>
  <c r="I14" i="12" s="1"/>
  <c r="J287" i="34"/>
  <c r="H281" i="12" s="1"/>
  <c r="I281" i="12" s="1"/>
  <c r="J158" i="34"/>
  <c r="H152" i="12" s="1"/>
  <c r="I152" i="12" s="1"/>
  <c r="J142" i="34"/>
  <c r="H136" i="12" s="1"/>
  <c r="I136" i="12" s="1"/>
  <c r="J126" i="34"/>
  <c r="H120" i="12" s="1"/>
  <c r="I120" i="12" s="1"/>
  <c r="J157" i="34"/>
  <c r="H151" i="12" s="1"/>
  <c r="I151" i="12" s="1"/>
  <c r="J141" i="34"/>
  <c r="H135" i="12" s="1"/>
  <c r="I135" i="12" s="1"/>
  <c r="J125" i="34"/>
  <c r="H119" i="12" s="1"/>
  <c r="I119" i="12" s="1"/>
  <c r="J109" i="34"/>
  <c r="H103" i="12" s="1"/>
  <c r="I103" i="12" s="1"/>
  <c r="J114" i="34"/>
  <c r="H108" i="12" s="1"/>
  <c r="I108" i="12" s="1"/>
  <c r="J100" i="34"/>
  <c r="H94" i="12" s="1"/>
  <c r="I94" i="12" s="1"/>
  <c r="J85" i="34"/>
  <c r="H79" i="12" s="1"/>
  <c r="I79" i="12" s="1"/>
  <c r="J69" i="34"/>
  <c r="H63" i="12" s="1"/>
  <c r="I63" i="12" s="1"/>
  <c r="J53" i="34"/>
  <c r="H47" i="12" s="1"/>
  <c r="I47" i="12" s="1"/>
  <c r="J37" i="34"/>
  <c r="H31" i="12" s="1"/>
  <c r="I31" i="12" s="1"/>
  <c r="J21" i="34"/>
  <c r="H15" i="12" s="1"/>
  <c r="I15" i="12" s="1"/>
  <c r="J286" i="34"/>
  <c r="H280" i="12" s="1"/>
  <c r="I280" i="12" s="1"/>
  <c r="J223" i="34"/>
  <c r="H217" i="12" s="1"/>
  <c r="I217" i="12" s="1"/>
  <c r="J310" i="34"/>
  <c r="J294" i="34"/>
  <c r="H288" i="12" s="1"/>
  <c r="I288" i="12" s="1"/>
  <c r="J136" i="34"/>
  <c r="H130" i="12" s="1"/>
  <c r="I130" i="12" s="1"/>
  <c r="J88" i="34"/>
  <c r="H82" i="12" s="1"/>
  <c r="I82" i="12" s="1"/>
  <c r="J72" i="34"/>
  <c r="H66" i="12" s="1"/>
  <c r="I66" i="12" s="1"/>
  <c r="J56" i="34"/>
  <c r="H50" i="12" s="1"/>
  <c r="I50" i="12" s="1"/>
  <c r="J40" i="34"/>
  <c r="H34" i="12" s="1"/>
  <c r="I34" i="12" s="1"/>
  <c r="J24" i="34"/>
  <c r="H18" i="12" s="1"/>
  <c r="I18" i="12" s="1"/>
  <c r="J150" i="34"/>
  <c r="H144" i="12" s="1"/>
  <c r="I144" i="12" s="1"/>
  <c r="J118" i="34"/>
  <c r="H112" i="12" s="1"/>
  <c r="I112" i="12" s="1"/>
  <c r="J133" i="34"/>
  <c r="H127" i="12" s="1"/>
  <c r="I127" i="12" s="1"/>
  <c r="J77" i="34"/>
  <c r="H71" i="12" s="1"/>
  <c r="I71" i="12" s="1"/>
  <c r="J45" i="34"/>
  <c r="H39" i="12" s="1"/>
  <c r="I39" i="12" s="1"/>
  <c r="J140" i="34"/>
  <c r="H134" i="12" s="1"/>
  <c r="I134" i="12" s="1"/>
  <c r="J298" i="34"/>
  <c r="H292" i="12" s="1"/>
  <c r="I292" i="12" s="1"/>
  <c r="J279" i="34"/>
  <c r="H273" i="12" s="1"/>
  <c r="I273" i="12" s="1"/>
  <c r="J247" i="34"/>
  <c r="H241" i="12" s="1"/>
  <c r="I241" i="12" s="1"/>
  <c r="J215" i="34"/>
  <c r="H209" i="12" s="1"/>
  <c r="I209" i="12" s="1"/>
  <c r="J183" i="34"/>
  <c r="H177" i="12" s="1"/>
  <c r="I177" i="12" s="1"/>
  <c r="J311" i="34"/>
  <c r="H305" i="12" s="1"/>
  <c r="I305" i="12" s="1"/>
  <c r="J303" i="34"/>
  <c r="H297" i="12" s="1"/>
  <c r="I297" i="12" s="1"/>
  <c r="J295" i="34"/>
  <c r="H289" i="12" s="1"/>
  <c r="I289" i="12" s="1"/>
  <c r="J267" i="34"/>
  <c r="H261" i="12" s="1"/>
  <c r="I261" i="12" s="1"/>
  <c r="J251" i="34"/>
  <c r="H245" i="12" s="1"/>
  <c r="I245" i="12" s="1"/>
  <c r="J227" i="34"/>
  <c r="H221" i="12" s="1"/>
  <c r="I221" i="12" s="1"/>
  <c r="J187" i="34"/>
  <c r="H181" i="12" s="1"/>
  <c r="I181" i="12" s="1"/>
  <c r="J144" i="34"/>
  <c r="H138" i="12" s="1"/>
  <c r="I138" i="12" s="1"/>
  <c r="J105" i="34"/>
  <c r="H99" i="12" s="1"/>
  <c r="I99" i="12" s="1"/>
  <c r="J90" i="34"/>
  <c r="H84" i="12" s="1"/>
  <c r="I84" i="12" s="1"/>
  <c r="J82" i="34"/>
  <c r="H76" i="12" s="1"/>
  <c r="I76" i="12" s="1"/>
  <c r="J74" i="34"/>
  <c r="H68" i="12" s="1"/>
  <c r="I68" i="12" s="1"/>
  <c r="J66" i="34"/>
  <c r="H60" i="12" s="1"/>
  <c r="I60" i="12" s="1"/>
  <c r="J58" i="34"/>
  <c r="H52" i="12" s="1"/>
  <c r="I52" i="12" s="1"/>
  <c r="J50" i="34"/>
  <c r="H44" i="12" s="1"/>
  <c r="I44" i="12" s="1"/>
  <c r="J42" i="34"/>
  <c r="H36" i="12" s="1"/>
  <c r="I36" i="12" s="1"/>
  <c r="J34" i="34"/>
  <c r="H28" i="12" s="1"/>
  <c r="I28" i="12" s="1"/>
  <c r="J26" i="34"/>
  <c r="H20" i="12" s="1"/>
  <c r="I20" i="12" s="1"/>
  <c r="J18" i="34"/>
  <c r="H12" i="12" s="1"/>
  <c r="I12" i="12" s="1"/>
  <c r="J154" i="34"/>
  <c r="H148" i="12" s="1"/>
  <c r="I148" i="12" s="1"/>
  <c r="J138" i="34"/>
  <c r="H132" i="12" s="1"/>
  <c r="I132" i="12" s="1"/>
  <c r="J122" i="34"/>
  <c r="H116" i="12" s="1"/>
  <c r="I116" i="12" s="1"/>
  <c r="J153" i="34"/>
  <c r="H147" i="12" s="1"/>
  <c r="I147" i="12" s="1"/>
  <c r="J137" i="34"/>
  <c r="H131" i="12" s="1"/>
  <c r="I131" i="12" s="1"/>
  <c r="J121" i="34"/>
  <c r="H115" i="12" s="1"/>
  <c r="I115" i="12" s="1"/>
  <c r="J110" i="34"/>
  <c r="H104" i="12" s="1"/>
  <c r="I104" i="12" s="1"/>
  <c r="J81" i="34"/>
  <c r="H75" i="12" s="1"/>
  <c r="I75" i="12" s="1"/>
  <c r="J65" i="34"/>
  <c r="H59" i="12" s="1"/>
  <c r="I59" i="12" s="1"/>
  <c r="J49" i="34"/>
  <c r="H43" i="12" s="1"/>
  <c r="I43" i="12" s="1"/>
  <c r="J33" i="34"/>
  <c r="H27" i="12" s="1"/>
  <c r="I27" i="12" s="1"/>
  <c r="J17" i="34"/>
  <c r="H11" i="12" s="1"/>
  <c r="I11" i="12" s="1"/>
  <c r="J132" i="34"/>
  <c r="H126" i="12" s="1"/>
  <c r="I126" i="12" s="1"/>
  <c r="J255" i="34"/>
  <c r="H249" i="12" s="1"/>
  <c r="I249" i="12" s="1"/>
  <c r="J191" i="34"/>
  <c r="H185" i="12" s="1"/>
  <c r="I185" i="12" s="1"/>
  <c r="J302" i="34"/>
  <c r="H296" i="12" s="1"/>
  <c r="I296" i="12" s="1"/>
  <c r="J203" i="34"/>
  <c r="H197" i="12" s="1"/>
  <c r="I197" i="12" s="1"/>
  <c r="J102" i="34"/>
  <c r="H96" i="12" s="1"/>
  <c r="I96" i="12" s="1"/>
  <c r="J80" i="34"/>
  <c r="H74" i="12" s="1"/>
  <c r="I74" i="12" s="1"/>
  <c r="J64" i="34"/>
  <c r="H58" i="12" s="1"/>
  <c r="I58" i="12" s="1"/>
  <c r="J48" i="34"/>
  <c r="H42" i="12" s="1"/>
  <c r="I42" i="12" s="1"/>
  <c r="J32" i="34"/>
  <c r="H26" i="12" s="1"/>
  <c r="I26" i="12" s="1"/>
  <c r="J113" i="34"/>
  <c r="H107" i="12" s="1"/>
  <c r="I107" i="12" s="1"/>
  <c r="J134" i="34"/>
  <c r="H128" i="12" s="1"/>
  <c r="I128" i="12" s="1"/>
  <c r="J117" i="34"/>
  <c r="J29" i="34"/>
  <c r="H23" i="12" s="1"/>
  <c r="I23" i="12" s="1"/>
  <c r="J312" i="34"/>
  <c r="H306" i="12" s="1"/>
  <c r="I306" i="12" s="1"/>
  <c r="J12" i="34"/>
  <c r="H201" i="12" l="1"/>
  <c r="I201" i="12" s="1"/>
  <c r="F41" i="48"/>
  <c r="H304" i="12"/>
  <c r="I304" i="12" s="1"/>
  <c r="H111" i="12"/>
  <c r="I111" i="12" s="1"/>
  <c r="J152" i="12"/>
  <c r="K152" i="12" s="1"/>
  <c r="D152" i="39"/>
  <c r="G152" i="39" s="1"/>
  <c r="H152" i="39" s="1"/>
  <c r="I152" i="39" s="1"/>
  <c r="J30" i="12"/>
  <c r="K30" i="12" s="1"/>
  <c r="D30" i="39"/>
  <c r="G30" i="39" s="1"/>
  <c r="H30" i="39" s="1"/>
  <c r="I30" i="39" s="1"/>
  <c r="J62" i="12"/>
  <c r="K62" i="12" s="1"/>
  <c r="D62" i="39"/>
  <c r="G62" i="39" s="1"/>
  <c r="H62" i="39" s="1"/>
  <c r="I62" i="39" s="1"/>
  <c r="J114" i="12"/>
  <c r="K114" i="12" s="1"/>
  <c r="D114" i="39"/>
  <c r="G114" i="39" s="1"/>
  <c r="H114" i="39" s="1"/>
  <c r="I114" i="39" s="1"/>
  <c r="J269" i="12"/>
  <c r="K269" i="12" s="1"/>
  <c r="D269" i="39"/>
  <c r="G269" i="39" s="1"/>
  <c r="H269" i="39" s="1"/>
  <c r="I269" i="39" s="1"/>
  <c r="J201" i="12"/>
  <c r="K201" i="12" s="1"/>
  <c r="E37" i="48" s="1"/>
  <c r="D201" i="39"/>
  <c r="G201" i="39" s="1"/>
  <c r="H201" i="39" s="1"/>
  <c r="I201" i="39" s="1"/>
  <c r="E38" i="48" s="1"/>
  <c r="J253" i="12"/>
  <c r="K253" i="12" s="1"/>
  <c r="D253" i="39"/>
  <c r="G253" i="39" s="1"/>
  <c r="H253" i="39" s="1"/>
  <c r="I253" i="39" s="1"/>
  <c r="J55" i="12"/>
  <c r="K55" i="12" s="1"/>
  <c r="D55" i="39"/>
  <c r="G55" i="39" s="1"/>
  <c r="H55" i="39" s="1"/>
  <c r="I55" i="39" s="1"/>
  <c r="J19" i="12"/>
  <c r="K19" i="12" s="1"/>
  <c r="D19" i="39"/>
  <c r="G19" i="39" s="1"/>
  <c r="H19" i="39" s="1"/>
  <c r="I19" i="39" s="1"/>
  <c r="J83" i="12"/>
  <c r="K83" i="12" s="1"/>
  <c r="D83" i="39"/>
  <c r="G83" i="39" s="1"/>
  <c r="H83" i="39" s="1"/>
  <c r="I83" i="39" s="1"/>
  <c r="J124" i="12"/>
  <c r="K124" i="12" s="1"/>
  <c r="D124" i="39"/>
  <c r="G124" i="39" s="1"/>
  <c r="H124" i="39" s="1"/>
  <c r="I124" i="39" s="1"/>
  <c r="J16" i="12"/>
  <c r="K16" i="12" s="1"/>
  <c r="D16" i="39"/>
  <c r="G16" i="39" s="1"/>
  <c r="H16" i="39" s="1"/>
  <c r="I16" i="39" s="1"/>
  <c r="J48" i="12"/>
  <c r="K48" i="12" s="1"/>
  <c r="D48" i="39"/>
  <c r="G48" i="39" s="1"/>
  <c r="H48" i="39" s="1"/>
  <c r="I48" i="39" s="1"/>
  <c r="J80" i="12"/>
  <c r="K80" i="12" s="1"/>
  <c r="D80" i="39"/>
  <c r="G80" i="39" s="1"/>
  <c r="H80" i="39" s="1"/>
  <c r="I80" i="39" s="1"/>
  <c r="J189" i="12"/>
  <c r="K189" i="12" s="1"/>
  <c r="D189" i="39"/>
  <c r="G189" i="39" s="1"/>
  <c r="H189" i="39" s="1"/>
  <c r="I189" i="39" s="1"/>
  <c r="J301" i="12"/>
  <c r="K301" i="12" s="1"/>
  <c r="D301" i="39"/>
  <c r="G301" i="39" s="1"/>
  <c r="H301" i="39" s="1"/>
  <c r="I301" i="39" s="1"/>
  <c r="J257" i="12"/>
  <c r="K257" i="12" s="1"/>
  <c r="D257" i="39"/>
  <c r="G257" i="39" s="1"/>
  <c r="H257" i="39" s="1"/>
  <c r="I257" i="39" s="1"/>
  <c r="J150" i="12"/>
  <c r="K150" i="12" s="1"/>
  <c r="D150" i="39"/>
  <c r="G150" i="39" s="1"/>
  <c r="H150" i="39" s="1"/>
  <c r="I150" i="39" s="1"/>
  <c r="J264" i="12"/>
  <c r="K264" i="12" s="1"/>
  <c r="D264" i="39"/>
  <c r="G264" i="39" s="1"/>
  <c r="H264" i="39" s="1"/>
  <c r="I264" i="39" s="1"/>
  <c r="J248" i="12"/>
  <c r="K248" i="12" s="1"/>
  <c r="D248" i="39"/>
  <c r="G248" i="39" s="1"/>
  <c r="H248" i="39" s="1"/>
  <c r="I248" i="39" s="1"/>
  <c r="J232" i="12"/>
  <c r="K232" i="12" s="1"/>
  <c r="D232" i="39"/>
  <c r="G232" i="39" s="1"/>
  <c r="H232" i="39" s="1"/>
  <c r="I232" i="39" s="1"/>
  <c r="J216" i="12"/>
  <c r="K216" i="12" s="1"/>
  <c r="D216" i="39"/>
  <c r="G216" i="39" s="1"/>
  <c r="H216" i="39" s="1"/>
  <c r="I216" i="39" s="1"/>
  <c r="J200" i="12"/>
  <c r="K200" i="12" s="1"/>
  <c r="D200" i="39"/>
  <c r="G200" i="39" s="1"/>
  <c r="H200" i="39" s="1"/>
  <c r="I200" i="39" s="1"/>
  <c r="D184" i="39"/>
  <c r="G184" i="39" s="1"/>
  <c r="H184" i="39" s="1"/>
  <c r="I184" i="39" s="1"/>
  <c r="J184" i="12"/>
  <c r="K184" i="12" s="1"/>
  <c r="J168" i="12"/>
  <c r="K168" i="12" s="1"/>
  <c r="D168" i="39"/>
  <c r="G168" i="39" s="1"/>
  <c r="H168" i="39" s="1"/>
  <c r="I168" i="39" s="1"/>
  <c r="J87" i="12"/>
  <c r="K87" i="12" s="1"/>
  <c r="D87" i="39"/>
  <c r="G87" i="39" s="1"/>
  <c r="H87" i="39" s="1"/>
  <c r="I87" i="39" s="1"/>
  <c r="J86" i="12"/>
  <c r="K86" i="12" s="1"/>
  <c r="D86" i="39"/>
  <c r="G86" i="39" s="1"/>
  <c r="H86" i="39" s="1"/>
  <c r="I86" i="39" s="1"/>
  <c r="J291" i="12"/>
  <c r="K291" i="12" s="1"/>
  <c r="D291" i="39"/>
  <c r="G291" i="39" s="1"/>
  <c r="H291" i="39" s="1"/>
  <c r="I291" i="39" s="1"/>
  <c r="J275" i="12"/>
  <c r="K275" i="12" s="1"/>
  <c r="D275" i="39"/>
  <c r="G275" i="39" s="1"/>
  <c r="H275" i="39" s="1"/>
  <c r="I275" i="39" s="1"/>
  <c r="J259" i="12"/>
  <c r="K259" i="12" s="1"/>
  <c r="D259" i="39"/>
  <c r="G259" i="39" s="1"/>
  <c r="H259" i="39" s="1"/>
  <c r="I259" i="39" s="1"/>
  <c r="J243" i="12"/>
  <c r="K243" i="12" s="1"/>
  <c r="D243" i="39"/>
  <c r="G243" i="39" s="1"/>
  <c r="H243" i="39" s="1"/>
  <c r="I243" i="39" s="1"/>
  <c r="J227" i="12"/>
  <c r="K227" i="12" s="1"/>
  <c r="D227" i="39"/>
  <c r="G227" i="39" s="1"/>
  <c r="H227" i="39" s="1"/>
  <c r="I227" i="39" s="1"/>
  <c r="J211" i="12"/>
  <c r="K211" i="12" s="1"/>
  <c r="D211" i="39"/>
  <c r="G211" i="39" s="1"/>
  <c r="H211" i="39" s="1"/>
  <c r="I211" i="39" s="1"/>
  <c r="J195" i="12"/>
  <c r="K195" i="12" s="1"/>
  <c r="D195" i="39"/>
  <c r="G195" i="39" s="1"/>
  <c r="H195" i="39" s="1"/>
  <c r="I195" i="39" s="1"/>
  <c r="J179" i="12"/>
  <c r="K179" i="12" s="1"/>
  <c r="D179" i="39"/>
  <c r="G179" i="39" s="1"/>
  <c r="H179" i="39" s="1"/>
  <c r="I179" i="39" s="1"/>
  <c r="J163" i="12"/>
  <c r="K163" i="12" s="1"/>
  <c r="D163" i="39"/>
  <c r="G163" i="39" s="1"/>
  <c r="H163" i="39" s="1"/>
  <c r="I163" i="39" s="1"/>
  <c r="J298" i="12"/>
  <c r="K298" i="12" s="1"/>
  <c r="D298" i="39"/>
  <c r="G298" i="39" s="1"/>
  <c r="H298" i="39" s="1"/>
  <c r="I298" i="39" s="1"/>
  <c r="J106" i="12"/>
  <c r="K106" i="12" s="1"/>
  <c r="D106" i="39"/>
  <c r="G106" i="39" s="1"/>
  <c r="H106" i="39" s="1"/>
  <c r="I106" i="39" s="1"/>
  <c r="J270" i="12"/>
  <c r="K270" i="12" s="1"/>
  <c r="D270" i="39"/>
  <c r="G270" i="39" s="1"/>
  <c r="H270" i="39" s="1"/>
  <c r="I270" i="39" s="1"/>
  <c r="J254" i="12"/>
  <c r="K254" i="12" s="1"/>
  <c r="D254" i="39"/>
  <c r="G254" i="39" s="1"/>
  <c r="H254" i="39" s="1"/>
  <c r="I254" i="39" s="1"/>
  <c r="J238" i="12"/>
  <c r="K238" i="12" s="1"/>
  <c r="D238" i="39"/>
  <c r="G238" i="39" s="1"/>
  <c r="H238" i="39" s="1"/>
  <c r="I238" i="39" s="1"/>
  <c r="J222" i="12"/>
  <c r="K222" i="12" s="1"/>
  <c r="D222" i="39"/>
  <c r="G222" i="39" s="1"/>
  <c r="H222" i="39" s="1"/>
  <c r="I222" i="39" s="1"/>
  <c r="J206" i="12"/>
  <c r="K206" i="12" s="1"/>
  <c r="D206" i="39"/>
  <c r="G206" i="39" s="1"/>
  <c r="H206" i="39" s="1"/>
  <c r="I206" i="39" s="1"/>
  <c r="J190" i="12"/>
  <c r="K190" i="12" s="1"/>
  <c r="D190" i="39"/>
  <c r="G190" i="39" s="1"/>
  <c r="H190" i="39" s="1"/>
  <c r="I190" i="39" s="1"/>
  <c r="J174" i="12"/>
  <c r="K174" i="12" s="1"/>
  <c r="D174" i="39"/>
  <c r="G174" i="39" s="1"/>
  <c r="H174" i="39" s="1"/>
  <c r="I174" i="39" s="1"/>
  <c r="J158" i="12"/>
  <c r="K158" i="12" s="1"/>
  <c r="D158" i="39"/>
  <c r="G158" i="39" s="1"/>
  <c r="H158" i="39" s="1"/>
  <c r="I158" i="39" s="1"/>
  <c r="J141" i="12"/>
  <c r="K141" i="12" s="1"/>
  <c r="D141" i="39"/>
  <c r="G141" i="39" s="1"/>
  <c r="H141" i="39" s="1"/>
  <c r="I141" i="39" s="1"/>
  <c r="J125" i="12"/>
  <c r="K125" i="12" s="1"/>
  <c r="D125" i="39"/>
  <c r="G125" i="39" s="1"/>
  <c r="H125" i="39" s="1"/>
  <c r="I125" i="39" s="1"/>
  <c r="J110" i="12"/>
  <c r="K110" i="12" s="1"/>
  <c r="D110" i="39"/>
  <c r="G110" i="39" s="1"/>
  <c r="H110" i="39" s="1"/>
  <c r="I110" i="39" s="1"/>
  <c r="J101" i="12"/>
  <c r="K101" i="12" s="1"/>
  <c r="D101" i="39"/>
  <c r="G101" i="39" s="1"/>
  <c r="H101" i="39" s="1"/>
  <c r="I101" i="39" s="1"/>
  <c r="J77" i="12"/>
  <c r="K77" i="12" s="1"/>
  <c r="D77" i="39"/>
  <c r="G77" i="39" s="1"/>
  <c r="H77" i="39" s="1"/>
  <c r="I77" i="39" s="1"/>
  <c r="J61" i="12"/>
  <c r="K61" i="12" s="1"/>
  <c r="D61" i="39"/>
  <c r="G61" i="39" s="1"/>
  <c r="H61" i="39" s="1"/>
  <c r="I61" i="39" s="1"/>
  <c r="J45" i="12"/>
  <c r="K45" i="12" s="1"/>
  <c r="D45" i="39"/>
  <c r="G45" i="39" s="1"/>
  <c r="H45" i="39" s="1"/>
  <c r="I45" i="39" s="1"/>
  <c r="J29" i="12"/>
  <c r="K29" i="12" s="1"/>
  <c r="D29" i="39"/>
  <c r="G29" i="39" s="1"/>
  <c r="H29" i="39" s="1"/>
  <c r="I29" i="39" s="1"/>
  <c r="J13" i="12"/>
  <c r="K13" i="12" s="1"/>
  <c r="D13" i="39"/>
  <c r="G13" i="39" s="1"/>
  <c r="H13" i="39" s="1"/>
  <c r="I13" i="39" s="1"/>
  <c r="J74" i="12"/>
  <c r="K74" i="12" s="1"/>
  <c r="D74" i="39"/>
  <c r="G74" i="39" s="1"/>
  <c r="H74" i="39" s="1"/>
  <c r="I74" i="39" s="1"/>
  <c r="J104" i="12"/>
  <c r="K104" i="12" s="1"/>
  <c r="D104" i="39"/>
  <c r="G104" i="39" s="1"/>
  <c r="H104" i="39" s="1"/>
  <c r="I104" i="39" s="1"/>
  <c r="J52" i="12"/>
  <c r="K52" i="12" s="1"/>
  <c r="D52" i="39"/>
  <c r="G52" i="39" s="1"/>
  <c r="H52" i="39" s="1"/>
  <c r="I52" i="39" s="1"/>
  <c r="J221" i="12"/>
  <c r="K221" i="12" s="1"/>
  <c r="D221" i="39"/>
  <c r="G221" i="39" s="1"/>
  <c r="H221" i="39" s="1"/>
  <c r="I221" i="39" s="1"/>
  <c r="J241" i="12"/>
  <c r="K241" i="12" s="1"/>
  <c r="D241" i="39"/>
  <c r="G241" i="39" s="1"/>
  <c r="H241" i="39" s="1"/>
  <c r="I241" i="39" s="1"/>
  <c r="J144" i="12"/>
  <c r="K144" i="12" s="1"/>
  <c r="D144" i="39"/>
  <c r="G144" i="39" s="1"/>
  <c r="H144" i="39" s="1"/>
  <c r="I144" i="39" s="1"/>
  <c r="J31" i="12"/>
  <c r="K31" i="12" s="1"/>
  <c r="D31" i="39"/>
  <c r="G31" i="39" s="1"/>
  <c r="H31" i="39" s="1"/>
  <c r="I31" i="39" s="1"/>
  <c r="J135" i="12"/>
  <c r="K135" i="12" s="1"/>
  <c r="D135" i="39"/>
  <c r="G135" i="39" s="1"/>
  <c r="H135" i="39" s="1"/>
  <c r="I135" i="39" s="1"/>
  <c r="J23" i="12"/>
  <c r="K23" i="12" s="1"/>
  <c r="D23" i="39"/>
  <c r="G23" i="39" s="1"/>
  <c r="H23" i="39" s="1"/>
  <c r="I23" i="39" s="1"/>
  <c r="J26" i="12"/>
  <c r="K26" i="12" s="1"/>
  <c r="D26" i="39"/>
  <c r="G26" i="39" s="1"/>
  <c r="H26" i="39" s="1"/>
  <c r="I26" i="39" s="1"/>
  <c r="J96" i="12"/>
  <c r="K96" i="12" s="1"/>
  <c r="D96" i="39"/>
  <c r="G96" i="39" s="1"/>
  <c r="H96" i="39" s="1"/>
  <c r="I96" i="39" s="1"/>
  <c r="J249" i="12"/>
  <c r="K249" i="12" s="1"/>
  <c r="D249" i="39"/>
  <c r="G249" i="39" s="1"/>
  <c r="H249" i="39" s="1"/>
  <c r="I249" i="39" s="1"/>
  <c r="J43" i="12"/>
  <c r="K43" i="12" s="1"/>
  <c r="D43" i="39"/>
  <c r="G43" i="39" s="1"/>
  <c r="H43" i="39" s="1"/>
  <c r="I43" i="39" s="1"/>
  <c r="J115" i="12"/>
  <c r="K115" i="12" s="1"/>
  <c r="D115" i="39"/>
  <c r="G115" i="39" s="1"/>
  <c r="H115" i="39" s="1"/>
  <c r="I115" i="39" s="1"/>
  <c r="J132" i="12"/>
  <c r="K132" i="12" s="1"/>
  <c r="D132" i="39"/>
  <c r="G132" i="39" s="1"/>
  <c r="H132" i="39" s="1"/>
  <c r="I132" i="39" s="1"/>
  <c r="J28" i="12"/>
  <c r="K28" i="12" s="1"/>
  <c r="D28" i="39"/>
  <c r="G28" i="39" s="1"/>
  <c r="H28" i="39" s="1"/>
  <c r="I28" i="39" s="1"/>
  <c r="J60" i="12"/>
  <c r="K60" i="12" s="1"/>
  <c r="D60" i="39"/>
  <c r="G60" i="39" s="1"/>
  <c r="H60" i="39" s="1"/>
  <c r="I60" i="39" s="1"/>
  <c r="J99" i="12"/>
  <c r="K99" i="12" s="1"/>
  <c r="D99" i="39"/>
  <c r="G99" i="39" s="1"/>
  <c r="H99" i="39" s="1"/>
  <c r="I99" i="39" s="1"/>
  <c r="J245" i="12"/>
  <c r="K245" i="12" s="1"/>
  <c r="D245" i="39"/>
  <c r="G245" i="39" s="1"/>
  <c r="H245" i="39" s="1"/>
  <c r="I245" i="39" s="1"/>
  <c r="J305" i="12"/>
  <c r="K305" i="12" s="1"/>
  <c r="D305" i="39"/>
  <c r="G305" i="39" s="1"/>
  <c r="H305" i="39" s="1"/>
  <c r="I305" i="39" s="1"/>
  <c r="J273" i="12"/>
  <c r="K273" i="12" s="1"/>
  <c r="D273" i="39"/>
  <c r="G273" i="39" s="1"/>
  <c r="H273" i="39" s="1"/>
  <c r="I273" i="39" s="1"/>
  <c r="J71" i="12"/>
  <c r="K71" i="12" s="1"/>
  <c r="D71" i="39"/>
  <c r="G71" i="39" s="1"/>
  <c r="H71" i="39" s="1"/>
  <c r="I71" i="39" s="1"/>
  <c r="J18" i="12"/>
  <c r="K18" i="12" s="1"/>
  <c r="D18" i="39"/>
  <c r="G18" i="39" s="1"/>
  <c r="H18" i="39" s="1"/>
  <c r="I18" i="39" s="1"/>
  <c r="J82" i="12"/>
  <c r="K82" i="12" s="1"/>
  <c r="D82" i="39"/>
  <c r="G82" i="39" s="1"/>
  <c r="H82" i="39" s="1"/>
  <c r="I82" i="39" s="1"/>
  <c r="J217" i="12"/>
  <c r="K217" i="12" s="1"/>
  <c r="D217" i="39"/>
  <c r="G217" i="39" s="1"/>
  <c r="H217" i="39" s="1"/>
  <c r="I217" i="39" s="1"/>
  <c r="J47" i="12"/>
  <c r="K47" i="12" s="1"/>
  <c r="D47" i="39"/>
  <c r="G47" i="39" s="1"/>
  <c r="H47" i="39" s="1"/>
  <c r="I47" i="39" s="1"/>
  <c r="J108" i="12"/>
  <c r="K108" i="12" s="1"/>
  <c r="D108" i="39"/>
  <c r="G108" i="39" s="1"/>
  <c r="H108" i="39" s="1"/>
  <c r="I108" i="39" s="1"/>
  <c r="J151" i="12"/>
  <c r="K151" i="12" s="1"/>
  <c r="D151" i="39"/>
  <c r="G151" i="39" s="1"/>
  <c r="H151" i="39" s="1"/>
  <c r="I151" i="39" s="1"/>
  <c r="J281" i="12"/>
  <c r="K281" i="12" s="1"/>
  <c r="D281" i="39"/>
  <c r="G281" i="39" s="1"/>
  <c r="H281" i="39" s="1"/>
  <c r="I281" i="39" s="1"/>
  <c r="J38" i="12"/>
  <c r="K38" i="12" s="1"/>
  <c r="D38" i="39"/>
  <c r="G38" i="39" s="1"/>
  <c r="H38" i="39" s="1"/>
  <c r="I38" i="39" s="1"/>
  <c r="J70" i="12"/>
  <c r="K70" i="12" s="1"/>
  <c r="D70" i="39"/>
  <c r="G70" i="39" s="1"/>
  <c r="H70" i="39" s="1"/>
  <c r="I70" i="39" s="1"/>
  <c r="J146" i="12"/>
  <c r="K146" i="12" s="1"/>
  <c r="D146" i="39"/>
  <c r="G146" i="39" s="1"/>
  <c r="H146" i="39" s="1"/>
  <c r="I146" i="39" s="1"/>
  <c r="J284" i="12"/>
  <c r="K284" i="12" s="1"/>
  <c r="D284" i="39"/>
  <c r="G284" i="39" s="1"/>
  <c r="H284" i="39" s="1"/>
  <c r="I284" i="39" s="1"/>
  <c r="J233" i="12"/>
  <c r="K233" i="12" s="1"/>
  <c r="D233" i="39"/>
  <c r="G233" i="39" s="1"/>
  <c r="H233" i="39" s="1"/>
  <c r="I233" i="39" s="1"/>
  <c r="J277" i="12"/>
  <c r="K277" i="12" s="1"/>
  <c r="D277" i="39"/>
  <c r="G277" i="39" s="1"/>
  <c r="H277" i="39" s="1"/>
  <c r="I277" i="39" s="1"/>
  <c r="J100" i="12"/>
  <c r="K100" i="12" s="1"/>
  <c r="D100" i="39"/>
  <c r="G100" i="39" s="1"/>
  <c r="H100" i="39" s="1"/>
  <c r="I100" i="39" s="1"/>
  <c r="J35" i="12"/>
  <c r="K35" i="12" s="1"/>
  <c r="D35" i="39"/>
  <c r="G35" i="39" s="1"/>
  <c r="H35" i="39" s="1"/>
  <c r="I35" i="39" s="1"/>
  <c r="J123" i="12"/>
  <c r="K123" i="12" s="1"/>
  <c r="D123" i="39"/>
  <c r="G123" i="39" s="1"/>
  <c r="H123" i="39" s="1"/>
  <c r="I123" i="39" s="1"/>
  <c r="J140" i="12"/>
  <c r="K140" i="12" s="1"/>
  <c r="D140" i="39"/>
  <c r="G140" i="39" s="1"/>
  <c r="H140" i="39" s="1"/>
  <c r="I140" i="39" s="1"/>
  <c r="J24" i="12"/>
  <c r="K24" i="12" s="1"/>
  <c r="D24" i="39"/>
  <c r="G24" i="39" s="1"/>
  <c r="H24" i="39" s="1"/>
  <c r="I24" i="39" s="1"/>
  <c r="J56" i="12"/>
  <c r="K56" i="12" s="1"/>
  <c r="D56" i="39"/>
  <c r="G56" i="39" s="1"/>
  <c r="H56" i="39" s="1"/>
  <c r="I56" i="39" s="1"/>
  <c r="J92" i="12"/>
  <c r="K92" i="12" s="1"/>
  <c r="D92" i="39"/>
  <c r="G92" i="39" s="1"/>
  <c r="H92" i="39" s="1"/>
  <c r="I92" i="39" s="1"/>
  <c r="J213" i="12"/>
  <c r="K213" i="12" s="1"/>
  <c r="D213" i="39"/>
  <c r="G213" i="39" s="1"/>
  <c r="H213" i="39" s="1"/>
  <c r="I213" i="39" s="1"/>
  <c r="J161" i="12"/>
  <c r="K161" i="12" s="1"/>
  <c r="D161" i="39"/>
  <c r="G161" i="39" s="1"/>
  <c r="H161" i="39" s="1"/>
  <c r="I161" i="39" s="1"/>
  <c r="J173" i="12"/>
  <c r="K173" i="12" s="1"/>
  <c r="D173" i="39"/>
  <c r="G173" i="39" s="1"/>
  <c r="H173" i="39" s="1"/>
  <c r="I173" i="39" s="1"/>
  <c r="J279" i="12"/>
  <c r="K279" i="12" s="1"/>
  <c r="D279" i="39"/>
  <c r="G279" i="39" s="1"/>
  <c r="H279" i="39" s="1"/>
  <c r="I279" i="39" s="1"/>
  <c r="J263" i="12"/>
  <c r="K263" i="12" s="1"/>
  <c r="D263" i="39"/>
  <c r="G263" i="39" s="1"/>
  <c r="H263" i="39" s="1"/>
  <c r="I263" i="39" s="1"/>
  <c r="J247" i="12"/>
  <c r="K247" i="12" s="1"/>
  <c r="D247" i="39"/>
  <c r="G247" i="39" s="1"/>
  <c r="H247" i="39" s="1"/>
  <c r="I247" i="39" s="1"/>
  <c r="J231" i="12"/>
  <c r="K231" i="12" s="1"/>
  <c r="D231" i="39"/>
  <c r="G231" i="39" s="1"/>
  <c r="H231" i="39" s="1"/>
  <c r="I231" i="39" s="1"/>
  <c r="J215" i="12"/>
  <c r="K215" i="12" s="1"/>
  <c r="D215" i="39"/>
  <c r="G215" i="39" s="1"/>
  <c r="H215" i="39" s="1"/>
  <c r="I215" i="39" s="1"/>
  <c r="J199" i="12"/>
  <c r="K199" i="12" s="1"/>
  <c r="D199" i="39"/>
  <c r="G199" i="39" s="1"/>
  <c r="H199" i="39" s="1"/>
  <c r="I199" i="39" s="1"/>
  <c r="J183" i="12"/>
  <c r="K183" i="12" s="1"/>
  <c r="D183" i="39"/>
  <c r="G183" i="39" s="1"/>
  <c r="H183" i="39" s="1"/>
  <c r="I183" i="39" s="1"/>
  <c r="J167" i="12"/>
  <c r="K167" i="12" s="1"/>
  <c r="D167" i="39"/>
  <c r="G167" i="39" s="1"/>
  <c r="H167" i="39" s="1"/>
  <c r="I167" i="39" s="1"/>
  <c r="J95" i="12"/>
  <c r="K95" i="12" s="1"/>
  <c r="D95" i="39"/>
  <c r="G95" i="39" s="1"/>
  <c r="H95" i="39" s="1"/>
  <c r="I95" i="39" s="1"/>
  <c r="J303" i="12"/>
  <c r="K303" i="12" s="1"/>
  <c r="D303" i="39"/>
  <c r="G303" i="39" s="1"/>
  <c r="H303" i="39" s="1"/>
  <c r="I303" i="39" s="1"/>
  <c r="J287" i="12"/>
  <c r="K287" i="12" s="1"/>
  <c r="D287" i="39"/>
  <c r="G287" i="39" s="1"/>
  <c r="H287" i="39" s="1"/>
  <c r="I287" i="39" s="1"/>
  <c r="J268" i="12"/>
  <c r="K268" i="12" s="1"/>
  <c r="D268" i="39"/>
  <c r="G268" i="39" s="1"/>
  <c r="H268" i="39" s="1"/>
  <c r="I268" i="39" s="1"/>
  <c r="J252" i="12"/>
  <c r="K252" i="12" s="1"/>
  <c r="D252" i="39"/>
  <c r="G252" i="39" s="1"/>
  <c r="H252" i="39" s="1"/>
  <c r="I252" i="39" s="1"/>
  <c r="J236" i="12"/>
  <c r="K236" i="12" s="1"/>
  <c r="D236" i="39"/>
  <c r="G236" i="39" s="1"/>
  <c r="H236" i="39" s="1"/>
  <c r="I236" i="39" s="1"/>
  <c r="J220" i="12"/>
  <c r="K220" i="12" s="1"/>
  <c r="D220" i="39"/>
  <c r="G220" i="39" s="1"/>
  <c r="H220" i="39" s="1"/>
  <c r="I220" i="39" s="1"/>
  <c r="J204" i="12"/>
  <c r="K204" i="12" s="1"/>
  <c r="D204" i="39"/>
  <c r="G204" i="39" s="1"/>
  <c r="H204" i="39" s="1"/>
  <c r="I204" i="39" s="1"/>
  <c r="J188" i="12"/>
  <c r="K188" i="12" s="1"/>
  <c r="D188" i="39"/>
  <c r="G188" i="39" s="1"/>
  <c r="H188" i="39" s="1"/>
  <c r="I188" i="39" s="1"/>
  <c r="J172" i="12"/>
  <c r="K172" i="12" s="1"/>
  <c r="D172" i="39"/>
  <c r="G172" i="39" s="1"/>
  <c r="H172" i="39" s="1"/>
  <c r="I172" i="39" s="1"/>
  <c r="J282" i="12"/>
  <c r="K282" i="12" s="1"/>
  <c r="D282" i="39"/>
  <c r="G282" i="39" s="1"/>
  <c r="H282" i="39" s="1"/>
  <c r="I282" i="39" s="1"/>
  <c r="J294" i="12"/>
  <c r="K294" i="12" s="1"/>
  <c r="D294" i="39"/>
  <c r="G294" i="39" s="1"/>
  <c r="H294" i="39" s="1"/>
  <c r="I294" i="39" s="1"/>
  <c r="J157" i="12"/>
  <c r="K157" i="12" s="1"/>
  <c r="D157" i="39"/>
  <c r="G157" i="39" s="1"/>
  <c r="H157" i="39" s="1"/>
  <c r="I157" i="39" s="1"/>
  <c r="J266" i="12"/>
  <c r="K266" i="12" s="1"/>
  <c r="D266" i="39"/>
  <c r="G266" i="39" s="1"/>
  <c r="H266" i="39" s="1"/>
  <c r="I266" i="39" s="1"/>
  <c r="J250" i="12"/>
  <c r="K250" i="12" s="1"/>
  <c r="D250" i="39"/>
  <c r="G250" i="39" s="1"/>
  <c r="H250" i="39" s="1"/>
  <c r="I250" i="39" s="1"/>
  <c r="J234" i="12"/>
  <c r="K234" i="12" s="1"/>
  <c r="D234" i="39"/>
  <c r="G234" i="39" s="1"/>
  <c r="H234" i="39" s="1"/>
  <c r="I234" i="39" s="1"/>
  <c r="J218" i="12"/>
  <c r="K218" i="12" s="1"/>
  <c r="D218" i="39"/>
  <c r="G218" i="39" s="1"/>
  <c r="H218" i="39" s="1"/>
  <c r="I218" i="39" s="1"/>
  <c r="J202" i="12"/>
  <c r="K202" i="12" s="1"/>
  <c r="D202" i="39"/>
  <c r="G202" i="39" s="1"/>
  <c r="H202" i="39" s="1"/>
  <c r="I202" i="39" s="1"/>
  <c r="J186" i="12"/>
  <c r="K186" i="12" s="1"/>
  <c r="D186" i="39"/>
  <c r="G186" i="39" s="1"/>
  <c r="H186" i="39" s="1"/>
  <c r="I186" i="39" s="1"/>
  <c r="J170" i="12"/>
  <c r="K170" i="12" s="1"/>
  <c r="D170" i="39"/>
  <c r="G170" i="39" s="1"/>
  <c r="H170" i="39" s="1"/>
  <c r="I170" i="39" s="1"/>
  <c r="J153" i="12"/>
  <c r="K153" i="12" s="1"/>
  <c r="D153" i="39"/>
  <c r="G153" i="39" s="1"/>
  <c r="H153" i="39" s="1"/>
  <c r="I153" i="39" s="1"/>
  <c r="J137" i="12"/>
  <c r="K137" i="12" s="1"/>
  <c r="D137" i="39"/>
  <c r="G137" i="39" s="1"/>
  <c r="H137" i="39" s="1"/>
  <c r="I137" i="39" s="1"/>
  <c r="J121" i="12"/>
  <c r="K121" i="12" s="1"/>
  <c r="D121" i="39"/>
  <c r="G121" i="39" s="1"/>
  <c r="H121" i="39" s="1"/>
  <c r="I121" i="39" s="1"/>
  <c r="J102" i="12"/>
  <c r="K102" i="12" s="1"/>
  <c r="D102" i="39"/>
  <c r="G102" i="39" s="1"/>
  <c r="H102" i="39" s="1"/>
  <c r="I102" i="39" s="1"/>
  <c r="J97" i="12"/>
  <c r="K97" i="12" s="1"/>
  <c r="D97" i="39"/>
  <c r="G97" i="39" s="1"/>
  <c r="H97" i="39" s="1"/>
  <c r="I97" i="39" s="1"/>
  <c r="J73" i="12"/>
  <c r="K73" i="12" s="1"/>
  <c r="D73" i="39"/>
  <c r="G73" i="39" s="1"/>
  <c r="H73" i="39" s="1"/>
  <c r="I73" i="39" s="1"/>
  <c r="J57" i="12"/>
  <c r="K57" i="12" s="1"/>
  <c r="D57" i="39"/>
  <c r="G57" i="39" s="1"/>
  <c r="H57" i="39" s="1"/>
  <c r="I57" i="39" s="1"/>
  <c r="J41" i="12"/>
  <c r="K41" i="12" s="1"/>
  <c r="D41" i="39"/>
  <c r="G41" i="39" s="1"/>
  <c r="H41" i="39" s="1"/>
  <c r="I41" i="39" s="1"/>
  <c r="J25" i="12"/>
  <c r="K25" i="12" s="1"/>
  <c r="D25" i="39"/>
  <c r="G25" i="39" s="1"/>
  <c r="H25" i="39" s="1"/>
  <c r="I25" i="39" s="1"/>
  <c r="J9" i="12"/>
  <c r="K9" i="12" s="1"/>
  <c r="D9" i="39"/>
  <c r="G9" i="39" s="1"/>
  <c r="H9" i="39" s="1"/>
  <c r="I9" i="39" s="1"/>
  <c r="J107" i="12"/>
  <c r="K107" i="12" s="1"/>
  <c r="D107" i="39"/>
  <c r="G107" i="39" s="1"/>
  <c r="H107" i="39" s="1"/>
  <c r="I107" i="39" s="1"/>
  <c r="J185" i="12"/>
  <c r="K185" i="12" s="1"/>
  <c r="D185" i="39"/>
  <c r="G185" i="39" s="1"/>
  <c r="H185" i="39" s="1"/>
  <c r="I185" i="39" s="1"/>
  <c r="J116" i="12"/>
  <c r="K116" i="12" s="1"/>
  <c r="D116" i="39"/>
  <c r="G116" i="39" s="1"/>
  <c r="H116" i="39" s="1"/>
  <c r="I116" i="39" s="1"/>
  <c r="J84" i="12"/>
  <c r="K84" i="12" s="1"/>
  <c r="D84" i="39"/>
  <c r="G84" i="39" s="1"/>
  <c r="H84" i="39" s="1"/>
  <c r="I84" i="39" s="1"/>
  <c r="J297" i="12"/>
  <c r="K297" i="12" s="1"/>
  <c r="D297" i="39"/>
  <c r="G297" i="39" s="1"/>
  <c r="H297" i="39" s="1"/>
  <c r="I297" i="39" s="1"/>
  <c r="J39" i="12"/>
  <c r="K39" i="12" s="1"/>
  <c r="D39" i="39"/>
  <c r="G39" i="39" s="1"/>
  <c r="H39" i="39" s="1"/>
  <c r="I39" i="39" s="1"/>
  <c r="J66" i="12"/>
  <c r="K66" i="12" s="1"/>
  <c r="D66" i="39"/>
  <c r="G66" i="39" s="1"/>
  <c r="H66" i="39" s="1"/>
  <c r="I66" i="39" s="1"/>
  <c r="J304" i="12"/>
  <c r="K304" i="12" s="1"/>
  <c r="D304" i="39"/>
  <c r="G304" i="39" s="1"/>
  <c r="H304" i="39" s="1"/>
  <c r="I304" i="39" s="1"/>
  <c r="J94" i="12"/>
  <c r="K94" i="12" s="1"/>
  <c r="D94" i="39"/>
  <c r="G94" i="39" s="1"/>
  <c r="H94" i="39" s="1"/>
  <c r="I94" i="39" s="1"/>
  <c r="J111" i="12"/>
  <c r="K111" i="12" s="1"/>
  <c r="D111" i="39"/>
  <c r="G111" i="39" s="1"/>
  <c r="H111" i="39" s="1"/>
  <c r="I111" i="39" s="1"/>
  <c r="J42" i="12"/>
  <c r="K42" i="12" s="1"/>
  <c r="D42" i="39"/>
  <c r="G42" i="39" s="1"/>
  <c r="H42" i="39" s="1"/>
  <c r="I42" i="39" s="1"/>
  <c r="J197" i="12"/>
  <c r="K197" i="12" s="1"/>
  <c r="D197" i="39"/>
  <c r="G197" i="39" s="1"/>
  <c r="H197" i="39" s="1"/>
  <c r="I197" i="39" s="1"/>
  <c r="J126" i="12"/>
  <c r="K126" i="12" s="1"/>
  <c r="D126" i="39"/>
  <c r="G126" i="39" s="1"/>
  <c r="H126" i="39" s="1"/>
  <c r="I126" i="39" s="1"/>
  <c r="J59" i="12"/>
  <c r="K59" i="12" s="1"/>
  <c r="D59" i="39"/>
  <c r="G59" i="39" s="1"/>
  <c r="H59" i="39" s="1"/>
  <c r="I59" i="39" s="1"/>
  <c r="J131" i="12"/>
  <c r="K131" i="12" s="1"/>
  <c r="D131" i="39"/>
  <c r="G131" i="39" s="1"/>
  <c r="H131" i="39" s="1"/>
  <c r="I131" i="39" s="1"/>
  <c r="J148" i="12"/>
  <c r="K148" i="12" s="1"/>
  <c r="D148" i="39"/>
  <c r="G148" i="39" s="1"/>
  <c r="H148" i="39" s="1"/>
  <c r="I148" i="39" s="1"/>
  <c r="J36" i="12"/>
  <c r="K36" i="12" s="1"/>
  <c r="D36" i="39"/>
  <c r="G36" i="39" s="1"/>
  <c r="H36" i="39" s="1"/>
  <c r="I36" i="39" s="1"/>
  <c r="J68" i="12"/>
  <c r="K68" i="12" s="1"/>
  <c r="D68" i="39"/>
  <c r="G68" i="39" s="1"/>
  <c r="H68" i="39" s="1"/>
  <c r="I68" i="39" s="1"/>
  <c r="J138" i="12"/>
  <c r="K138" i="12" s="1"/>
  <c r="D138" i="39"/>
  <c r="G138" i="39" s="1"/>
  <c r="H138" i="39" s="1"/>
  <c r="I138" i="39" s="1"/>
  <c r="J261" i="12"/>
  <c r="K261" i="12" s="1"/>
  <c r="D261" i="39"/>
  <c r="G261" i="39" s="1"/>
  <c r="H261" i="39" s="1"/>
  <c r="I261" i="39" s="1"/>
  <c r="J177" i="12"/>
  <c r="K177" i="12" s="1"/>
  <c r="D177" i="39"/>
  <c r="G177" i="39" s="1"/>
  <c r="H177" i="39" s="1"/>
  <c r="I177" i="39" s="1"/>
  <c r="J292" i="12"/>
  <c r="K292" i="12" s="1"/>
  <c r="D292" i="39"/>
  <c r="G292" i="39" s="1"/>
  <c r="H292" i="39" s="1"/>
  <c r="I292" i="39" s="1"/>
  <c r="J127" i="12"/>
  <c r="K127" i="12" s="1"/>
  <c r="D127" i="39"/>
  <c r="G127" i="39" s="1"/>
  <c r="H127" i="39" s="1"/>
  <c r="I127" i="39" s="1"/>
  <c r="J34" i="12"/>
  <c r="K34" i="12" s="1"/>
  <c r="D34" i="39"/>
  <c r="G34" i="39" s="1"/>
  <c r="H34" i="39" s="1"/>
  <c r="I34" i="39" s="1"/>
  <c r="J130" i="12"/>
  <c r="K130" i="12" s="1"/>
  <c r="D130" i="39"/>
  <c r="G130" i="39" s="1"/>
  <c r="H130" i="39" s="1"/>
  <c r="I130" i="39" s="1"/>
  <c r="J280" i="12"/>
  <c r="K280" i="12" s="1"/>
  <c r="D280" i="39"/>
  <c r="G280" i="39" s="1"/>
  <c r="H280" i="39" s="1"/>
  <c r="I280" i="39" s="1"/>
  <c r="J63" i="12"/>
  <c r="K63" i="12" s="1"/>
  <c r="D63" i="39"/>
  <c r="G63" i="39" s="1"/>
  <c r="H63" i="39" s="1"/>
  <c r="I63" i="39" s="1"/>
  <c r="J103" i="12"/>
  <c r="K103" i="12" s="1"/>
  <c r="D103" i="39"/>
  <c r="G103" i="39" s="1"/>
  <c r="H103" i="39" s="1"/>
  <c r="I103" i="39" s="1"/>
  <c r="J120" i="12"/>
  <c r="K120" i="12" s="1"/>
  <c r="D120" i="39"/>
  <c r="G120" i="39" s="1"/>
  <c r="H120" i="39" s="1"/>
  <c r="I120" i="39" s="1"/>
  <c r="J14" i="12"/>
  <c r="K14" i="12" s="1"/>
  <c r="D14" i="39"/>
  <c r="G14" i="39" s="1"/>
  <c r="H14" i="39" s="1"/>
  <c r="I14" i="39" s="1"/>
  <c r="J46" i="12"/>
  <c r="K46" i="12" s="1"/>
  <c r="D46" i="39"/>
  <c r="G46" i="39" s="1"/>
  <c r="H46" i="39" s="1"/>
  <c r="I46" i="39" s="1"/>
  <c r="J78" i="12"/>
  <c r="K78" i="12" s="1"/>
  <c r="D78" i="39"/>
  <c r="G78" i="39" s="1"/>
  <c r="H78" i="39" s="1"/>
  <c r="I78" i="39" s="1"/>
  <c r="J205" i="12"/>
  <c r="K205" i="12" s="1"/>
  <c r="D205" i="39"/>
  <c r="G205" i="39" s="1"/>
  <c r="H205" i="39" s="1"/>
  <c r="I205" i="39" s="1"/>
  <c r="J300" i="12"/>
  <c r="K300" i="12" s="1"/>
  <c r="D300" i="39"/>
  <c r="G300" i="39" s="1"/>
  <c r="H300" i="39" s="1"/>
  <c r="I300" i="39" s="1"/>
  <c r="J265" i="12"/>
  <c r="K265" i="12" s="1"/>
  <c r="D265" i="39"/>
  <c r="G265" i="39" s="1"/>
  <c r="H265" i="39" s="1"/>
  <c r="I265" i="39" s="1"/>
  <c r="J142" i="12"/>
  <c r="K142" i="12" s="1"/>
  <c r="D142" i="39"/>
  <c r="G142" i="39" s="1"/>
  <c r="H142" i="39" s="1"/>
  <c r="I142" i="39" s="1"/>
  <c r="J143" i="12"/>
  <c r="K143" i="12" s="1"/>
  <c r="D143" i="39"/>
  <c r="G143" i="39" s="1"/>
  <c r="H143" i="39" s="1"/>
  <c r="I143" i="39" s="1"/>
  <c r="J51" i="12"/>
  <c r="K51" i="12" s="1"/>
  <c r="D51" i="39"/>
  <c r="G51" i="39" s="1"/>
  <c r="H51" i="39" s="1"/>
  <c r="I51" i="39" s="1"/>
  <c r="J139" i="12"/>
  <c r="K139" i="12" s="1"/>
  <c r="D139" i="39"/>
  <c r="G139" i="39" s="1"/>
  <c r="H139" i="39" s="1"/>
  <c r="I139" i="39" s="1"/>
  <c r="J156" i="12"/>
  <c r="K156" i="12" s="1"/>
  <c r="D156" i="39"/>
  <c r="G156" i="39" s="1"/>
  <c r="H156" i="39" s="1"/>
  <c r="I156" i="39" s="1"/>
  <c r="J32" i="12"/>
  <c r="K32" i="12" s="1"/>
  <c r="D32" i="39"/>
  <c r="G32" i="39" s="1"/>
  <c r="H32" i="39" s="1"/>
  <c r="I32" i="39" s="1"/>
  <c r="J64" i="12"/>
  <c r="K64" i="12" s="1"/>
  <c r="D64" i="39"/>
  <c r="G64" i="39" s="1"/>
  <c r="H64" i="39" s="1"/>
  <c r="I64" i="39" s="1"/>
  <c r="J122" i="12"/>
  <c r="K122" i="12" s="1"/>
  <c r="D122" i="39"/>
  <c r="G122" i="39" s="1"/>
  <c r="H122" i="39" s="1"/>
  <c r="I122" i="39" s="1"/>
  <c r="J285" i="12"/>
  <c r="K285" i="12" s="1"/>
  <c r="D285" i="39"/>
  <c r="G285" i="39" s="1"/>
  <c r="H285" i="39" s="1"/>
  <c r="I285" i="39" s="1"/>
  <c r="J193" i="12"/>
  <c r="K193" i="12" s="1"/>
  <c r="D193" i="39"/>
  <c r="G193" i="39" s="1"/>
  <c r="H193" i="39" s="1"/>
  <c r="I193" i="39" s="1"/>
  <c r="J237" i="12"/>
  <c r="K237" i="12" s="1"/>
  <c r="D237" i="39"/>
  <c r="G237" i="39" s="1"/>
  <c r="H237" i="39" s="1"/>
  <c r="I237" i="39" s="1"/>
  <c r="J272" i="12"/>
  <c r="K272" i="12" s="1"/>
  <c r="D272" i="39"/>
  <c r="G272" i="39" s="1"/>
  <c r="H272" i="39" s="1"/>
  <c r="I272" i="39" s="1"/>
  <c r="J256" i="12"/>
  <c r="K256" i="12" s="1"/>
  <c r="D256" i="39"/>
  <c r="G256" i="39" s="1"/>
  <c r="H256" i="39" s="1"/>
  <c r="I256" i="39" s="1"/>
  <c r="J240" i="12"/>
  <c r="K240" i="12" s="1"/>
  <c r="D240" i="39"/>
  <c r="G240" i="39" s="1"/>
  <c r="H240" i="39" s="1"/>
  <c r="I240" i="39" s="1"/>
  <c r="J224" i="12"/>
  <c r="K224" i="12" s="1"/>
  <c r="D224" i="39"/>
  <c r="G224" i="39" s="1"/>
  <c r="H224" i="39" s="1"/>
  <c r="I224" i="39" s="1"/>
  <c r="J208" i="12"/>
  <c r="K208" i="12" s="1"/>
  <c r="D208" i="39"/>
  <c r="G208" i="39" s="1"/>
  <c r="H208" i="39" s="1"/>
  <c r="I208" i="39" s="1"/>
  <c r="J192" i="12"/>
  <c r="K192" i="12" s="1"/>
  <c r="D192" i="39"/>
  <c r="G192" i="39" s="1"/>
  <c r="H192" i="39" s="1"/>
  <c r="I192" i="39" s="1"/>
  <c r="D176" i="39"/>
  <c r="G176" i="39" s="1"/>
  <c r="H176" i="39" s="1"/>
  <c r="I176" i="39" s="1"/>
  <c r="J176" i="12"/>
  <c r="K176" i="12" s="1"/>
  <c r="J160" i="12"/>
  <c r="K160" i="12" s="1"/>
  <c r="D160" i="39"/>
  <c r="G160" i="39" s="1"/>
  <c r="H160" i="39" s="1"/>
  <c r="I160" i="39" s="1"/>
  <c r="J91" i="12"/>
  <c r="K91" i="12" s="1"/>
  <c r="D91" i="39"/>
  <c r="G91" i="39" s="1"/>
  <c r="H91" i="39" s="1"/>
  <c r="I91" i="39" s="1"/>
  <c r="J299" i="12"/>
  <c r="K299" i="12" s="1"/>
  <c r="D299" i="39"/>
  <c r="G299" i="39" s="1"/>
  <c r="H299" i="39" s="1"/>
  <c r="I299" i="39" s="1"/>
  <c r="J283" i="12"/>
  <c r="K283" i="12" s="1"/>
  <c r="D283" i="39"/>
  <c r="G283" i="39" s="1"/>
  <c r="H283" i="39" s="1"/>
  <c r="I283" i="39" s="1"/>
  <c r="J267" i="12"/>
  <c r="K267" i="12" s="1"/>
  <c r="D267" i="39"/>
  <c r="G267" i="39" s="1"/>
  <c r="H267" i="39" s="1"/>
  <c r="I267" i="39" s="1"/>
  <c r="J251" i="12"/>
  <c r="K251" i="12" s="1"/>
  <c r="D251" i="39"/>
  <c r="G251" i="39" s="1"/>
  <c r="H251" i="39" s="1"/>
  <c r="I251" i="39" s="1"/>
  <c r="J235" i="12"/>
  <c r="K235" i="12" s="1"/>
  <c r="D235" i="39"/>
  <c r="G235" i="39" s="1"/>
  <c r="H235" i="39" s="1"/>
  <c r="I235" i="39" s="1"/>
  <c r="J219" i="12"/>
  <c r="K219" i="12" s="1"/>
  <c r="D219" i="39"/>
  <c r="G219" i="39" s="1"/>
  <c r="H219" i="39" s="1"/>
  <c r="I219" i="39" s="1"/>
  <c r="J203" i="12"/>
  <c r="K203" i="12" s="1"/>
  <c r="D203" i="39"/>
  <c r="G203" i="39" s="1"/>
  <c r="H203" i="39" s="1"/>
  <c r="I203" i="39" s="1"/>
  <c r="J187" i="12"/>
  <c r="K187" i="12" s="1"/>
  <c r="D187" i="39"/>
  <c r="G187" i="39" s="1"/>
  <c r="H187" i="39" s="1"/>
  <c r="I187" i="39" s="1"/>
  <c r="J171" i="12"/>
  <c r="K171" i="12" s="1"/>
  <c r="D171" i="39"/>
  <c r="G171" i="39" s="1"/>
  <c r="H171" i="39" s="1"/>
  <c r="I171" i="39" s="1"/>
  <c r="J98" i="12"/>
  <c r="K98" i="12" s="1"/>
  <c r="D98" i="39"/>
  <c r="G98" i="39" s="1"/>
  <c r="H98" i="39" s="1"/>
  <c r="I98" i="39" s="1"/>
  <c r="J290" i="12"/>
  <c r="K290" i="12" s="1"/>
  <c r="D290" i="39"/>
  <c r="G290" i="39" s="1"/>
  <c r="H290" i="39" s="1"/>
  <c r="I290" i="39" s="1"/>
  <c r="J278" i="12"/>
  <c r="K278" i="12" s="1"/>
  <c r="D278" i="39"/>
  <c r="G278" i="39" s="1"/>
  <c r="H278" i="39" s="1"/>
  <c r="I278" i="39" s="1"/>
  <c r="J262" i="12"/>
  <c r="K262" i="12" s="1"/>
  <c r="D262" i="39"/>
  <c r="G262" i="39" s="1"/>
  <c r="H262" i="39" s="1"/>
  <c r="I262" i="39" s="1"/>
  <c r="J246" i="12"/>
  <c r="K246" i="12" s="1"/>
  <c r="D246" i="39"/>
  <c r="G246" i="39" s="1"/>
  <c r="H246" i="39" s="1"/>
  <c r="I246" i="39" s="1"/>
  <c r="J230" i="12"/>
  <c r="K230" i="12" s="1"/>
  <c r="D230" i="39"/>
  <c r="G230" i="39" s="1"/>
  <c r="H230" i="39" s="1"/>
  <c r="I230" i="39" s="1"/>
  <c r="J214" i="12"/>
  <c r="K214" i="12" s="1"/>
  <c r="D214" i="39"/>
  <c r="G214" i="39" s="1"/>
  <c r="H214" i="39" s="1"/>
  <c r="I214" i="39" s="1"/>
  <c r="J198" i="12"/>
  <c r="K198" i="12" s="1"/>
  <c r="D198" i="39"/>
  <c r="G198" i="39" s="1"/>
  <c r="H198" i="39" s="1"/>
  <c r="I198" i="39" s="1"/>
  <c r="J182" i="12"/>
  <c r="K182" i="12" s="1"/>
  <c r="D182" i="39"/>
  <c r="G182" i="39" s="1"/>
  <c r="H182" i="39" s="1"/>
  <c r="I182" i="39" s="1"/>
  <c r="J166" i="12"/>
  <c r="K166" i="12" s="1"/>
  <c r="D166" i="39"/>
  <c r="G166" i="39" s="1"/>
  <c r="H166" i="39" s="1"/>
  <c r="I166" i="39" s="1"/>
  <c r="J149" i="12"/>
  <c r="K149" i="12" s="1"/>
  <c r="D149" i="39"/>
  <c r="G149" i="39" s="1"/>
  <c r="H149" i="39" s="1"/>
  <c r="I149" i="39" s="1"/>
  <c r="J133" i="12"/>
  <c r="K133" i="12" s="1"/>
  <c r="D133" i="39"/>
  <c r="G133" i="39" s="1"/>
  <c r="H133" i="39" s="1"/>
  <c r="I133" i="39" s="1"/>
  <c r="J117" i="12"/>
  <c r="K117" i="12" s="1"/>
  <c r="D117" i="39"/>
  <c r="G117" i="39" s="1"/>
  <c r="H117" i="39" s="1"/>
  <c r="I117" i="39" s="1"/>
  <c r="J109" i="12"/>
  <c r="K109" i="12" s="1"/>
  <c r="D109" i="39"/>
  <c r="G109" i="39" s="1"/>
  <c r="H109" i="39" s="1"/>
  <c r="I109" i="39" s="1"/>
  <c r="J93" i="12"/>
  <c r="K93" i="12" s="1"/>
  <c r="D93" i="39"/>
  <c r="G93" i="39" s="1"/>
  <c r="H93" i="39" s="1"/>
  <c r="I93" i="39" s="1"/>
  <c r="J69" i="12"/>
  <c r="K69" i="12" s="1"/>
  <c r="D69" i="39"/>
  <c r="G69" i="39" s="1"/>
  <c r="H69" i="39" s="1"/>
  <c r="I69" i="39" s="1"/>
  <c r="J53" i="12"/>
  <c r="K53" i="12" s="1"/>
  <c r="D53" i="39"/>
  <c r="G53" i="39" s="1"/>
  <c r="H53" i="39" s="1"/>
  <c r="I53" i="39" s="1"/>
  <c r="J37" i="12"/>
  <c r="K37" i="12" s="1"/>
  <c r="D37" i="39"/>
  <c r="G37" i="39" s="1"/>
  <c r="H37" i="39" s="1"/>
  <c r="I37" i="39" s="1"/>
  <c r="J21" i="12"/>
  <c r="K21" i="12" s="1"/>
  <c r="D21" i="39"/>
  <c r="G21" i="39" s="1"/>
  <c r="H21" i="39" s="1"/>
  <c r="I21" i="39" s="1"/>
  <c r="J89" i="12"/>
  <c r="K89" i="12" s="1"/>
  <c r="D89" i="39"/>
  <c r="G89" i="39" s="1"/>
  <c r="H89" i="39" s="1"/>
  <c r="I89" i="39" s="1"/>
  <c r="J27" i="12"/>
  <c r="K27" i="12" s="1"/>
  <c r="D27" i="39"/>
  <c r="G27" i="39" s="1"/>
  <c r="H27" i="39" s="1"/>
  <c r="I27" i="39" s="1"/>
  <c r="J20" i="12"/>
  <c r="K20" i="12" s="1"/>
  <c r="D20" i="39"/>
  <c r="G20" i="39" s="1"/>
  <c r="H20" i="39" s="1"/>
  <c r="I20" i="39" s="1"/>
  <c r="J128" i="12"/>
  <c r="K128" i="12" s="1"/>
  <c r="D128" i="39"/>
  <c r="G128" i="39" s="1"/>
  <c r="H128" i="39" s="1"/>
  <c r="I128" i="39" s="1"/>
  <c r="J58" i="12"/>
  <c r="K58" i="12" s="1"/>
  <c r="D58" i="39"/>
  <c r="G58" i="39" s="1"/>
  <c r="H58" i="39" s="1"/>
  <c r="I58" i="39" s="1"/>
  <c r="J296" i="12"/>
  <c r="K296" i="12" s="1"/>
  <c r="D296" i="39"/>
  <c r="G296" i="39" s="1"/>
  <c r="H296" i="39" s="1"/>
  <c r="I296" i="39" s="1"/>
  <c r="J11" i="12"/>
  <c r="K11" i="12" s="1"/>
  <c r="D11" i="39"/>
  <c r="G11" i="39" s="1"/>
  <c r="H11" i="39" s="1"/>
  <c r="I11" i="39" s="1"/>
  <c r="J75" i="12"/>
  <c r="K75" i="12" s="1"/>
  <c r="D75" i="39"/>
  <c r="G75" i="39" s="1"/>
  <c r="H75" i="39" s="1"/>
  <c r="I75" i="39" s="1"/>
  <c r="J147" i="12"/>
  <c r="K147" i="12" s="1"/>
  <c r="D147" i="39"/>
  <c r="G147" i="39" s="1"/>
  <c r="H147" i="39" s="1"/>
  <c r="I147" i="39" s="1"/>
  <c r="J12" i="12"/>
  <c r="K12" i="12" s="1"/>
  <c r="D12" i="39"/>
  <c r="G12" i="39" s="1"/>
  <c r="H12" i="39" s="1"/>
  <c r="I12" i="39" s="1"/>
  <c r="J44" i="12"/>
  <c r="K44" i="12" s="1"/>
  <c r="D44" i="39"/>
  <c r="G44" i="39" s="1"/>
  <c r="H44" i="39" s="1"/>
  <c r="I44" i="39" s="1"/>
  <c r="J76" i="12"/>
  <c r="K76" i="12" s="1"/>
  <c r="D76" i="39"/>
  <c r="G76" i="39" s="1"/>
  <c r="H76" i="39" s="1"/>
  <c r="I76" i="39" s="1"/>
  <c r="J181" i="12"/>
  <c r="K181" i="12" s="1"/>
  <c r="D181" i="39"/>
  <c r="G181" i="39" s="1"/>
  <c r="H181" i="39" s="1"/>
  <c r="I181" i="39" s="1"/>
  <c r="J289" i="12"/>
  <c r="K289" i="12" s="1"/>
  <c r="D289" i="39"/>
  <c r="G289" i="39" s="1"/>
  <c r="H289" i="39" s="1"/>
  <c r="I289" i="39" s="1"/>
  <c r="J209" i="12"/>
  <c r="K209" i="12" s="1"/>
  <c r="D209" i="39"/>
  <c r="G209" i="39" s="1"/>
  <c r="H209" i="39" s="1"/>
  <c r="I209" i="39" s="1"/>
  <c r="J134" i="12"/>
  <c r="K134" i="12" s="1"/>
  <c r="D134" i="39"/>
  <c r="G134" i="39" s="1"/>
  <c r="H134" i="39" s="1"/>
  <c r="I134" i="39" s="1"/>
  <c r="J112" i="12"/>
  <c r="K112" i="12" s="1"/>
  <c r="D112" i="39"/>
  <c r="G112" i="39" s="1"/>
  <c r="H112" i="39" s="1"/>
  <c r="I112" i="39" s="1"/>
  <c r="J50" i="12"/>
  <c r="K50" i="12" s="1"/>
  <c r="D50" i="39"/>
  <c r="G50" i="39" s="1"/>
  <c r="H50" i="39" s="1"/>
  <c r="I50" i="39" s="1"/>
  <c r="J288" i="12"/>
  <c r="K288" i="12" s="1"/>
  <c r="D288" i="39"/>
  <c r="G288" i="39" s="1"/>
  <c r="H288" i="39" s="1"/>
  <c r="I288" i="39" s="1"/>
  <c r="J15" i="12"/>
  <c r="K15" i="12" s="1"/>
  <c r="D15" i="39"/>
  <c r="G15" i="39" s="1"/>
  <c r="H15" i="39" s="1"/>
  <c r="I15" i="39" s="1"/>
  <c r="J79" i="12"/>
  <c r="K79" i="12" s="1"/>
  <c r="D79" i="39"/>
  <c r="G79" i="39" s="1"/>
  <c r="H79" i="39" s="1"/>
  <c r="I79" i="39" s="1"/>
  <c r="J119" i="12"/>
  <c r="K119" i="12" s="1"/>
  <c r="D119" i="39"/>
  <c r="G119" i="39" s="1"/>
  <c r="H119" i="39" s="1"/>
  <c r="I119" i="39" s="1"/>
  <c r="J136" i="12"/>
  <c r="K136" i="12" s="1"/>
  <c r="D136" i="39"/>
  <c r="G136" i="39" s="1"/>
  <c r="H136" i="39" s="1"/>
  <c r="I136" i="39" s="1"/>
  <c r="J22" i="12"/>
  <c r="K22" i="12" s="1"/>
  <c r="D22" i="39"/>
  <c r="G22" i="39" s="1"/>
  <c r="H22" i="39" s="1"/>
  <c r="I22" i="39" s="1"/>
  <c r="J54" i="12"/>
  <c r="K54" i="12" s="1"/>
  <c r="D54" i="39"/>
  <c r="G54" i="39" s="1"/>
  <c r="H54" i="39" s="1"/>
  <c r="I54" i="39" s="1"/>
  <c r="J88" i="12"/>
  <c r="K88" i="12" s="1"/>
  <c r="D88" i="39"/>
  <c r="G88" i="39" s="1"/>
  <c r="H88" i="39" s="1"/>
  <c r="I88" i="39" s="1"/>
  <c r="J229" i="12"/>
  <c r="K229" i="12" s="1"/>
  <c r="D229" i="39"/>
  <c r="G229" i="39" s="1"/>
  <c r="H229" i="39" s="1"/>
  <c r="I229" i="39" s="1"/>
  <c r="J169" i="12"/>
  <c r="K169" i="12" s="1"/>
  <c r="D169" i="39"/>
  <c r="G169" i="39" s="1"/>
  <c r="H169" i="39" s="1"/>
  <c r="I169" i="39" s="1"/>
  <c r="J165" i="12"/>
  <c r="K165" i="12" s="1"/>
  <c r="D165" i="39"/>
  <c r="G165" i="39" s="1"/>
  <c r="H165" i="39" s="1"/>
  <c r="I165" i="39" s="1"/>
  <c r="J7" i="12"/>
  <c r="K7" i="12" s="1"/>
  <c r="D7" i="39"/>
  <c r="G7" i="39" s="1"/>
  <c r="H7" i="39" s="1"/>
  <c r="I7" i="39" s="1"/>
  <c r="J10" i="12"/>
  <c r="K10" i="12" s="1"/>
  <c r="D10" i="39"/>
  <c r="G10" i="39" s="1"/>
  <c r="H10" i="39" s="1"/>
  <c r="I10" i="39" s="1"/>
  <c r="J67" i="12"/>
  <c r="K67" i="12" s="1"/>
  <c r="D67" i="39"/>
  <c r="G67" i="39" s="1"/>
  <c r="H67" i="39" s="1"/>
  <c r="I67" i="39" s="1"/>
  <c r="J155" i="12"/>
  <c r="K155" i="12" s="1"/>
  <c r="D155" i="39"/>
  <c r="G155" i="39" s="1"/>
  <c r="H155" i="39" s="1"/>
  <c r="I155" i="39" s="1"/>
  <c r="J8" i="12"/>
  <c r="K8" i="12" s="1"/>
  <c r="D8" i="39"/>
  <c r="G8" i="39" s="1"/>
  <c r="H8" i="39" s="1"/>
  <c r="I8" i="39" s="1"/>
  <c r="J40" i="12"/>
  <c r="K40" i="12" s="1"/>
  <c r="D40" i="39"/>
  <c r="G40" i="39" s="1"/>
  <c r="H40" i="39" s="1"/>
  <c r="I40" i="39" s="1"/>
  <c r="J72" i="12"/>
  <c r="K72" i="12" s="1"/>
  <c r="D72" i="39"/>
  <c r="G72" i="39" s="1"/>
  <c r="H72" i="39" s="1"/>
  <c r="I72" i="39" s="1"/>
  <c r="J154" i="12"/>
  <c r="K154" i="12" s="1"/>
  <c r="D154" i="39"/>
  <c r="G154" i="39" s="1"/>
  <c r="H154" i="39" s="1"/>
  <c r="I154" i="39" s="1"/>
  <c r="J293" i="12"/>
  <c r="K293" i="12" s="1"/>
  <c r="D293" i="39"/>
  <c r="G293" i="39" s="1"/>
  <c r="H293" i="39" s="1"/>
  <c r="I293" i="39" s="1"/>
  <c r="J225" i="12"/>
  <c r="K225" i="12" s="1"/>
  <c r="D225" i="39"/>
  <c r="G225" i="39" s="1"/>
  <c r="H225" i="39" s="1"/>
  <c r="I225" i="39" s="1"/>
  <c r="J118" i="12"/>
  <c r="K118" i="12" s="1"/>
  <c r="D118" i="39"/>
  <c r="G118" i="39" s="1"/>
  <c r="H118" i="39" s="1"/>
  <c r="I118" i="39" s="1"/>
  <c r="J271" i="12"/>
  <c r="K271" i="12" s="1"/>
  <c r="D271" i="39"/>
  <c r="G271" i="39" s="1"/>
  <c r="H271" i="39" s="1"/>
  <c r="I271" i="39" s="1"/>
  <c r="J255" i="12"/>
  <c r="K255" i="12" s="1"/>
  <c r="D255" i="39"/>
  <c r="G255" i="39" s="1"/>
  <c r="H255" i="39" s="1"/>
  <c r="I255" i="39" s="1"/>
  <c r="J239" i="12"/>
  <c r="K239" i="12" s="1"/>
  <c r="D239" i="39"/>
  <c r="G239" i="39" s="1"/>
  <c r="H239" i="39" s="1"/>
  <c r="I239" i="39" s="1"/>
  <c r="J223" i="12"/>
  <c r="K223" i="12" s="1"/>
  <c r="D223" i="39"/>
  <c r="G223" i="39" s="1"/>
  <c r="H223" i="39" s="1"/>
  <c r="I223" i="39" s="1"/>
  <c r="J207" i="12"/>
  <c r="K207" i="12" s="1"/>
  <c r="D207" i="39"/>
  <c r="G207" i="39" s="1"/>
  <c r="H207" i="39" s="1"/>
  <c r="I207" i="39" s="1"/>
  <c r="J191" i="12"/>
  <c r="K191" i="12" s="1"/>
  <c r="D191" i="39"/>
  <c r="G191" i="39" s="1"/>
  <c r="H191" i="39" s="1"/>
  <c r="I191" i="39" s="1"/>
  <c r="J175" i="12"/>
  <c r="K175" i="12" s="1"/>
  <c r="D175" i="39"/>
  <c r="G175" i="39" s="1"/>
  <c r="H175" i="39" s="1"/>
  <c r="I175" i="39" s="1"/>
  <c r="J159" i="12"/>
  <c r="K159" i="12" s="1"/>
  <c r="D159" i="39"/>
  <c r="G159" i="39" s="1"/>
  <c r="H159" i="39" s="1"/>
  <c r="I159" i="39" s="1"/>
  <c r="J90" i="12"/>
  <c r="K90" i="12" s="1"/>
  <c r="D90" i="39"/>
  <c r="G90" i="39" s="1"/>
  <c r="H90" i="39" s="1"/>
  <c r="I90" i="39" s="1"/>
  <c r="J295" i="12"/>
  <c r="K295" i="12" s="1"/>
  <c r="D295" i="39"/>
  <c r="G295" i="39" s="1"/>
  <c r="H295" i="39" s="1"/>
  <c r="I295" i="39" s="1"/>
  <c r="J276" i="12"/>
  <c r="K276" i="12" s="1"/>
  <c r="D276" i="39"/>
  <c r="G276" i="39" s="1"/>
  <c r="H276" i="39" s="1"/>
  <c r="I276" i="39" s="1"/>
  <c r="J260" i="12"/>
  <c r="K260" i="12" s="1"/>
  <c r="D260" i="39"/>
  <c r="G260" i="39" s="1"/>
  <c r="H260" i="39" s="1"/>
  <c r="I260" i="39" s="1"/>
  <c r="J244" i="12"/>
  <c r="K244" i="12" s="1"/>
  <c r="D244" i="39"/>
  <c r="G244" i="39" s="1"/>
  <c r="H244" i="39" s="1"/>
  <c r="I244" i="39" s="1"/>
  <c r="J228" i="12"/>
  <c r="K228" i="12" s="1"/>
  <c r="D228" i="39"/>
  <c r="G228" i="39" s="1"/>
  <c r="H228" i="39" s="1"/>
  <c r="I228" i="39" s="1"/>
  <c r="J212" i="12"/>
  <c r="K212" i="12" s="1"/>
  <c r="D212" i="39"/>
  <c r="G212" i="39" s="1"/>
  <c r="H212" i="39" s="1"/>
  <c r="I212" i="39" s="1"/>
  <c r="J196" i="12"/>
  <c r="K196" i="12" s="1"/>
  <c r="D196" i="39"/>
  <c r="G196" i="39" s="1"/>
  <c r="H196" i="39" s="1"/>
  <c r="I196" i="39" s="1"/>
  <c r="J180" i="12"/>
  <c r="K180" i="12" s="1"/>
  <c r="D180" i="39"/>
  <c r="G180" i="39" s="1"/>
  <c r="H180" i="39" s="1"/>
  <c r="I180" i="39" s="1"/>
  <c r="J164" i="12"/>
  <c r="K164" i="12" s="1"/>
  <c r="D164" i="39"/>
  <c r="G164" i="39" s="1"/>
  <c r="H164" i="39" s="1"/>
  <c r="I164" i="39" s="1"/>
  <c r="J302" i="12"/>
  <c r="K302" i="12" s="1"/>
  <c r="D302" i="39"/>
  <c r="G302" i="39" s="1"/>
  <c r="H302" i="39" s="1"/>
  <c r="I302" i="39" s="1"/>
  <c r="J286" i="12"/>
  <c r="K286" i="12" s="1"/>
  <c r="D286" i="39"/>
  <c r="G286" i="39" s="1"/>
  <c r="H286" i="39" s="1"/>
  <c r="I286" i="39" s="1"/>
  <c r="J274" i="12"/>
  <c r="K274" i="12" s="1"/>
  <c r="D274" i="39"/>
  <c r="G274" i="39" s="1"/>
  <c r="H274" i="39" s="1"/>
  <c r="I274" i="39" s="1"/>
  <c r="J258" i="12"/>
  <c r="K258" i="12" s="1"/>
  <c r="D258" i="39"/>
  <c r="G258" i="39" s="1"/>
  <c r="H258" i="39" s="1"/>
  <c r="I258" i="39" s="1"/>
  <c r="J242" i="12"/>
  <c r="K242" i="12" s="1"/>
  <c r="D242" i="39"/>
  <c r="G242" i="39" s="1"/>
  <c r="H242" i="39" s="1"/>
  <c r="I242" i="39" s="1"/>
  <c r="J226" i="12"/>
  <c r="K226" i="12" s="1"/>
  <c r="D226" i="39"/>
  <c r="G226" i="39" s="1"/>
  <c r="H226" i="39" s="1"/>
  <c r="I226" i="39" s="1"/>
  <c r="J210" i="12"/>
  <c r="K210" i="12" s="1"/>
  <c r="D210" i="39"/>
  <c r="G210" i="39" s="1"/>
  <c r="H210" i="39" s="1"/>
  <c r="I210" i="39" s="1"/>
  <c r="J194" i="12"/>
  <c r="K194" i="12" s="1"/>
  <c r="D194" i="39"/>
  <c r="G194" i="39" s="1"/>
  <c r="H194" i="39" s="1"/>
  <c r="I194" i="39" s="1"/>
  <c r="J178" i="12"/>
  <c r="K178" i="12" s="1"/>
  <c r="D178" i="39"/>
  <c r="G178" i="39" s="1"/>
  <c r="H178" i="39" s="1"/>
  <c r="I178" i="39" s="1"/>
  <c r="J162" i="12"/>
  <c r="K162" i="12" s="1"/>
  <c r="D162" i="39"/>
  <c r="G162" i="39" s="1"/>
  <c r="H162" i="39" s="1"/>
  <c r="I162" i="39" s="1"/>
  <c r="J145" i="12"/>
  <c r="K145" i="12" s="1"/>
  <c r="D145" i="39"/>
  <c r="G145" i="39" s="1"/>
  <c r="H145" i="39" s="1"/>
  <c r="I145" i="39" s="1"/>
  <c r="J129" i="12"/>
  <c r="K129" i="12" s="1"/>
  <c r="D129" i="39"/>
  <c r="G129" i="39" s="1"/>
  <c r="H129" i="39" s="1"/>
  <c r="I129" i="39" s="1"/>
  <c r="J113" i="12"/>
  <c r="K113" i="12" s="1"/>
  <c r="D113" i="39"/>
  <c r="G113" i="39" s="1"/>
  <c r="H113" i="39" s="1"/>
  <c r="I113" i="39" s="1"/>
  <c r="J105" i="12"/>
  <c r="K105" i="12" s="1"/>
  <c r="D105" i="39"/>
  <c r="G105" i="39" s="1"/>
  <c r="H105" i="39" s="1"/>
  <c r="I105" i="39" s="1"/>
  <c r="J81" i="12"/>
  <c r="K81" i="12" s="1"/>
  <c r="D81" i="39"/>
  <c r="G81" i="39" s="1"/>
  <c r="H81" i="39" s="1"/>
  <c r="I81" i="39" s="1"/>
  <c r="J65" i="12"/>
  <c r="K65" i="12" s="1"/>
  <c r="D65" i="39"/>
  <c r="G65" i="39" s="1"/>
  <c r="H65" i="39" s="1"/>
  <c r="I65" i="39" s="1"/>
  <c r="J49" i="12"/>
  <c r="K49" i="12" s="1"/>
  <c r="D49" i="39"/>
  <c r="G49" i="39" s="1"/>
  <c r="H49" i="39" s="1"/>
  <c r="I49" i="39" s="1"/>
  <c r="J33" i="12"/>
  <c r="K33" i="12" s="1"/>
  <c r="D33" i="39"/>
  <c r="G33" i="39" s="1"/>
  <c r="H33" i="39" s="1"/>
  <c r="I33" i="39" s="1"/>
  <c r="J17" i="12"/>
  <c r="K17" i="12" s="1"/>
  <c r="D17" i="39"/>
  <c r="G17" i="39" s="1"/>
  <c r="H17" i="39" s="1"/>
  <c r="I17" i="39" s="1"/>
  <c r="J85" i="12"/>
  <c r="K85" i="12" s="1"/>
  <c r="D85" i="39"/>
  <c r="G85" i="39" s="1"/>
  <c r="H85" i="39" s="1"/>
  <c r="I85" i="39" s="1"/>
  <c r="H6" i="12"/>
  <c r="I6" i="12" s="1"/>
  <c r="D6" i="39" s="1"/>
  <c r="J306" i="12"/>
  <c r="G19" i="13" l="1"/>
  <c r="G269" i="13"/>
  <c r="G152" i="13"/>
  <c r="G43" i="13"/>
  <c r="G241" i="13"/>
  <c r="G74" i="13"/>
  <c r="G190" i="13"/>
  <c r="G291" i="13"/>
  <c r="G184" i="13"/>
  <c r="G16" i="13"/>
  <c r="G169" i="13"/>
  <c r="G122" i="13"/>
  <c r="G66" i="13"/>
  <c r="G153" i="13"/>
  <c r="G55" i="13"/>
  <c r="G114" i="13"/>
  <c r="G26" i="13"/>
  <c r="G106" i="13"/>
  <c r="G83" i="13"/>
  <c r="G30" i="13"/>
  <c r="G186" i="13"/>
  <c r="G183" i="13"/>
  <c r="G132" i="13"/>
  <c r="G31" i="13"/>
  <c r="G238" i="13"/>
  <c r="G234" i="13"/>
  <c r="G298" i="13"/>
  <c r="G267" i="13"/>
  <c r="G137" i="13"/>
  <c r="G294" i="13"/>
  <c r="G189" i="13"/>
  <c r="G210" i="13"/>
  <c r="G229" i="13"/>
  <c r="G54" i="13"/>
  <c r="G79" i="13"/>
  <c r="G162" i="13"/>
  <c r="G44" i="13"/>
  <c r="G147" i="13"/>
  <c r="G11" i="13"/>
  <c r="G90" i="13"/>
  <c r="G175" i="13"/>
  <c r="G239" i="13"/>
  <c r="G10" i="13"/>
  <c r="G7" i="13"/>
  <c r="G20" i="13"/>
  <c r="G69" i="13"/>
  <c r="G133" i="13"/>
  <c r="G290" i="13"/>
  <c r="G203" i="13"/>
  <c r="G299" i="13"/>
  <c r="G192" i="13"/>
  <c r="G224" i="13"/>
  <c r="G256" i="13"/>
  <c r="G237" i="13"/>
  <c r="G285" i="13"/>
  <c r="G300" i="13"/>
  <c r="G78" i="13"/>
  <c r="G14" i="13"/>
  <c r="G148" i="13"/>
  <c r="G197" i="13"/>
  <c r="G9" i="13"/>
  <c r="G27" i="13"/>
  <c r="G21" i="13"/>
  <c r="G98" i="13"/>
  <c r="G172" i="13"/>
  <c r="G204" i="13"/>
  <c r="G236" i="13"/>
  <c r="G268" i="13"/>
  <c r="G56" i="13"/>
  <c r="G140" i="13"/>
  <c r="G35" i="13"/>
  <c r="G217" i="13"/>
  <c r="G18" i="13"/>
  <c r="G273" i="13"/>
  <c r="G64" i="13"/>
  <c r="G131" i="13"/>
  <c r="G126" i="13"/>
  <c r="G94" i="13"/>
  <c r="G167" i="13"/>
  <c r="H167" i="13" s="1"/>
  <c r="G231" i="13"/>
  <c r="G28" i="13"/>
  <c r="G104" i="13"/>
  <c r="G211" i="13"/>
  <c r="G17" i="13"/>
  <c r="G113" i="13"/>
  <c r="G242" i="13"/>
  <c r="G274" i="13"/>
  <c r="G112" i="13"/>
  <c r="G209" i="13"/>
  <c r="G280" i="13"/>
  <c r="G292" i="13"/>
  <c r="G57" i="13"/>
  <c r="G284" i="13"/>
  <c r="G281" i="13"/>
  <c r="G77" i="13"/>
  <c r="G174" i="13"/>
  <c r="G33" i="13"/>
  <c r="G65" i="13"/>
  <c r="G271" i="13"/>
  <c r="G225" i="13"/>
  <c r="G40" i="13"/>
  <c r="G166" i="13"/>
  <c r="G198" i="13"/>
  <c r="G230" i="13"/>
  <c r="G176" i="13"/>
  <c r="G304" i="13"/>
  <c r="G84" i="13"/>
  <c r="G41" i="13"/>
  <c r="G73" i="13"/>
  <c r="G252" i="13"/>
  <c r="G61" i="13"/>
  <c r="G125" i="13"/>
  <c r="G302" i="13"/>
  <c r="G212" i="13"/>
  <c r="G244" i="13"/>
  <c r="G276" i="13"/>
  <c r="G159" i="13"/>
  <c r="G191" i="13"/>
  <c r="G155" i="13"/>
  <c r="G288" i="13"/>
  <c r="G134" i="13"/>
  <c r="G289" i="13"/>
  <c r="G58" i="13"/>
  <c r="G93" i="13"/>
  <c r="G262" i="13"/>
  <c r="G219" i="13"/>
  <c r="G32" i="13"/>
  <c r="G103" i="13"/>
  <c r="G138" i="13"/>
  <c r="G111" i="13"/>
  <c r="G116" i="13"/>
  <c r="G102" i="13"/>
  <c r="G250" i="13"/>
  <c r="G303" i="13"/>
  <c r="G247" i="13"/>
  <c r="G279" i="13"/>
  <c r="G277" i="13"/>
  <c r="G60" i="13"/>
  <c r="G135" i="13"/>
  <c r="G101" i="13"/>
  <c r="G270" i="13"/>
  <c r="G243" i="13"/>
  <c r="G86" i="13"/>
  <c r="G168" i="13"/>
  <c r="G232" i="13"/>
  <c r="G257" i="13"/>
  <c r="G49" i="13"/>
  <c r="G81" i="13"/>
  <c r="G226" i="13"/>
  <c r="G255" i="13"/>
  <c r="G118" i="13"/>
  <c r="G165" i="13"/>
  <c r="G88" i="13"/>
  <c r="G12" i="13"/>
  <c r="G89" i="13"/>
  <c r="G37" i="13"/>
  <c r="G149" i="13"/>
  <c r="G182" i="13"/>
  <c r="G171" i="13"/>
  <c r="G283" i="13"/>
  <c r="G208" i="13"/>
  <c r="G272" i="13"/>
  <c r="G205" i="13"/>
  <c r="G34" i="13"/>
  <c r="G39" i="13"/>
  <c r="G25" i="13"/>
  <c r="G170" i="13"/>
  <c r="G202" i="13"/>
  <c r="G282" i="13"/>
  <c r="G188" i="13"/>
  <c r="G199" i="13"/>
  <c r="G24" i="13"/>
  <c r="G70" i="13"/>
  <c r="G82" i="13"/>
  <c r="G23" i="13"/>
  <c r="G45" i="13"/>
  <c r="G254" i="13"/>
  <c r="G163" i="13"/>
  <c r="G227" i="13"/>
  <c r="G145" i="13"/>
  <c r="G286" i="13"/>
  <c r="G196" i="13"/>
  <c r="G260" i="13"/>
  <c r="G207" i="13"/>
  <c r="G8" i="13"/>
  <c r="G15" i="13"/>
  <c r="G181" i="13"/>
  <c r="G109" i="13"/>
  <c r="G246" i="13"/>
  <c r="G235" i="13"/>
  <c r="G156" i="13"/>
  <c r="G261" i="13"/>
  <c r="G68" i="13"/>
  <c r="G42" i="13"/>
  <c r="G185" i="13"/>
  <c r="G97" i="13"/>
  <c r="G266" i="13"/>
  <c r="G287" i="13"/>
  <c r="G263" i="13"/>
  <c r="G173" i="13"/>
  <c r="G213" i="13"/>
  <c r="G100" i="13"/>
  <c r="G108" i="13"/>
  <c r="G305" i="13"/>
  <c r="G99" i="13"/>
  <c r="G87" i="13"/>
  <c r="G248" i="13"/>
  <c r="G301" i="13"/>
  <c r="H301" i="13" s="1"/>
  <c r="G253" i="13"/>
  <c r="G85" i="13"/>
  <c r="G129" i="13"/>
  <c r="G194" i="13"/>
  <c r="G164" i="13"/>
  <c r="G154" i="13"/>
  <c r="G67" i="13"/>
  <c r="G22" i="13"/>
  <c r="G119" i="13"/>
  <c r="G75" i="13"/>
  <c r="G53" i="13"/>
  <c r="G214" i="13"/>
  <c r="G187" i="13"/>
  <c r="G91" i="13"/>
  <c r="G240" i="13"/>
  <c r="G193" i="13"/>
  <c r="G139" i="13"/>
  <c r="G143" i="13"/>
  <c r="G265" i="13"/>
  <c r="G120" i="13"/>
  <c r="G63" i="13"/>
  <c r="G177" i="13"/>
  <c r="G297" i="13"/>
  <c r="G218" i="13"/>
  <c r="G95" i="13"/>
  <c r="G123" i="13"/>
  <c r="G146" i="13"/>
  <c r="G38" i="13"/>
  <c r="G71" i="13"/>
  <c r="G245" i="13"/>
  <c r="G249" i="13"/>
  <c r="G144" i="13"/>
  <c r="G52" i="13"/>
  <c r="G13" i="13"/>
  <c r="G110" i="13"/>
  <c r="G158" i="13"/>
  <c r="G206" i="13"/>
  <c r="G195" i="13"/>
  <c r="G259" i="13"/>
  <c r="G200" i="13"/>
  <c r="G150" i="13"/>
  <c r="G80" i="13"/>
  <c r="G124" i="13"/>
  <c r="G105" i="13"/>
  <c r="G178" i="13"/>
  <c r="G258" i="13"/>
  <c r="G180" i="13"/>
  <c r="G228" i="13"/>
  <c r="G295" i="13"/>
  <c r="G223" i="13"/>
  <c r="G293" i="13"/>
  <c r="G72" i="13"/>
  <c r="G136" i="13"/>
  <c r="G50" i="13"/>
  <c r="G76" i="13"/>
  <c r="G296" i="13"/>
  <c r="G128" i="13"/>
  <c r="G117" i="13"/>
  <c r="G278" i="13"/>
  <c r="G251" i="13"/>
  <c r="G160" i="13"/>
  <c r="G51" i="13"/>
  <c r="G142" i="13"/>
  <c r="G46" i="13"/>
  <c r="G130" i="13"/>
  <c r="G127" i="13"/>
  <c r="G36" i="13"/>
  <c r="G59" i="13"/>
  <c r="G107" i="13"/>
  <c r="G121" i="13"/>
  <c r="G157" i="13"/>
  <c r="G220" i="13"/>
  <c r="G215" i="13"/>
  <c r="G161" i="13"/>
  <c r="G92" i="13"/>
  <c r="G233" i="13"/>
  <c r="G151" i="13"/>
  <c r="G47" i="13"/>
  <c r="G115" i="13"/>
  <c r="G96" i="13"/>
  <c r="G221" i="13"/>
  <c r="G29" i="13"/>
  <c r="G141" i="13"/>
  <c r="G222" i="13"/>
  <c r="G179" i="13"/>
  <c r="G275" i="13"/>
  <c r="G216" i="13"/>
  <c r="G264" i="13"/>
  <c r="G48" i="13"/>
  <c r="G201" i="13"/>
  <c r="G62" i="13"/>
  <c r="J6" i="12"/>
  <c r="K6" i="12" s="1"/>
  <c r="H121" i="13" l="1"/>
  <c r="I121" i="13" s="1"/>
  <c r="H91" i="13"/>
  <c r="I91" i="13" s="1"/>
  <c r="H25" i="13"/>
  <c r="I25" i="13" s="1"/>
  <c r="H219" i="13"/>
  <c r="I219" i="13" s="1"/>
  <c r="H281" i="13"/>
  <c r="I281" i="13" s="1"/>
  <c r="H69" i="13"/>
  <c r="I69" i="13" s="1"/>
  <c r="H153" i="13"/>
  <c r="I153" i="13" s="1"/>
  <c r="H179" i="13"/>
  <c r="I179" i="13" s="1"/>
  <c r="H151" i="13"/>
  <c r="I151" i="13" s="1"/>
  <c r="H107" i="13"/>
  <c r="I107" i="13" s="1"/>
  <c r="H160" i="13"/>
  <c r="I160" i="13" s="1"/>
  <c r="H136" i="13"/>
  <c r="I136" i="13" s="1"/>
  <c r="H178" i="13"/>
  <c r="I178" i="13" s="1"/>
  <c r="H206" i="13"/>
  <c r="I206" i="13" s="1"/>
  <c r="H71" i="13"/>
  <c r="I71" i="13" s="1"/>
  <c r="H63" i="13"/>
  <c r="I63" i="13" s="1"/>
  <c r="H187" i="13"/>
  <c r="I187" i="13" s="1"/>
  <c r="H164" i="13"/>
  <c r="I164" i="13" s="1"/>
  <c r="H99" i="13"/>
  <c r="I99" i="13" s="1"/>
  <c r="H266" i="13"/>
  <c r="I266" i="13" s="1"/>
  <c r="H246" i="13"/>
  <c r="I246" i="13" s="1"/>
  <c r="H286" i="13"/>
  <c r="I286" i="13" s="1"/>
  <c r="H70" i="13"/>
  <c r="I70" i="13" s="1"/>
  <c r="H39" i="13"/>
  <c r="I39" i="13" s="1"/>
  <c r="H149" i="13"/>
  <c r="I149" i="13" s="1"/>
  <c r="H226" i="13"/>
  <c r="I226" i="13" s="1"/>
  <c r="H270" i="13"/>
  <c r="I270" i="13" s="1"/>
  <c r="H250" i="13"/>
  <c r="I250" i="13" s="1"/>
  <c r="H262" i="13"/>
  <c r="I262" i="13" s="1"/>
  <c r="H159" i="13"/>
  <c r="I159" i="13" s="1"/>
  <c r="H73" i="13"/>
  <c r="I73" i="13" s="1"/>
  <c r="H40" i="13"/>
  <c r="I40" i="13" s="1"/>
  <c r="H284" i="13"/>
  <c r="I284" i="13" s="1"/>
  <c r="H113" i="13"/>
  <c r="I113" i="13" s="1"/>
  <c r="H126" i="13"/>
  <c r="I126" i="13" s="1"/>
  <c r="H56" i="13"/>
  <c r="I56" i="13" s="1"/>
  <c r="H9" i="13"/>
  <c r="I9" i="13" s="1"/>
  <c r="H256" i="13"/>
  <c r="I256" i="13" s="1"/>
  <c r="H20" i="13"/>
  <c r="I20" i="13" s="1"/>
  <c r="H44" i="13"/>
  <c r="I44" i="13" s="1"/>
  <c r="H137" i="13"/>
  <c r="I137" i="13" s="1"/>
  <c r="H186" i="13"/>
  <c r="I186" i="13" s="1"/>
  <c r="H66" i="13"/>
  <c r="I66" i="13" s="1"/>
  <c r="H190" i="13"/>
  <c r="I190" i="13" s="1"/>
  <c r="H275" i="13"/>
  <c r="I275" i="13" s="1"/>
  <c r="H177" i="13"/>
  <c r="I177" i="13" s="1"/>
  <c r="H196" i="13"/>
  <c r="I196" i="13" s="1"/>
  <c r="H303" i="13"/>
  <c r="I303" i="13" s="1"/>
  <c r="H166" i="13"/>
  <c r="I166" i="13" s="1"/>
  <c r="H237" i="13"/>
  <c r="I237" i="13" s="1"/>
  <c r="I291" i="13"/>
  <c r="H233" i="13"/>
  <c r="I233" i="13" s="1"/>
  <c r="H59" i="13"/>
  <c r="I59" i="13" s="1"/>
  <c r="H251" i="13"/>
  <c r="I251" i="13" s="1"/>
  <c r="H72" i="13"/>
  <c r="I72" i="13" s="1"/>
  <c r="H105" i="13"/>
  <c r="I105" i="13" s="1"/>
  <c r="H158" i="13"/>
  <c r="I158" i="13" s="1"/>
  <c r="H38" i="13"/>
  <c r="I38" i="13" s="1"/>
  <c r="H120" i="13"/>
  <c r="I120" i="13" s="1"/>
  <c r="H214" i="13"/>
  <c r="I214" i="13" s="1"/>
  <c r="H194" i="13"/>
  <c r="I194" i="13" s="1"/>
  <c r="H305" i="13"/>
  <c r="I305" i="13" s="1"/>
  <c r="H97" i="13"/>
  <c r="I97" i="13" s="1"/>
  <c r="H109" i="13"/>
  <c r="I109" i="13" s="1"/>
  <c r="H145" i="13"/>
  <c r="I145" i="13" s="1"/>
  <c r="H24" i="13"/>
  <c r="I24" i="13" s="1"/>
  <c r="H34" i="13"/>
  <c r="I34" i="13" s="1"/>
  <c r="H37" i="13"/>
  <c r="I37" i="13" s="1"/>
  <c r="H81" i="13"/>
  <c r="I81" i="13" s="1"/>
  <c r="H101" i="13"/>
  <c r="I101" i="13" s="1"/>
  <c r="H102" i="13"/>
  <c r="I102" i="13" s="1"/>
  <c r="H93" i="13"/>
  <c r="I93" i="13" s="1"/>
  <c r="H276" i="13"/>
  <c r="I276" i="13" s="1"/>
  <c r="H41" i="13"/>
  <c r="I41" i="13" s="1"/>
  <c r="H225" i="13"/>
  <c r="I225" i="13" s="1"/>
  <c r="H57" i="13"/>
  <c r="I57" i="13" s="1"/>
  <c r="H17" i="13"/>
  <c r="I17" i="13" s="1"/>
  <c r="H131" i="13"/>
  <c r="I131" i="13" s="1"/>
  <c r="H268" i="13"/>
  <c r="I268" i="13" s="1"/>
  <c r="H197" i="13"/>
  <c r="I197" i="13" s="1"/>
  <c r="H224" i="13"/>
  <c r="I224" i="13" s="1"/>
  <c r="H7" i="13"/>
  <c r="I7" i="13" s="1"/>
  <c r="H162" i="13"/>
  <c r="I162" i="13" s="1"/>
  <c r="H267" i="13"/>
  <c r="I267" i="13" s="1"/>
  <c r="H30" i="13"/>
  <c r="I30" i="13" s="1"/>
  <c r="H122" i="13"/>
  <c r="I122" i="13" s="1"/>
  <c r="H74" i="13"/>
  <c r="I74" i="13" s="1"/>
  <c r="H47" i="13"/>
  <c r="I47" i="13" s="1"/>
  <c r="H245" i="13"/>
  <c r="I245" i="13" s="1"/>
  <c r="H82" i="13"/>
  <c r="I82" i="13" s="1"/>
  <c r="H191" i="13"/>
  <c r="I191" i="13" s="1"/>
  <c r="H242" i="13"/>
  <c r="I242" i="13" s="1"/>
  <c r="H147" i="13"/>
  <c r="I147" i="13" s="1"/>
  <c r="H183" i="13"/>
  <c r="I183" i="13" s="1"/>
  <c r="H222" i="13"/>
  <c r="I222" i="13" s="1"/>
  <c r="H62" i="13"/>
  <c r="I62" i="13" s="1"/>
  <c r="H141" i="13"/>
  <c r="I141" i="13" s="1"/>
  <c r="H92" i="13"/>
  <c r="I92" i="13" s="1"/>
  <c r="H36" i="13"/>
  <c r="I36" i="13" s="1"/>
  <c r="H278" i="13"/>
  <c r="I278" i="13" s="1"/>
  <c r="H293" i="13"/>
  <c r="I293" i="13" s="1"/>
  <c r="H124" i="13"/>
  <c r="I124" i="13" s="1"/>
  <c r="H110" i="13"/>
  <c r="I110" i="13" s="1"/>
  <c r="H146" i="13"/>
  <c r="I146" i="13" s="1"/>
  <c r="H265" i="13"/>
  <c r="I265" i="13" s="1"/>
  <c r="H53" i="13"/>
  <c r="I53" i="13" s="1"/>
  <c r="H129" i="13"/>
  <c r="I129" i="13" s="1"/>
  <c r="H108" i="13"/>
  <c r="I108" i="13" s="1"/>
  <c r="H185" i="13"/>
  <c r="I185" i="13" s="1"/>
  <c r="H181" i="13"/>
  <c r="I181" i="13" s="1"/>
  <c r="H227" i="13"/>
  <c r="I227" i="13" s="1"/>
  <c r="H199" i="13"/>
  <c r="I199" i="13" s="1"/>
  <c r="H205" i="13"/>
  <c r="I205" i="13" s="1"/>
  <c r="H89" i="13"/>
  <c r="I89" i="13" s="1"/>
  <c r="H49" i="13"/>
  <c r="I49" i="13" s="1"/>
  <c r="H135" i="13"/>
  <c r="I135" i="13" s="1"/>
  <c r="H116" i="13"/>
  <c r="I116" i="13" s="1"/>
  <c r="H58" i="13"/>
  <c r="I58" i="13" s="1"/>
  <c r="H244" i="13"/>
  <c r="I244" i="13" s="1"/>
  <c r="H84" i="13"/>
  <c r="I84" i="13" s="1"/>
  <c r="H271" i="13"/>
  <c r="I271" i="13" s="1"/>
  <c r="H292" i="13"/>
  <c r="I292" i="13" s="1"/>
  <c r="H211" i="13"/>
  <c r="I211" i="13" s="1"/>
  <c r="H64" i="13"/>
  <c r="I64" i="13" s="1"/>
  <c r="H236" i="13"/>
  <c r="I236" i="13" s="1"/>
  <c r="H148" i="13"/>
  <c r="I148" i="13" s="1"/>
  <c r="H192" i="13"/>
  <c r="I192" i="13" s="1"/>
  <c r="H10" i="13"/>
  <c r="I10" i="13" s="1"/>
  <c r="H79" i="13"/>
  <c r="I79" i="13" s="1"/>
  <c r="H298" i="13"/>
  <c r="I298" i="13" s="1"/>
  <c r="H83" i="13"/>
  <c r="I83" i="13" s="1"/>
  <c r="H241" i="13"/>
  <c r="I241" i="13" s="1"/>
  <c r="H50" i="13"/>
  <c r="I50" i="13" s="1"/>
  <c r="H287" i="13"/>
  <c r="I287" i="13" s="1"/>
  <c r="H94" i="13"/>
  <c r="I94" i="13" s="1"/>
  <c r="H201" i="13"/>
  <c r="I201" i="13" s="1"/>
  <c r="H223" i="13"/>
  <c r="I223" i="13" s="1"/>
  <c r="H143" i="13"/>
  <c r="I143" i="13" s="1"/>
  <c r="H42" i="13"/>
  <c r="I42" i="13" s="1"/>
  <c r="H15" i="13"/>
  <c r="I15" i="13" s="1"/>
  <c r="H12" i="13"/>
  <c r="I12" i="13" s="1"/>
  <c r="H257" i="13"/>
  <c r="I257" i="13" s="1"/>
  <c r="H60" i="13"/>
  <c r="I60" i="13" s="1"/>
  <c r="H111" i="13"/>
  <c r="I111" i="13" s="1"/>
  <c r="H289" i="13"/>
  <c r="I289" i="13" s="1"/>
  <c r="H212" i="13"/>
  <c r="I212" i="13" s="1"/>
  <c r="H304" i="13"/>
  <c r="I304" i="13" s="1"/>
  <c r="H65" i="13"/>
  <c r="I65" i="13" s="1"/>
  <c r="H280" i="13"/>
  <c r="I280" i="13" s="1"/>
  <c r="H104" i="13"/>
  <c r="I104" i="13" s="1"/>
  <c r="H273" i="13"/>
  <c r="I273" i="13" s="1"/>
  <c r="H204" i="13"/>
  <c r="I204" i="13" s="1"/>
  <c r="H14" i="13"/>
  <c r="I14" i="13" s="1"/>
  <c r="H299" i="13"/>
  <c r="I299" i="13" s="1"/>
  <c r="H239" i="13"/>
  <c r="I239" i="13" s="1"/>
  <c r="H54" i="13"/>
  <c r="I54" i="13" s="1"/>
  <c r="H234" i="13"/>
  <c r="I234" i="13" s="1"/>
  <c r="H106" i="13"/>
  <c r="I106" i="13" s="1"/>
  <c r="H43" i="13"/>
  <c r="I43" i="13" s="1"/>
  <c r="H258" i="13"/>
  <c r="I258" i="13" s="1"/>
  <c r="H87" i="13"/>
  <c r="I87" i="13" s="1"/>
  <c r="H255" i="13"/>
  <c r="I255" i="13" s="1"/>
  <c r="H294" i="13"/>
  <c r="I294" i="13" s="1"/>
  <c r="H161" i="13"/>
  <c r="I161" i="13" s="1"/>
  <c r="H13" i="13"/>
  <c r="I13" i="13" s="1"/>
  <c r="H85" i="13"/>
  <c r="I85" i="13" s="1"/>
  <c r="H163" i="13"/>
  <c r="I163" i="13" s="1"/>
  <c r="H48" i="13"/>
  <c r="I48" i="13" s="1"/>
  <c r="H221" i="13"/>
  <c r="I221" i="13" s="1"/>
  <c r="H215" i="13"/>
  <c r="I215" i="13" s="1"/>
  <c r="H130" i="13"/>
  <c r="I130" i="13" s="1"/>
  <c r="H128" i="13"/>
  <c r="I128" i="13" s="1"/>
  <c r="H295" i="13"/>
  <c r="I295" i="13" s="1"/>
  <c r="H150" i="13"/>
  <c r="I150" i="13" s="1"/>
  <c r="H52" i="13"/>
  <c r="I52" i="13" s="1"/>
  <c r="H95" i="13"/>
  <c r="I95" i="13" s="1"/>
  <c r="H139" i="13"/>
  <c r="I139" i="13" s="1"/>
  <c r="H119" i="13"/>
  <c r="I119" i="13" s="1"/>
  <c r="H253" i="13"/>
  <c r="I253" i="13" s="1"/>
  <c r="H213" i="13"/>
  <c r="I213" i="13" s="1"/>
  <c r="H68" i="13"/>
  <c r="I68" i="13" s="1"/>
  <c r="H8" i="13"/>
  <c r="I8" i="13" s="1"/>
  <c r="H254" i="13"/>
  <c r="I254" i="13" s="1"/>
  <c r="H282" i="13"/>
  <c r="I282" i="13" s="1"/>
  <c r="H208" i="13"/>
  <c r="I208" i="13" s="1"/>
  <c r="H88" i="13"/>
  <c r="I88" i="13" s="1"/>
  <c r="H232" i="13"/>
  <c r="I232" i="13" s="1"/>
  <c r="H277" i="13"/>
  <c r="I277" i="13" s="1"/>
  <c r="H138" i="13"/>
  <c r="I138" i="13" s="1"/>
  <c r="H134" i="13"/>
  <c r="I134" i="13" s="1"/>
  <c r="H302" i="13"/>
  <c r="I302" i="13" s="1"/>
  <c r="H176" i="13"/>
  <c r="I176" i="13" s="1"/>
  <c r="H33" i="13"/>
  <c r="I33" i="13" s="1"/>
  <c r="H209" i="13"/>
  <c r="I209" i="13" s="1"/>
  <c r="H28" i="13"/>
  <c r="I28" i="13" s="1"/>
  <c r="H18" i="13"/>
  <c r="I18" i="13" s="1"/>
  <c r="H172" i="13"/>
  <c r="I172" i="13" s="1"/>
  <c r="H78" i="13"/>
  <c r="I78" i="13" s="1"/>
  <c r="H203" i="13"/>
  <c r="I203" i="13" s="1"/>
  <c r="H175" i="13"/>
  <c r="I175" i="13" s="1"/>
  <c r="H229" i="13"/>
  <c r="I229" i="13" s="1"/>
  <c r="H238" i="13"/>
  <c r="I238" i="13" s="1"/>
  <c r="H26" i="13"/>
  <c r="I26" i="13" s="1"/>
  <c r="H169" i="13"/>
  <c r="I169" i="13" s="1"/>
  <c r="H152" i="13"/>
  <c r="I152" i="13" s="1"/>
  <c r="H51" i="13"/>
  <c r="I51" i="13" s="1"/>
  <c r="H154" i="13"/>
  <c r="I154" i="13" s="1"/>
  <c r="H182" i="13"/>
  <c r="I182" i="13" s="1"/>
  <c r="H252" i="13"/>
  <c r="I252" i="13" s="1"/>
  <c r="H140" i="13"/>
  <c r="I140" i="13" s="1"/>
  <c r="H29" i="13"/>
  <c r="I29" i="13" s="1"/>
  <c r="H117" i="13"/>
  <c r="I117" i="13" s="1"/>
  <c r="H80" i="13"/>
  <c r="I80" i="13" s="1"/>
  <c r="H75" i="13"/>
  <c r="I75" i="13" s="1"/>
  <c r="H188" i="13"/>
  <c r="I188" i="13" s="1"/>
  <c r="H264" i="13"/>
  <c r="I264" i="13" s="1"/>
  <c r="H96" i="13"/>
  <c r="I96" i="13" s="1"/>
  <c r="H220" i="13"/>
  <c r="I220" i="13" s="1"/>
  <c r="H46" i="13"/>
  <c r="I46" i="13" s="1"/>
  <c r="H296" i="13"/>
  <c r="I296" i="13" s="1"/>
  <c r="H228" i="13"/>
  <c r="I228" i="13" s="1"/>
  <c r="H200" i="13"/>
  <c r="I200" i="13" s="1"/>
  <c r="H144" i="13"/>
  <c r="I144" i="13" s="1"/>
  <c r="H218" i="13"/>
  <c r="I218" i="13" s="1"/>
  <c r="H193" i="13"/>
  <c r="I193" i="13" s="1"/>
  <c r="H22" i="13"/>
  <c r="I22" i="13" s="1"/>
  <c r="H173" i="13"/>
  <c r="I173" i="13" s="1"/>
  <c r="H261" i="13"/>
  <c r="I261" i="13" s="1"/>
  <c r="H207" i="13"/>
  <c r="I207" i="13" s="1"/>
  <c r="H45" i="13"/>
  <c r="I45" i="13" s="1"/>
  <c r="H202" i="13"/>
  <c r="I202" i="13" s="1"/>
  <c r="H283" i="13"/>
  <c r="I283" i="13" s="1"/>
  <c r="H165" i="13"/>
  <c r="I165" i="13" s="1"/>
  <c r="H168" i="13"/>
  <c r="I168" i="13" s="1"/>
  <c r="H279" i="13"/>
  <c r="I279" i="13" s="1"/>
  <c r="H103" i="13"/>
  <c r="I103" i="13" s="1"/>
  <c r="H288" i="13"/>
  <c r="I288" i="13" s="1"/>
  <c r="H125" i="13"/>
  <c r="I125" i="13" s="1"/>
  <c r="H230" i="13"/>
  <c r="I230" i="13" s="1"/>
  <c r="H174" i="13"/>
  <c r="I174" i="13" s="1"/>
  <c r="H112" i="13"/>
  <c r="I112" i="13" s="1"/>
  <c r="H231" i="13"/>
  <c r="I231" i="13" s="1"/>
  <c r="H217" i="13"/>
  <c r="I217" i="13" s="1"/>
  <c r="H98" i="13"/>
  <c r="I98" i="13" s="1"/>
  <c r="H300" i="13"/>
  <c r="I300" i="13" s="1"/>
  <c r="H290" i="13"/>
  <c r="I290" i="13" s="1"/>
  <c r="H90" i="13"/>
  <c r="I90" i="13" s="1"/>
  <c r="H210" i="13"/>
  <c r="I210" i="13" s="1"/>
  <c r="H31" i="13"/>
  <c r="I31" i="13" s="1"/>
  <c r="H114" i="13"/>
  <c r="I114" i="13" s="1"/>
  <c r="H16" i="13"/>
  <c r="I16" i="13" s="1"/>
  <c r="H269" i="13"/>
  <c r="I269" i="13" s="1"/>
  <c r="H195" i="13"/>
  <c r="I195" i="13" s="1"/>
  <c r="H235" i="13"/>
  <c r="I235" i="13" s="1"/>
  <c r="H243" i="13"/>
  <c r="I243" i="13" s="1"/>
  <c r="H27" i="13"/>
  <c r="I27" i="13" s="1"/>
  <c r="H127" i="13"/>
  <c r="I127" i="13" s="1"/>
  <c r="H123" i="13"/>
  <c r="I123" i="13" s="1"/>
  <c r="H100" i="13"/>
  <c r="I100" i="13" s="1"/>
  <c r="H272" i="13"/>
  <c r="I272" i="13" s="1"/>
  <c r="H216" i="13"/>
  <c r="I216" i="13" s="1"/>
  <c r="H115" i="13"/>
  <c r="I115" i="13" s="1"/>
  <c r="H157" i="13"/>
  <c r="I157" i="13" s="1"/>
  <c r="H142" i="13"/>
  <c r="I142" i="13" s="1"/>
  <c r="H76" i="13"/>
  <c r="I76" i="13" s="1"/>
  <c r="H180" i="13"/>
  <c r="I180" i="13" s="1"/>
  <c r="H259" i="13"/>
  <c r="I259" i="13" s="1"/>
  <c r="H249" i="13"/>
  <c r="I249" i="13" s="1"/>
  <c r="H297" i="13"/>
  <c r="I297" i="13" s="1"/>
  <c r="H240" i="13"/>
  <c r="I240" i="13" s="1"/>
  <c r="H67" i="13"/>
  <c r="I67" i="13" s="1"/>
  <c r="H248" i="13"/>
  <c r="I248" i="13" s="1"/>
  <c r="H263" i="13"/>
  <c r="I263" i="13" s="1"/>
  <c r="H156" i="13"/>
  <c r="I156" i="13" s="1"/>
  <c r="H260" i="13"/>
  <c r="I260" i="13" s="1"/>
  <c r="H23" i="13"/>
  <c r="I23" i="13" s="1"/>
  <c r="H170" i="13"/>
  <c r="I170" i="13" s="1"/>
  <c r="H171" i="13"/>
  <c r="I171" i="13" s="1"/>
  <c r="H118" i="13"/>
  <c r="I118" i="13" s="1"/>
  <c r="H86" i="13"/>
  <c r="I86" i="13" s="1"/>
  <c r="H247" i="13"/>
  <c r="I247" i="13" s="1"/>
  <c r="H32" i="13"/>
  <c r="I32" i="13" s="1"/>
  <c r="H155" i="13"/>
  <c r="I155" i="13" s="1"/>
  <c r="H61" i="13"/>
  <c r="I61" i="13" s="1"/>
  <c r="H198" i="13"/>
  <c r="I198" i="13" s="1"/>
  <c r="H77" i="13"/>
  <c r="I77" i="13" s="1"/>
  <c r="H274" i="13"/>
  <c r="I274" i="13" s="1"/>
  <c r="H35" i="13"/>
  <c r="I35" i="13" s="1"/>
  <c r="J35" i="13" s="1"/>
  <c r="K35" i="13" s="1"/>
  <c r="H21" i="13"/>
  <c r="I21" i="13" s="1"/>
  <c r="H285" i="13"/>
  <c r="I285" i="13" s="1"/>
  <c r="H133" i="13"/>
  <c r="I133" i="13" s="1"/>
  <c r="H11" i="13"/>
  <c r="I11" i="13" s="1"/>
  <c r="H189" i="13"/>
  <c r="I189" i="13" s="1"/>
  <c r="H132" i="13"/>
  <c r="I132" i="13" s="1"/>
  <c r="H55" i="13"/>
  <c r="I55" i="13" s="1"/>
  <c r="H184" i="13"/>
  <c r="I184" i="13" s="1"/>
  <c r="H19" i="13"/>
  <c r="I19" i="13" s="1"/>
  <c r="I167" i="13"/>
  <c r="I301" i="13"/>
  <c r="K306" i="12"/>
  <c r="G6" i="39"/>
  <c r="H6" i="39" s="1"/>
  <c r="J248" i="13" l="1"/>
  <c r="K248" i="13" s="1"/>
  <c r="H254" i="34" s="1"/>
  <c r="I254" i="34" s="1"/>
  <c r="K254" i="34" s="1"/>
  <c r="F247" i="25" s="1"/>
  <c r="J27" i="13"/>
  <c r="K27" i="13" s="1"/>
  <c r="H33" i="34" s="1"/>
  <c r="I33" i="34" s="1"/>
  <c r="K33" i="34" s="1"/>
  <c r="J210" i="13"/>
  <c r="K210" i="13" s="1"/>
  <c r="H216" i="34" s="1"/>
  <c r="I216" i="34" s="1"/>
  <c r="K216" i="34" s="1"/>
  <c r="F209" i="25" s="1"/>
  <c r="J174" i="13"/>
  <c r="K174" i="13" s="1"/>
  <c r="H180" i="34" s="1"/>
  <c r="I180" i="34" s="1"/>
  <c r="K180" i="34" s="1"/>
  <c r="F173" i="25" s="1"/>
  <c r="J283" i="13"/>
  <c r="K283" i="13" s="1"/>
  <c r="H289" i="34" s="1"/>
  <c r="I289" i="34" s="1"/>
  <c r="K289" i="34" s="1"/>
  <c r="F282" i="25" s="1"/>
  <c r="J218" i="13"/>
  <c r="K218" i="13" s="1"/>
  <c r="H224" i="34" s="1"/>
  <c r="I224" i="34" s="1"/>
  <c r="K224" i="34" s="1"/>
  <c r="F217" i="25" s="1"/>
  <c r="J264" i="13"/>
  <c r="K264" i="13" s="1"/>
  <c r="H270" i="34" s="1"/>
  <c r="I270" i="34" s="1"/>
  <c r="K270" i="34" s="1"/>
  <c r="F263" i="25" s="1"/>
  <c r="I263" i="25" s="1"/>
  <c r="J182" i="13"/>
  <c r="K182" i="13" s="1"/>
  <c r="H188" i="34" s="1"/>
  <c r="I188" i="34" s="1"/>
  <c r="K188" i="34" s="1"/>
  <c r="F181" i="25" s="1"/>
  <c r="I181" i="25" s="1"/>
  <c r="J175" i="13"/>
  <c r="K175" i="13" s="1"/>
  <c r="H181" i="34" s="1"/>
  <c r="I181" i="34" s="1"/>
  <c r="K181" i="34" s="1"/>
  <c r="F174" i="25" s="1"/>
  <c r="J176" i="13"/>
  <c r="K176" i="13" s="1"/>
  <c r="H182" i="34" s="1"/>
  <c r="I182" i="34" s="1"/>
  <c r="K182" i="34" s="1"/>
  <c r="F175" i="25" s="1"/>
  <c r="J282" i="13"/>
  <c r="K282" i="13" s="1"/>
  <c r="H288" i="34" s="1"/>
  <c r="I288" i="34" s="1"/>
  <c r="K288" i="34" s="1"/>
  <c r="F281" i="25" s="1"/>
  <c r="J95" i="13"/>
  <c r="K95" i="13" s="1"/>
  <c r="H101" i="34" s="1"/>
  <c r="I101" i="34" s="1"/>
  <c r="K101" i="34" s="1"/>
  <c r="F94" i="25" s="1"/>
  <c r="J48" i="13"/>
  <c r="K48" i="13" s="1"/>
  <c r="H54" i="34" s="1"/>
  <c r="I54" i="34" s="1"/>
  <c r="K54" i="34" s="1"/>
  <c r="F47" i="25" s="1"/>
  <c r="J258" i="13"/>
  <c r="K258" i="13" s="1"/>
  <c r="H264" i="34" s="1"/>
  <c r="I264" i="34" s="1"/>
  <c r="K264" i="34" s="1"/>
  <c r="F257" i="25" s="1"/>
  <c r="J204" i="13"/>
  <c r="K204" i="13" s="1"/>
  <c r="H210" i="34" s="1"/>
  <c r="I210" i="34" s="1"/>
  <c r="K210" i="34" s="1"/>
  <c r="F203" i="25" s="1"/>
  <c r="I203" i="25" s="1"/>
  <c r="J111" i="13"/>
  <c r="K111" i="13" s="1"/>
  <c r="H117" i="34" s="1"/>
  <c r="I117" i="34" s="1"/>
  <c r="K117" i="34" s="1"/>
  <c r="F110" i="25" s="1"/>
  <c r="G111" i="54" s="1"/>
  <c r="J201" i="13"/>
  <c r="K201" i="13" s="1"/>
  <c r="J10" i="13"/>
  <c r="K10" i="13" s="1"/>
  <c r="H16" i="34" s="1"/>
  <c r="I16" i="34" s="1"/>
  <c r="K16" i="34" s="1"/>
  <c r="F9" i="25" s="1"/>
  <c r="G10" i="54" s="1"/>
  <c r="H10" i="54" s="1"/>
  <c r="J84" i="13"/>
  <c r="K84" i="13" s="1"/>
  <c r="H90" i="34" s="1"/>
  <c r="I90" i="34" s="1"/>
  <c r="K90" i="34" s="1"/>
  <c r="F83" i="25" s="1"/>
  <c r="J199" i="13"/>
  <c r="K199" i="13" s="1"/>
  <c r="H205" i="34" s="1"/>
  <c r="I205" i="34" s="1"/>
  <c r="K205" i="34" s="1"/>
  <c r="F198" i="25" s="1"/>
  <c r="J146" i="13"/>
  <c r="K146" i="13" s="1"/>
  <c r="H152" i="34" s="1"/>
  <c r="I152" i="34" s="1"/>
  <c r="K152" i="34" s="1"/>
  <c r="F145" i="25" s="1"/>
  <c r="J62" i="13"/>
  <c r="K62" i="13" s="1"/>
  <c r="H68" i="34" s="1"/>
  <c r="I68" i="34" s="1"/>
  <c r="K68" i="34" s="1"/>
  <c r="F61" i="25" s="1"/>
  <c r="G62" i="54" s="1"/>
  <c r="H62" i="54" s="1"/>
  <c r="J47" i="13"/>
  <c r="K47" i="13" s="1"/>
  <c r="H53" i="34" s="1"/>
  <c r="I53" i="34" s="1"/>
  <c r="K53" i="34" s="1"/>
  <c r="F46" i="25" s="1"/>
  <c r="G47" i="54" s="1"/>
  <c r="H47" i="54" s="1"/>
  <c r="J197" i="13"/>
  <c r="K197" i="13" s="1"/>
  <c r="H203" i="34" s="1"/>
  <c r="I203" i="34" s="1"/>
  <c r="K203" i="34" s="1"/>
  <c r="F196" i="25" s="1"/>
  <c r="I196" i="25" s="1"/>
  <c r="J93" i="13"/>
  <c r="K93" i="13" s="1"/>
  <c r="H99" i="34" s="1"/>
  <c r="I99" i="34" s="1"/>
  <c r="K99" i="34" s="1"/>
  <c r="F92" i="25" s="1"/>
  <c r="J109" i="13"/>
  <c r="K109" i="13" s="1"/>
  <c r="H115" i="34" s="1"/>
  <c r="I115" i="34" s="1"/>
  <c r="K115" i="34" s="1"/>
  <c r="F108" i="25" s="1"/>
  <c r="J105" i="13"/>
  <c r="K105" i="13" s="1"/>
  <c r="H111" i="34" s="1"/>
  <c r="I111" i="34" s="1"/>
  <c r="K111" i="34" s="1"/>
  <c r="F104" i="25" s="1"/>
  <c r="J303" i="13"/>
  <c r="K303" i="13" s="1"/>
  <c r="H309" i="34" s="1"/>
  <c r="I309" i="34" s="1"/>
  <c r="K309" i="34" s="1"/>
  <c r="F302" i="25" s="1"/>
  <c r="J44" i="13"/>
  <c r="K44" i="13" s="1"/>
  <c r="H50" i="34" s="1"/>
  <c r="I50" i="34" s="1"/>
  <c r="K50" i="34" s="1"/>
  <c r="F43" i="25" s="1"/>
  <c r="J40" i="13"/>
  <c r="K40" i="13" s="1"/>
  <c r="H46" i="34" s="1"/>
  <c r="I46" i="34" s="1"/>
  <c r="K46" i="34" s="1"/>
  <c r="F39" i="25" s="1"/>
  <c r="I39" i="25" s="1"/>
  <c r="J39" i="13"/>
  <c r="K39" i="13" s="1"/>
  <c r="H45" i="34" s="1"/>
  <c r="I45" i="34" s="1"/>
  <c r="K45" i="34" s="1"/>
  <c r="F38" i="25" s="1"/>
  <c r="I38" i="25" s="1"/>
  <c r="J63" i="13"/>
  <c r="K63" i="13" s="1"/>
  <c r="H69" i="34" s="1"/>
  <c r="I69" i="34" s="1"/>
  <c r="K69" i="34" s="1"/>
  <c r="F62" i="25" s="1"/>
  <c r="I62" i="25" s="1"/>
  <c r="J179" i="13"/>
  <c r="K179" i="13" s="1"/>
  <c r="H185" i="34" s="1"/>
  <c r="I185" i="34" s="1"/>
  <c r="K185" i="34" s="1"/>
  <c r="F178" i="25" s="1"/>
  <c r="J67" i="13"/>
  <c r="K67" i="13" s="1"/>
  <c r="H73" i="34" s="1"/>
  <c r="I73" i="34" s="1"/>
  <c r="K73" i="34" s="1"/>
  <c r="F66" i="25" s="1"/>
  <c r="J90" i="13"/>
  <c r="K90" i="13" s="1"/>
  <c r="H96" i="34" s="1"/>
  <c r="I96" i="34" s="1"/>
  <c r="K96" i="34" s="1"/>
  <c r="F89" i="25" s="1"/>
  <c r="G90" i="54" s="1"/>
  <c r="H90" i="54" s="1"/>
  <c r="J230" i="13"/>
  <c r="K230" i="13" s="1"/>
  <c r="H236" i="34" s="1"/>
  <c r="I236" i="34" s="1"/>
  <c r="K236" i="34" s="1"/>
  <c r="F229" i="25" s="1"/>
  <c r="J202" i="13"/>
  <c r="K202" i="13" s="1"/>
  <c r="H208" i="34" s="1"/>
  <c r="I208" i="34" s="1"/>
  <c r="K208" i="34" s="1"/>
  <c r="F201" i="25" s="1"/>
  <c r="J144" i="13"/>
  <c r="K144" i="13" s="1"/>
  <c r="H150" i="34" s="1"/>
  <c r="I150" i="34" s="1"/>
  <c r="K150" i="34" s="1"/>
  <c r="F143" i="25" s="1"/>
  <c r="J188" i="13"/>
  <c r="K188" i="13" s="1"/>
  <c r="H194" i="34" s="1"/>
  <c r="I194" i="34" s="1"/>
  <c r="K194" i="34" s="1"/>
  <c r="F187" i="25" s="1"/>
  <c r="G188" i="54" s="1"/>
  <c r="H188" i="54" s="1"/>
  <c r="J154" i="13"/>
  <c r="K154" i="13" s="1"/>
  <c r="H160" i="34" s="1"/>
  <c r="I160" i="34" s="1"/>
  <c r="K160" i="34" s="1"/>
  <c r="F153" i="25" s="1"/>
  <c r="I153" i="25" s="1"/>
  <c r="J203" i="13"/>
  <c r="K203" i="13" s="1"/>
  <c r="H209" i="34" s="1"/>
  <c r="I209" i="34" s="1"/>
  <c r="K209" i="34" s="1"/>
  <c r="F202" i="25" s="1"/>
  <c r="J302" i="13"/>
  <c r="K302" i="13" s="1"/>
  <c r="H308" i="34" s="1"/>
  <c r="I308" i="34" s="1"/>
  <c r="K308" i="34" s="1"/>
  <c r="F301" i="25" s="1"/>
  <c r="G302" i="54" s="1"/>
  <c r="H302" i="54" s="1"/>
  <c r="J254" i="13"/>
  <c r="K254" i="13" s="1"/>
  <c r="H260" i="34" s="1"/>
  <c r="I260" i="34" s="1"/>
  <c r="K260" i="34" s="1"/>
  <c r="F253" i="25" s="1"/>
  <c r="J52" i="13"/>
  <c r="K52" i="13" s="1"/>
  <c r="H58" i="34" s="1"/>
  <c r="I58" i="34" s="1"/>
  <c r="K58" i="34" s="1"/>
  <c r="F51" i="25" s="1"/>
  <c r="J163" i="13"/>
  <c r="K163" i="13" s="1"/>
  <c r="H169" i="34" s="1"/>
  <c r="I169" i="34" s="1"/>
  <c r="K169" i="34" s="1"/>
  <c r="F162" i="25" s="1"/>
  <c r="J43" i="13"/>
  <c r="K43" i="13" s="1"/>
  <c r="H49" i="34" s="1"/>
  <c r="I49" i="34" s="1"/>
  <c r="K49" i="34" s="1"/>
  <c r="F42" i="25" s="1"/>
  <c r="J273" i="13"/>
  <c r="K273" i="13" s="1"/>
  <c r="H279" i="34" s="1"/>
  <c r="I279" i="34" s="1"/>
  <c r="K279" i="34" s="1"/>
  <c r="F272" i="25" s="1"/>
  <c r="I272" i="25" s="1"/>
  <c r="J60" i="13"/>
  <c r="K60" i="13" s="1"/>
  <c r="H66" i="34" s="1"/>
  <c r="I66" i="34" s="1"/>
  <c r="K66" i="34" s="1"/>
  <c r="F59" i="25" s="1"/>
  <c r="I59" i="25" s="1"/>
  <c r="J94" i="13"/>
  <c r="K94" i="13" s="1"/>
  <c r="H100" i="34" s="1"/>
  <c r="I100" i="34" s="1"/>
  <c r="K100" i="34" s="1"/>
  <c r="F93" i="25" s="1"/>
  <c r="J192" i="13"/>
  <c r="K192" i="13" s="1"/>
  <c r="H198" i="34" s="1"/>
  <c r="I198" i="34" s="1"/>
  <c r="K198" i="34" s="1"/>
  <c r="F191" i="25" s="1"/>
  <c r="J244" i="13"/>
  <c r="K244" i="13" s="1"/>
  <c r="H250" i="34" s="1"/>
  <c r="I250" i="34" s="1"/>
  <c r="K250" i="34" s="1"/>
  <c r="F243" i="25" s="1"/>
  <c r="J227" i="13"/>
  <c r="K227" i="13" s="1"/>
  <c r="H233" i="34" s="1"/>
  <c r="I233" i="34" s="1"/>
  <c r="K233" i="34" s="1"/>
  <c r="F226" i="25" s="1"/>
  <c r="J110" i="13"/>
  <c r="K110" i="13" s="1"/>
  <c r="H116" i="34" s="1"/>
  <c r="I116" i="34" s="1"/>
  <c r="K116" i="34" s="1"/>
  <c r="F109" i="25" s="1"/>
  <c r="J222" i="13"/>
  <c r="K222" i="13" s="1"/>
  <c r="H228" i="34" s="1"/>
  <c r="I228" i="34" s="1"/>
  <c r="K228" i="34" s="1"/>
  <c r="F221" i="25" s="1"/>
  <c r="J74" i="13"/>
  <c r="K74" i="13" s="1"/>
  <c r="H80" i="34" s="1"/>
  <c r="I80" i="34" s="1"/>
  <c r="K80" i="34" s="1"/>
  <c r="F73" i="25" s="1"/>
  <c r="G74" i="54" s="1"/>
  <c r="H74" i="54" s="1"/>
  <c r="J268" i="13"/>
  <c r="K268" i="13" s="1"/>
  <c r="H274" i="34" s="1"/>
  <c r="I274" i="34" s="1"/>
  <c r="K274" i="34" s="1"/>
  <c r="F267" i="25" s="1"/>
  <c r="I267" i="25" s="1"/>
  <c r="J102" i="13"/>
  <c r="K102" i="13" s="1"/>
  <c r="H108" i="34" s="1"/>
  <c r="I108" i="34" s="1"/>
  <c r="K108" i="34" s="1"/>
  <c r="F101" i="25" s="1"/>
  <c r="J97" i="13"/>
  <c r="K97" i="13" s="1"/>
  <c r="H103" i="34" s="1"/>
  <c r="I103" i="34" s="1"/>
  <c r="K103" i="34" s="1"/>
  <c r="F96" i="25" s="1"/>
  <c r="J72" i="13"/>
  <c r="K72" i="13" s="1"/>
  <c r="H78" i="34" s="1"/>
  <c r="I78" i="34" s="1"/>
  <c r="K78" i="34" s="1"/>
  <c r="F71" i="25" s="1"/>
  <c r="J196" i="13"/>
  <c r="K196" i="13" s="1"/>
  <c r="H202" i="34" s="1"/>
  <c r="I202" i="34" s="1"/>
  <c r="K202" i="34" s="1"/>
  <c r="F195" i="25" s="1"/>
  <c r="J20" i="13"/>
  <c r="K20" i="13" s="1"/>
  <c r="H26" i="34" s="1"/>
  <c r="I26" i="34" s="1"/>
  <c r="K26" i="34" s="1"/>
  <c r="F19" i="25" s="1"/>
  <c r="J73" i="13"/>
  <c r="K73" i="13" s="1"/>
  <c r="H79" i="34" s="1"/>
  <c r="I79" i="34" s="1"/>
  <c r="K79" i="34" s="1"/>
  <c r="F72" i="25" s="1"/>
  <c r="J70" i="13"/>
  <c r="K70" i="13" s="1"/>
  <c r="H76" i="34" s="1"/>
  <c r="I76" i="34" s="1"/>
  <c r="K76" i="34" s="1"/>
  <c r="F69" i="25" s="1"/>
  <c r="I69" i="25" s="1"/>
  <c r="J71" i="13"/>
  <c r="K71" i="13" s="1"/>
  <c r="H77" i="34" s="1"/>
  <c r="I77" i="34" s="1"/>
  <c r="K77" i="34" s="1"/>
  <c r="F70" i="25" s="1"/>
  <c r="I70" i="25" s="1"/>
  <c r="J153" i="13"/>
  <c r="K153" i="13" s="1"/>
  <c r="H159" i="34" s="1"/>
  <c r="I159" i="34" s="1"/>
  <c r="K159" i="34" s="1"/>
  <c r="F152" i="25" s="1"/>
  <c r="J274" i="13"/>
  <c r="K274" i="13" s="1"/>
  <c r="H280" i="34" s="1"/>
  <c r="I280" i="34" s="1"/>
  <c r="K280" i="34" s="1"/>
  <c r="F273" i="25" s="1"/>
  <c r="J171" i="13"/>
  <c r="K171" i="13" s="1"/>
  <c r="H177" i="34" s="1"/>
  <c r="I177" i="34" s="1"/>
  <c r="K177" i="34" s="1"/>
  <c r="F170" i="25" s="1"/>
  <c r="J235" i="13"/>
  <c r="K235" i="13" s="1"/>
  <c r="H241" i="34" s="1"/>
  <c r="I241" i="34" s="1"/>
  <c r="K241" i="34" s="1"/>
  <c r="F234" i="25" s="1"/>
  <c r="I234" i="25" s="1"/>
  <c r="J290" i="13"/>
  <c r="K290" i="13" s="1"/>
  <c r="H296" i="34" s="1"/>
  <c r="I296" i="34" s="1"/>
  <c r="K296" i="34" s="1"/>
  <c r="F289" i="25" s="1"/>
  <c r="J125" i="13"/>
  <c r="K125" i="13" s="1"/>
  <c r="H131" i="34" s="1"/>
  <c r="I131" i="34" s="1"/>
  <c r="K131" i="34" s="1"/>
  <c r="F124" i="25" s="1"/>
  <c r="J45" i="13"/>
  <c r="K45" i="13" s="1"/>
  <c r="H51" i="34" s="1"/>
  <c r="I51" i="34" s="1"/>
  <c r="K51" i="34" s="1"/>
  <c r="F44" i="25" s="1"/>
  <c r="G45" i="54" s="1"/>
  <c r="H45" i="54" s="1"/>
  <c r="J200" i="13"/>
  <c r="K200" i="13" s="1"/>
  <c r="H206" i="34" s="1"/>
  <c r="I206" i="34" s="1"/>
  <c r="K206" i="34" s="1"/>
  <c r="F199" i="25" s="1"/>
  <c r="I199" i="25" s="1"/>
  <c r="J75" i="13"/>
  <c r="K75" i="13" s="1"/>
  <c r="H81" i="34" s="1"/>
  <c r="I81" i="34" s="1"/>
  <c r="K81" i="34" s="1"/>
  <c r="F74" i="25" s="1"/>
  <c r="J51" i="13"/>
  <c r="K51" i="13" s="1"/>
  <c r="H57" i="34" s="1"/>
  <c r="I57" i="34" s="1"/>
  <c r="K57" i="34" s="1"/>
  <c r="F50" i="25" s="1"/>
  <c r="J78" i="13"/>
  <c r="K78" i="13" s="1"/>
  <c r="H84" i="34" s="1"/>
  <c r="I84" i="34" s="1"/>
  <c r="K84" i="34" s="1"/>
  <c r="F77" i="25" s="1"/>
  <c r="G78" i="54" s="1"/>
  <c r="H78" i="54" s="1"/>
  <c r="J134" i="13"/>
  <c r="K134" i="13" s="1"/>
  <c r="H140" i="34" s="1"/>
  <c r="I140" i="34" s="1"/>
  <c r="K140" i="34" s="1"/>
  <c r="F133" i="25" s="1"/>
  <c r="G134" i="54" s="1"/>
  <c r="H134" i="54" s="1"/>
  <c r="J8" i="13"/>
  <c r="K8" i="13" s="1"/>
  <c r="H14" i="34" s="1"/>
  <c r="I14" i="34" s="1"/>
  <c r="K14" i="34" s="1"/>
  <c r="F7" i="25" s="1"/>
  <c r="J150" i="13"/>
  <c r="K150" i="13" s="1"/>
  <c r="H156" i="34" s="1"/>
  <c r="I156" i="34" s="1"/>
  <c r="K156" i="34" s="1"/>
  <c r="F149" i="25" s="1"/>
  <c r="J85" i="13"/>
  <c r="K85" i="13" s="1"/>
  <c r="H91" i="34" s="1"/>
  <c r="I91" i="34" s="1"/>
  <c r="K91" i="34" s="1"/>
  <c r="F84" i="25" s="1"/>
  <c r="G85" i="54" s="1"/>
  <c r="H85" i="54" s="1"/>
  <c r="J106" i="13"/>
  <c r="K106" i="13" s="1"/>
  <c r="H112" i="34" s="1"/>
  <c r="I112" i="34" s="1"/>
  <c r="K112" i="34" s="1"/>
  <c r="F105" i="25" s="1"/>
  <c r="I105" i="25" s="1"/>
  <c r="J104" i="13"/>
  <c r="K104" i="13" s="1"/>
  <c r="H110" i="34" s="1"/>
  <c r="I110" i="34" s="1"/>
  <c r="K110" i="34" s="1"/>
  <c r="F103" i="25" s="1"/>
  <c r="J257" i="13"/>
  <c r="K257" i="13" s="1"/>
  <c r="H263" i="34" s="1"/>
  <c r="I263" i="34" s="1"/>
  <c r="K263" i="34" s="1"/>
  <c r="F256" i="25" s="1"/>
  <c r="J287" i="13"/>
  <c r="K287" i="13" s="1"/>
  <c r="H293" i="34" s="1"/>
  <c r="I293" i="34" s="1"/>
  <c r="K293" i="34" s="1"/>
  <c r="F286" i="25" s="1"/>
  <c r="G287" i="54" s="1"/>
  <c r="H287" i="54" s="1"/>
  <c r="J148" i="13"/>
  <c r="K148" i="13" s="1"/>
  <c r="H154" i="34" s="1"/>
  <c r="I154" i="34" s="1"/>
  <c r="K154" i="34" s="1"/>
  <c r="F147" i="25" s="1"/>
  <c r="J58" i="13"/>
  <c r="K58" i="13" s="1"/>
  <c r="H64" i="34" s="1"/>
  <c r="I64" i="34" s="1"/>
  <c r="K64" i="34" s="1"/>
  <c r="F57" i="25" s="1"/>
  <c r="J181" i="13"/>
  <c r="K181" i="13" s="1"/>
  <c r="H187" i="34" s="1"/>
  <c r="I187" i="34" s="1"/>
  <c r="K187" i="34" s="1"/>
  <c r="F180" i="25" s="1"/>
  <c r="J124" i="13"/>
  <c r="K124" i="13" s="1"/>
  <c r="H130" i="34" s="1"/>
  <c r="I130" i="34" s="1"/>
  <c r="K130" i="34" s="1"/>
  <c r="F123" i="25" s="1"/>
  <c r="G124" i="54" s="1"/>
  <c r="H124" i="54" s="1"/>
  <c r="J183" i="13"/>
  <c r="K183" i="13" s="1"/>
  <c r="H189" i="34" s="1"/>
  <c r="I189" i="34" s="1"/>
  <c r="K189" i="34" s="1"/>
  <c r="F182" i="25" s="1"/>
  <c r="I182" i="25" s="1"/>
  <c r="J122" i="13"/>
  <c r="K122" i="13" s="1"/>
  <c r="H128" i="34" s="1"/>
  <c r="I128" i="34" s="1"/>
  <c r="K128" i="34" s="1"/>
  <c r="F121" i="25" s="1"/>
  <c r="J131" i="13"/>
  <c r="K131" i="13" s="1"/>
  <c r="H137" i="34" s="1"/>
  <c r="I137" i="34" s="1"/>
  <c r="K137" i="34" s="1"/>
  <c r="F130" i="25" s="1"/>
  <c r="J101" i="13"/>
  <c r="K101" i="13" s="1"/>
  <c r="H107" i="34" s="1"/>
  <c r="I107" i="34" s="1"/>
  <c r="K107" i="34" s="1"/>
  <c r="F100" i="25" s="1"/>
  <c r="I100" i="25" s="1"/>
  <c r="J305" i="13"/>
  <c r="K305" i="13" s="1"/>
  <c r="H311" i="34" s="1"/>
  <c r="I311" i="34" s="1"/>
  <c r="K311" i="34" s="1"/>
  <c r="F304" i="25" s="1"/>
  <c r="J251" i="13"/>
  <c r="K251" i="13" s="1"/>
  <c r="H257" i="34" s="1"/>
  <c r="I257" i="34" s="1"/>
  <c r="K257" i="34" s="1"/>
  <c r="F250" i="25" s="1"/>
  <c r="J177" i="13"/>
  <c r="K177" i="13" s="1"/>
  <c r="H183" i="34" s="1"/>
  <c r="I183" i="34" s="1"/>
  <c r="K183" i="34" s="1"/>
  <c r="F176" i="25" s="1"/>
  <c r="G177" i="54" s="1"/>
  <c r="H177" i="54" s="1"/>
  <c r="J256" i="13"/>
  <c r="K256" i="13" s="1"/>
  <c r="H262" i="34" s="1"/>
  <c r="I262" i="34" s="1"/>
  <c r="K262" i="34" s="1"/>
  <c r="F255" i="25" s="1"/>
  <c r="I255" i="25" s="1"/>
  <c r="J159" i="13"/>
  <c r="K159" i="13" s="1"/>
  <c r="H165" i="34" s="1"/>
  <c r="I165" i="34" s="1"/>
  <c r="K165" i="34" s="1"/>
  <c r="F158" i="25" s="1"/>
  <c r="I158" i="25" s="1"/>
  <c r="J286" i="13"/>
  <c r="K286" i="13" s="1"/>
  <c r="H292" i="34" s="1"/>
  <c r="I292" i="34" s="1"/>
  <c r="K292" i="34" s="1"/>
  <c r="F285" i="25" s="1"/>
  <c r="J206" i="13"/>
  <c r="K206" i="13" s="1"/>
  <c r="H212" i="34" s="1"/>
  <c r="I212" i="34" s="1"/>
  <c r="K212" i="34" s="1"/>
  <c r="F205" i="25" s="1"/>
  <c r="G206" i="54" s="1"/>
  <c r="H206" i="54" s="1"/>
  <c r="J69" i="13"/>
  <c r="K69" i="13" s="1"/>
  <c r="H75" i="34" s="1"/>
  <c r="I75" i="34" s="1"/>
  <c r="K75" i="34" s="1"/>
  <c r="F68" i="25" s="1"/>
  <c r="I68" i="25" s="1"/>
  <c r="J184" i="13"/>
  <c r="K184" i="13" s="1"/>
  <c r="H190" i="34" s="1"/>
  <c r="I190" i="34" s="1"/>
  <c r="K190" i="34" s="1"/>
  <c r="F183" i="25" s="1"/>
  <c r="J55" i="13"/>
  <c r="K55" i="13" s="1"/>
  <c r="H61" i="34" s="1"/>
  <c r="I61" i="34" s="1"/>
  <c r="K61" i="34" s="1"/>
  <c r="F54" i="25" s="1"/>
  <c r="J132" i="13"/>
  <c r="K132" i="13" s="1"/>
  <c r="H138" i="34" s="1"/>
  <c r="I138" i="34" s="1"/>
  <c r="K138" i="34" s="1"/>
  <c r="F131" i="25" s="1"/>
  <c r="J115" i="13"/>
  <c r="K115" i="13" s="1"/>
  <c r="H121" i="34" s="1"/>
  <c r="I121" i="34" s="1"/>
  <c r="K121" i="34" s="1"/>
  <c r="F114" i="25" s="1"/>
  <c r="I114" i="25" s="1"/>
  <c r="J170" i="13"/>
  <c r="K170" i="13" s="1"/>
  <c r="H176" i="34" s="1"/>
  <c r="I176" i="34" s="1"/>
  <c r="K176" i="34" s="1"/>
  <c r="F169" i="25" s="1"/>
  <c r="I169" i="25" s="1"/>
  <c r="J195" i="13"/>
  <c r="K195" i="13" s="1"/>
  <c r="H201" i="34" s="1"/>
  <c r="I201" i="34" s="1"/>
  <c r="K201" i="34" s="1"/>
  <c r="F194" i="25" s="1"/>
  <c r="J300" i="13"/>
  <c r="K300" i="13" s="1"/>
  <c r="H306" i="34" s="1"/>
  <c r="I306" i="34" s="1"/>
  <c r="K306" i="34" s="1"/>
  <c r="F299" i="25" s="1"/>
  <c r="I299" i="25" s="1"/>
  <c r="J288" i="13"/>
  <c r="K288" i="13" s="1"/>
  <c r="H294" i="34" s="1"/>
  <c r="I294" i="34" s="1"/>
  <c r="K294" i="34" s="1"/>
  <c r="F287" i="25" s="1"/>
  <c r="I287" i="25" s="1"/>
  <c r="J207" i="13"/>
  <c r="K207" i="13" s="1"/>
  <c r="H213" i="34" s="1"/>
  <c r="I213" i="34" s="1"/>
  <c r="K213" i="34" s="1"/>
  <c r="F206" i="25" s="1"/>
  <c r="J228" i="13"/>
  <c r="K228" i="13" s="1"/>
  <c r="H234" i="34" s="1"/>
  <c r="I234" i="34" s="1"/>
  <c r="K234" i="34" s="1"/>
  <c r="F227" i="25" s="1"/>
  <c r="I227" i="25" s="1"/>
  <c r="J80" i="13"/>
  <c r="K80" i="13" s="1"/>
  <c r="H86" i="34" s="1"/>
  <c r="I86" i="34" s="1"/>
  <c r="K86" i="34" s="1"/>
  <c r="F79" i="25" s="1"/>
  <c r="I79" i="25" s="1"/>
  <c r="J152" i="13"/>
  <c r="K152" i="13" s="1"/>
  <c r="H158" i="34" s="1"/>
  <c r="I158" i="34" s="1"/>
  <c r="K158" i="34" s="1"/>
  <c r="F151" i="25" s="1"/>
  <c r="I151" i="25" s="1"/>
  <c r="J172" i="13"/>
  <c r="K172" i="13" s="1"/>
  <c r="H178" i="34" s="1"/>
  <c r="I178" i="34" s="1"/>
  <c r="K178" i="34" s="1"/>
  <c r="F171" i="25" s="1"/>
  <c r="I171" i="25" s="1"/>
  <c r="J138" i="13"/>
  <c r="K138" i="13" s="1"/>
  <c r="H144" i="34" s="1"/>
  <c r="I144" i="34" s="1"/>
  <c r="K144" i="34" s="1"/>
  <c r="F137" i="25" s="1"/>
  <c r="J68" i="13"/>
  <c r="K68" i="13" s="1"/>
  <c r="H74" i="34" s="1"/>
  <c r="I74" i="34" s="1"/>
  <c r="K74" i="34" s="1"/>
  <c r="F67" i="25" s="1"/>
  <c r="J295" i="13"/>
  <c r="K295" i="13" s="1"/>
  <c r="H301" i="34" s="1"/>
  <c r="I301" i="34" s="1"/>
  <c r="K301" i="34" s="1"/>
  <c r="F294" i="25" s="1"/>
  <c r="J13" i="13"/>
  <c r="K13" i="13" s="1"/>
  <c r="H19" i="34" s="1"/>
  <c r="I19" i="34" s="1"/>
  <c r="K19" i="34" s="1"/>
  <c r="F12" i="25" s="1"/>
  <c r="J234" i="13"/>
  <c r="K234" i="13" s="1"/>
  <c r="H240" i="34" s="1"/>
  <c r="I240" i="34" s="1"/>
  <c r="K240" i="34" s="1"/>
  <c r="F233" i="25" s="1"/>
  <c r="J280" i="13"/>
  <c r="K280" i="13" s="1"/>
  <c r="H286" i="34" s="1"/>
  <c r="I286" i="34" s="1"/>
  <c r="K286" i="34" s="1"/>
  <c r="F279" i="25" s="1"/>
  <c r="G280" i="54" s="1"/>
  <c r="H280" i="54" s="1"/>
  <c r="J12" i="13"/>
  <c r="K12" i="13" s="1"/>
  <c r="H18" i="34" s="1"/>
  <c r="I18" i="34" s="1"/>
  <c r="K18" i="34" s="1"/>
  <c r="F11" i="25" s="1"/>
  <c r="I11" i="25" s="1"/>
  <c r="J50" i="13"/>
  <c r="K50" i="13" s="1"/>
  <c r="H56" i="34" s="1"/>
  <c r="I56" i="34" s="1"/>
  <c r="K56" i="34" s="1"/>
  <c r="F49" i="25" s="1"/>
  <c r="I49" i="25" s="1"/>
  <c r="J236" i="13"/>
  <c r="K236" i="13" s="1"/>
  <c r="H242" i="34" s="1"/>
  <c r="I242" i="34" s="1"/>
  <c r="K242" i="34" s="1"/>
  <c r="F235" i="25" s="1"/>
  <c r="J116" i="13"/>
  <c r="K116" i="13" s="1"/>
  <c r="H122" i="34" s="1"/>
  <c r="I122" i="34" s="1"/>
  <c r="K122" i="34" s="1"/>
  <c r="F115" i="25" s="1"/>
  <c r="J185" i="13"/>
  <c r="K185" i="13" s="1"/>
  <c r="H191" i="34" s="1"/>
  <c r="I191" i="34" s="1"/>
  <c r="K191" i="34" s="1"/>
  <c r="F184" i="25" s="1"/>
  <c r="J293" i="13"/>
  <c r="K293" i="13" s="1"/>
  <c r="H299" i="34" s="1"/>
  <c r="I299" i="34" s="1"/>
  <c r="K299" i="34" s="1"/>
  <c r="F292" i="25" s="1"/>
  <c r="I292" i="25" s="1"/>
  <c r="J147" i="13"/>
  <c r="K147" i="13" s="1"/>
  <c r="H153" i="34" s="1"/>
  <c r="I153" i="34" s="1"/>
  <c r="K153" i="34" s="1"/>
  <c r="F146" i="25" s="1"/>
  <c r="J30" i="13"/>
  <c r="K30" i="13" s="1"/>
  <c r="H36" i="34" s="1"/>
  <c r="I36" i="34" s="1"/>
  <c r="K36" i="34" s="1"/>
  <c r="F29" i="25" s="1"/>
  <c r="I29" i="25" s="1"/>
  <c r="J17" i="13"/>
  <c r="K17" i="13" s="1"/>
  <c r="H23" i="34" s="1"/>
  <c r="I23" i="34" s="1"/>
  <c r="K23" i="34" s="1"/>
  <c r="F16" i="25" s="1"/>
  <c r="I16" i="25" s="1"/>
  <c r="J81" i="13"/>
  <c r="K81" i="13" s="1"/>
  <c r="H87" i="34" s="1"/>
  <c r="I87" i="34" s="1"/>
  <c r="K87" i="34" s="1"/>
  <c r="F80" i="25" s="1"/>
  <c r="I80" i="25" s="1"/>
  <c r="J194" i="13"/>
  <c r="K194" i="13" s="1"/>
  <c r="H200" i="34" s="1"/>
  <c r="I200" i="34" s="1"/>
  <c r="K200" i="34" s="1"/>
  <c r="F193" i="25" s="1"/>
  <c r="J59" i="13"/>
  <c r="K59" i="13" s="1"/>
  <c r="H65" i="34" s="1"/>
  <c r="I65" i="34" s="1"/>
  <c r="K65" i="34" s="1"/>
  <c r="F58" i="25" s="1"/>
  <c r="J275" i="13"/>
  <c r="K275" i="13" s="1"/>
  <c r="H281" i="34" s="1"/>
  <c r="I281" i="34" s="1"/>
  <c r="K281" i="34" s="1"/>
  <c r="F274" i="25" s="1"/>
  <c r="J9" i="13"/>
  <c r="K9" i="13" s="1"/>
  <c r="H15" i="34" s="1"/>
  <c r="I15" i="34" s="1"/>
  <c r="K15" i="34" s="1"/>
  <c r="F8" i="25" s="1"/>
  <c r="I8" i="25" s="1"/>
  <c r="J262" i="13"/>
  <c r="K262" i="13" s="1"/>
  <c r="H268" i="34" s="1"/>
  <c r="I268" i="34" s="1"/>
  <c r="K268" i="34" s="1"/>
  <c r="F261" i="25" s="1"/>
  <c r="J246" i="13"/>
  <c r="K246" i="13" s="1"/>
  <c r="H252" i="34" s="1"/>
  <c r="I252" i="34" s="1"/>
  <c r="K252" i="34" s="1"/>
  <c r="F245" i="25" s="1"/>
  <c r="I245" i="25" s="1"/>
  <c r="J178" i="13"/>
  <c r="K178" i="13" s="1"/>
  <c r="H184" i="34" s="1"/>
  <c r="I184" i="34" s="1"/>
  <c r="K184" i="34" s="1"/>
  <c r="F177" i="25" s="1"/>
  <c r="I177" i="25" s="1"/>
  <c r="J281" i="13"/>
  <c r="K281" i="13" s="1"/>
  <c r="H287" i="34" s="1"/>
  <c r="I287" i="34" s="1"/>
  <c r="K287" i="34" s="1"/>
  <c r="F280" i="25" s="1"/>
  <c r="I280" i="25" s="1"/>
  <c r="J23" i="13"/>
  <c r="K23" i="13" s="1"/>
  <c r="H29" i="34" s="1"/>
  <c r="I29" i="34" s="1"/>
  <c r="K29" i="34" s="1"/>
  <c r="F22" i="25" s="1"/>
  <c r="J249" i="13"/>
  <c r="K249" i="13" s="1"/>
  <c r="H255" i="34" s="1"/>
  <c r="I255" i="34" s="1"/>
  <c r="K255" i="34" s="1"/>
  <c r="F248" i="25" s="1"/>
  <c r="J272" i="13"/>
  <c r="K272" i="13" s="1"/>
  <c r="H278" i="34" s="1"/>
  <c r="I278" i="34" s="1"/>
  <c r="K278" i="34" s="1"/>
  <c r="F271" i="25" s="1"/>
  <c r="J269" i="13"/>
  <c r="K269" i="13" s="1"/>
  <c r="H275" i="34" s="1"/>
  <c r="I275" i="34" s="1"/>
  <c r="K275" i="34" s="1"/>
  <c r="F268" i="25" s="1"/>
  <c r="I268" i="25" s="1"/>
  <c r="J98" i="13"/>
  <c r="K98" i="13" s="1"/>
  <c r="H104" i="34" s="1"/>
  <c r="I104" i="34" s="1"/>
  <c r="K104" i="34" s="1"/>
  <c r="F97" i="25" s="1"/>
  <c r="I97" i="25" s="1"/>
  <c r="J103" i="13"/>
  <c r="K103" i="13" s="1"/>
  <c r="H109" i="34" s="1"/>
  <c r="I109" i="34" s="1"/>
  <c r="K109" i="34" s="1"/>
  <c r="F102" i="25" s="1"/>
  <c r="G103" i="54" s="1"/>
  <c r="H103" i="54" s="1"/>
  <c r="J261" i="13"/>
  <c r="K261" i="13" s="1"/>
  <c r="H267" i="34" s="1"/>
  <c r="I267" i="34" s="1"/>
  <c r="K267" i="34" s="1"/>
  <c r="F260" i="25" s="1"/>
  <c r="I260" i="25" s="1"/>
  <c r="J296" i="13"/>
  <c r="K296" i="13" s="1"/>
  <c r="H302" i="34" s="1"/>
  <c r="I302" i="34" s="1"/>
  <c r="K302" i="34" s="1"/>
  <c r="F295" i="25" s="1"/>
  <c r="I295" i="25" s="1"/>
  <c r="J117" i="13"/>
  <c r="K117" i="13" s="1"/>
  <c r="H123" i="34" s="1"/>
  <c r="I123" i="34" s="1"/>
  <c r="K123" i="34" s="1"/>
  <c r="F116" i="25" s="1"/>
  <c r="J169" i="13"/>
  <c r="K169" i="13" s="1"/>
  <c r="H175" i="34" s="1"/>
  <c r="I175" i="34" s="1"/>
  <c r="K175" i="34" s="1"/>
  <c r="F168" i="25" s="1"/>
  <c r="J18" i="13"/>
  <c r="K18" i="13" s="1"/>
  <c r="H24" i="34" s="1"/>
  <c r="I24" i="34" s="1"/>
  <c r="K24" i="34" s="1"/>
  <c r="F17" i="25" s="1"/>
  <c r="G18" i="54" s="1"/>
  <c r="H18" i="54" s="1"/>
  <c r="J277" i="13"/>
  <c r="K277" i="13" s="1"/>
  <c r="H283" i="34" s="1"/>
  <c r="I283" i="34" s="1"/>
  <c r="K283" i="34" s="1"/>
  <c r="F276" i="25" s="1"/>
  <c r="I276" i="25" s="1"/>
  <c r="J213" i="13"/>
  <c r="K213" i="13" s="1"/>
  <c r="H219" i="34" s="1"/>
  <c r="I219" i="34" s="1"/>
  <c r="K219" i="34" s="1"/>
  <c r="F212" i="25" s="1"/>
  <c r="J128" i="13"/>
  <c r="K128" i="13" s="1"/>
  <c r="H134" i="34" s="1"/>
  <c r="I134" i="34" s="1"/>
  <c r="K134" i="34" s="1"/>
  <c r="F127" i="25" s="1"/>
  <c r="I127" i="25" s="1"/>
  <c r="J161" i="13"/>
  <c r="K161" i="13" s="1"/>
  <c r="H167" i="34" s="1"/>
  <c r="I167" i="34" s="1"/>
  <c r="K167" i="34" s="1"/>
  <c r="F160" i="25" s="1"/>
  <c r="I160" i="25" s="1"/>
  <c r="J54" i="13"/>
  <c r="K54" i="13" s="1"/>
  <c r="H60" i="34" s="1"/>
  <c r="I60" i="34" s="1"/>
  <c r="K60" i="34" s="1"/>
  <c r="F53" i="25" s="1"/>
  <c r="I53" i="25" s="1"/>
  <c r="J65" i="13"/>
  <c r="K65" i="13" s="1"/>
  <c r="H71" i="34" s="1"/>
  <c r="I71" i="34" s="1"/>
  <c r="K71" i="34" s="1"/>
  <c r="F64" i="25" s="1"/>
  <c r="J15" i="13"/>
  <c r="K15" i="13" s="1"/>
  <c r="H21" i="34" s="1"/>
  <c r="I21" i="34" s="1"/>
  <c r="K21" i="34" s="1"/>
  <c r="F14" i="25" s="1"/>
  <c r="G15" i="54" s="1"/>
  <c r="H15" i="54" s="1"/>
  <c r="J241" i="13"/>
  <c r="K241" i="13" s="1"/>
  <c r="H247" i="34" s="1"/>
  <c r="I247" i="34" s="1"/>
  <c r="K247" i="34" s="1"/>
  <c r="F240" i="25" s="1"/>
  <c r="I240" i="25" s="1"/>
  <c r="J64" i="13"/>
  <c r="K64" i="13" s="1"/>
  <c r="H70" i="34" s="1"/>
  <c r="I70" i="34" s="1"/>
  <c r="K70" i="34" s="1"/>
  <c r="F63" i="25" s="1"/>
  <c r="G64" i="54" s="1"/>
  <c r="H64" i="54" s="1"/>
  <c r="J135" i="13"/>
  <c r="K135" i="13" s="1"/>
  <c r="H141" i="34" s="1"/>
  <c r="I141" i="34" s="1"/>
  <c r="K141" i="34" s="1"/>
  <c r="F134" i="25" s="1"/>
  <c r="J108" i="13"/>
  <c r="K108" i="13" s="1"/>
  <c r="H114" i="34" s="1"/>
  <c r="I114" i="34" s="1"/>
  <c r="K114" i="34" s="1"/>
  <c r="F107" i="25" s="1"/>
  <c r="J278" i="13"/>
  <c r="K278" i="13" s="1"/>
  <c r="H284" i="34" s="1"/>
  <c r="I284" i="34" s="1"/>
  <c r="K284" i="34" s="1"/>
  <c r="F277" i="25" s="1"/>
  <c r="G278" i="54" s="1"/>
  <c r="H278" i="54" s="1"/>
  <c r="J242" i="13"/>
  <c r="K242" i="13" s="1"/>
  <c r="H248" i="34" s="1"/>
  <c r="I248" i="34" s="1"/>
  <c r="K248" i="34" s="1"/>
  <c r="F241" i="25" s="1"/>
  <c r="I241" i="25" s="1"/>
  <c r="J267" i="13"/>
  <c r="K267" i="13" s="1"/>
  <c r="H273" i="34" s="1"/>
  <c r="I273" i="34" s="1"/>
  <c r="K273" i="34" s="1"/>
  <c r="F266" i="25" s="1"/>
  <c r="J57" i="13"/>
  <c r="K57" i="13" s="1"/>
  <c r="H63" i="34" s="1"/>
  <c r="I63" i="34" s="1"/>
  <c r="K63" i="34" s="1"/>
  <c r="F56" i="25" s="1"/>
  <c r="J37" i="13"/>
  <c r="K37" i="13" s="1"/>
  <c r="H43" i="34" s="1"/>
  <c r="I43" i="34" s="1"/>
  <c r="K43" i="34" s="1"/>
  <c r="F36" i="25" s="1"/>
  <c r="G37" i="54" s="1"/>
  <c r="H37" i="54" s="1"/>
  <c r="J214" i="13"/>
  <c r="K214" i="13" s="1"/>
  <c r="H220" i="34" s="1"/>
  <c r="I220" i="34" s="1"/>
  <c r="K220" i="34" s="1"/>
  <c r="F213" i="25" s="1"/>
  <c r="J233" i="13"/>
  <c r="K233" i="13" s="1"/>
  <c r="H239" i="34" s="1"/>
  <c r="I239" i="34" s="1"/>
  <c r="K239" i="34" s="1"/>
  <c r="F232" i="25" s="1"/>
  <c r="J190" i="13"/>
  <c r="K190" i="13" s="1"/>
  <c r="H196" i="34" s="1"/>
  <c r="I196" i="34" s="1"/>
  <c r="K196" i="34" s="1"/>
  <c r="F189" i="25" s="1"/>
  <c r="G190" i="54" s="1"/>
  <c r="H190" i="54" s="1"/>
  <c r="J56" i="13"/>
  <c r="K56" i="13" s="1"/>
  <c r="H62" i="34" s="1"/>
  <c r="I62" i="34" s="1"/>
  <c r="K62" i="34" s="1"/>
  <c r="F55" i="25" s="1"/>
  <c r="G56" i="54" s="1"/>
  <c r="H56" i="54" s="1"/>
  <c r="J250" i="13"/>
  <c r="K250" i="13" s="1"/>
  <c r="H256" i="34" s="1"/>
  <c r="I256" i="34" s="1"/>
  <c r="K256" i="34" s="1"/>
  <c r="F249" i="25" s="1"/>
  <c r="I249" i="25" s="1"/>
  <c r="J266" i="13"/>
  <c r="K266" i="13" s="1"/>
  <c r="H272" i="34" s="1"/>
  <c r="I272" i="34" s="1"/>
  <c r="K272" i="34" s="1"/>
  <c r="F265" i="25" s="1"/>
  <c r="J136" i="13"/>
  <c r="K136" i="13" s="1"/>
  <c r="H142" i="34" s="1"/>
  <c r="I142" i="34" s="1"/>
  <c r="K142" i="34" s="1"/>
  <c r="F135" i="25" s="1"/>
  <c r="I135" i="25" s="1"/>
  <c r="J219" i="13"/>
  <c r="K219" i="13" s="1"/>
  <c r="H225" i="34" s="1"/>
  <c r="I225" i="34" s="1"/>
  <c r="K225" i="34" s="1"/>
  <c r="F218" i="25" s="1"/>
  <c r="I218" i="25" s="1"/>
  <c r="J243" i="13"/>
  <c r="K243" i="13" s="1"/>
  <c r="H249" i="34" s="1"/>
  <c r="I249" i="34" s="1"/>
  <c r="K249" i="34" s="1"/>
  <c r="F242" i="25" s="1"/>
  <c r="J297" i="13"/>
  <c r="K297" i="13" s="1"/>
  <c r="H303" i="34" s="1"/>
  <c r="I303" i="34" s="1"/>
  <c r="K303" i="34" s="1"/>
  <c r="F296" i="25" s="1"/>
  <c r="J133" i="13"/>
  <c r="K133" i="13" s="1"/>
  <c r="H139" i="34" s="1"/>
  <c r="I139" i="34" s="1"/>
  <c r="K139" i="34" s="1"/>
  <c r="F132" i="25" s="1"/>
  <c r="I132" i="25" s="1"/>
  <c r="J259" i="13"/>
  <c r="K259" i="13" s="1"/>
  <c r="H265" i="34" s="1"/>
  <c r="I265" i="34" s="1"/>
  <c r="K265" i="34" s="1"/>
  <c r="F258" i="25" s="1"/>
  <c r="I258" i="25" s="1"/>
  <c r="J100" i="13"/>
  <c r="K100" i="13" s="1"/>
  <c r="H106" i="34" s="1"/>
  <c r="I106" i="34" s="1"/>
  <c r="K106" i="34" s="1"/>
  <c r="F99" i="25" s="1"/>
  <c r="G100" i="54" s="1"/>
  <c r="H100" i="54" s="1"/>
  <c r="J16" i="13"/>
  <c r="K16" i="13" s="1"/>
  <c r="H22" i="34" s="1"/>
  <c r="I22" i="34" s="1"/>
  <c r="K22" i="34" s="1"/>
  <c r="F15" i="25" s="1"/>
  <c r="J217" i="13"/>
  <c r="K217" i="13" s="1"/>
  <c r="H223" i="34" s="1"/>
  <c r="I223" i="34" s="1"/>
  <c r="K223" i="34" s="1"/>
  <c r="F216" i="25" s="1"/>
  <c r="I216" i="25" s="1"/>
  <c r="J279" i="13"/>
  <c r="K279" i="13" s="1"/>
  <c r="H285" i="34" s="1"/>
  <c r="I285" i="34" s="1"/>
  <c r="K285" i="34" s="1"/>
  <c r="F278" i="25" s="1"/>
  <c r="J173" i="13"/>
  <c r="K173" i="13" s="1"/>
  <c r="H179" i="34" s="1"/>
  <c r="I179" i="34" s="1"/>
  <c r="K179" i="34" s="1"/>
  <c r="F172" i="25" s="1"/>
  <c r="I172" i="25" s="1"/>
  <c r="J46" i="13"/>
  <c r="K46" i="13" s="1"/>
  <c r="H52" i="34" s="1"/>
  <c r="I52" i="34" s="1"/>
  <c r="K52" i="34" s="1"/>
  <c r="F45" i="25" s="1"/>
  <c r="J29" i="13"/>
  <c r="K29" i="13" s="1"/>
  <c r="H35" i="34" s="1"/>
  <c r="I35" i="34" s="1"/>
  <c r="K35" i="34" s="1"/>
  <c r="F28" i="25" s="1"/>
  <c r="G29" i="54" s="1"/>
  <c r="H29" i="54" s="1"/>
  <c r="J26" i="13"/>
  <c r="K26" i="13" s="1"/>
  <c r="H32" i="34" s="1"/>
  <c r="I32" i="34" s="1"/>
  <c r="K32" i="34" s="1"/>
  <c r="F25" i="25" s="1"/>
  <c r="I25" i="25" s="1"/>
  <c r="J28" i="13"/>
  <c r="K28" i="13" s="1"/>
  <c r="H34" i="34" s="1"/>
  <c r="I34" i="34" s="1"/>
  <c r="K34" i="34" s="1"/>
  <c r="F27" i="25" s="1"/>
  <c r="G28" i="54" s="1"/>
  <c r="H28" i="54" s="1"/>
  <c r="J232" i="13"/>
  <c r="K232" i="13" s="1"/>
  <c r="H238" i="34" s="1"/>
  <c r="I238" i="34" s="1"/>
  <c r="K238" i="34" s="1"/>
  <c r="F231" i="25" s="1"/>
  <c r="J253" i="13"/>
  <c r="K253" i="13" s="1"/>
  <c r="H259" i="34" s="1"/>
  <c r="I259" i="34" s="1"/>
  <c r="K259" i="34" s="1"/>
  <c r="F252" i="25" s="1"/>
  <c r="I252" i="25" s="1"/>
  <c r="J130" i="13"/>
  <c r="K130" i="13" s="1"/>
  <c r="H136" i="34" s="1"/>
  <c r="I136" i="34" s="1"/>
  <c r="K136" i="34" s="1"/>
  <c r="F129" i="25" s="1"/>
  <c r="J294" i="13"/>
  <c r="K294" i="13" s="1"/>
  <c r="H300" i="34" s="1"/>
  <c r="I300" i="34" s="1"/>
  <c r="K300" i="34" s="1"/>
  <c r="F293" i="25" s="1"/>
  <c r="J239" i="13"/>
  <c r="K239" i="13" s="1"/>
  <c r="H245" i="34" s="1"/>
  <c r="I245" i="34" s="1"/>
  <c r="K245" i="34" s="1"/>
  <c r="F238" i="25" s="1"/>
  <c r="J304" i="13"/>
  <c r="K304" i="13" s="1"/>
  <c r="J42" i="13"/>
  <c r="K42" i="13" s="1"/>
  <c r="H48" i="34" s="1"/>
  <c r="I48" i="34" s="1"/>
  <c r="K48" i="34" s="1"/>
  <c r="F41" i="25" s="1"/>
  <c r="I41" i="25" s="1"/>
  <c r="J83" i="13"/>
  <c r="K83" i="13" s="1"/>
  <c r="H89" i="34" s="1"/>
  <c r="I89" i="34" s="1"/>
  <c r="K89" i="34" s="1"/>
  <c r="F82" i="25" s="1"/>
  <c r="I82" i="25" s="1"/>
  <c r="J211" i="13"/>
  <c r="K211" i="13" s="1"/>
  <c r="H217" i="34" s="1"/>
  <c r="I217" i="34" s="1"/>
  <c r="K217" i="34" s="1"/>
  <c r="F210" i="25" s="1"/>
  <c r="J49" i="13"/>
  <c r="K49" i="13" s="1"/>
  <c r="H55" i="34" s="1"/>
  <c r="I55" i="34" s="1"/>
  <c r="K55" i="34" s="1"/>
  <c r="F48" i="25" s="1"/>
  <c r="I48" i="25" s="1"/>
  <c r="J129" i="13"/>
  <c r="K129" i="13" s="1"/>
  <c r="H135" i="34" s="1"/>
  <c r="I135" i="34" s="1"/>
  <c r="K135" i="34" s="1"/>
  <c r="F128" i="25" s="1"/>
  <c r="J36" i="13"/>
  <c r="K36" i="13" s="1"/>
  <c r="H42" i="34" s="1"/>
  <c r="I42" i="34" s="1"/>
  <c r="K42" i="34" s="1"/>
  <c r="F35" i="25" s="1"/>
  <c r="J191" i="13"/>
  <c r="K191" i="13" s="1"/>
  <c r="H197" i="34" s="1"/>
  <c r="I197" i="34" s="1"/>
  <c r="K197" i="34" s="1"/>
  <c r="F190" i="25" s="1"/>
  <c r="J162" i="13"/>
  <c r="K162" i="13" s="1"/>
  <c r="H168" i="34" s="1"/>
  <c r="I168" i="34" s="1"/>
  <c r="K168" i="34" s="1"/>
  <c r="F161" i="25" s="1"/>
  <c r="G162" i="54" s="1"/>
  <c r="H162" i="54" s="1"/>
  <c r="J225" i="13"/>
  <c r="K225" i="13" s="1"/>
  <c r="H231" i="34" s="1"/>
  <c r="I231" i="34" s="1"/>
  <c r="K231" i="34" s="1"/>
  <c r="F224" i="25" s="1"/>
  <c r="G225" i="54" s="1"/>
  <c r="H225" i="54" s="1"/>
  <c r="J34" i="13"/>
  <c r="K34" i="13" s="1"/>
  <c r="H40" i="34" s="1"/>
  <c r="I40" i="34" s="1"/>
  <c r="K40" i="34" s="1"/>
  <c r="F33" i="25" s="1"/>
  <c r="I33" i="25" s="1"/>
  <c r="J120" i="13"/>
  <c r="K120" i="13" s="1"/>
  <c r="H126" i="34" s="1"/>
  <c r="I126" i="34" s="1"/>
  <c r="K126" i="34" s="1"/>
  <c r="F119" i="25" s="1"/>
  <c r="J291" i="13"/>
  <c r="K291" i="13" s="1"/>
  <c r="H297" i="34" s="1"/>
  <c r="I297" i="34" s="1"/>
  <c r="K297" i="34" s="1"/>
  <c r="F290" i="25" s="1"/>
  <c r="I290" i="25" s="1"/>
  <c r="J66" i="13"/>
  <c r="K66" i="13" s="1"/>
  <c r="H72" i="34" s="1"/>
  <c r="I72" i="34" s="1"/>
  <c r="K72" i="34" s="1"/>
  <c r="F65" i="25" s="1"/>
  <c r="J126" i="13"/>
  <c r="K126" i="13" s="1"/>
  <c r="H132" i="34" s="1"/>
  <c r="I132" i="34" s="1"/>
  <c r="K132" i="34" s="1"/>
  <c r="F125" i="25" s="1"/>
  <c r="I125" i="25" s="1"/>
  <c r="J270" i="13"/>
  <c r="K270" i="13" s="1"/>
  <c r="H276" i="34" s="1"/>
  <c r="I276" i="34" s="1"/>
  <c r="K276" i="34" s="1"/>
  <c r="F269" i="25" s="1"/>
  <c r="I269" i="25" s="1"/>
  <c r="J99" i="13"/>
  <c r="K99" i="13" s="1"/>
  <c r="H105" i="34" s="1"/>
  <c r="I105" i="34" s="1"/>
  <c r="K105" i="34" s="1"/>
  <c r="F98" i="25" s="1"/>
  <c r="I98" i="25" s="1"/>
  <c r="J160" i="13"/>
  <c r="K160" i="13" s="1"/>
  <c r="H166" i="34" s="1"/>
  <c r="I166" i="34" s="1"/>
  <c r="K166" i="34" s="1"/>
  <c r="F159" i="25" s="1"/>
  <c r="I159" i="25" s="1"/>
  <c r="J25" i="13"/>
  <c r="K25" i="13" s="1"/>
  <c r="H31" i="34" s="1"/>
  <c r="I31" i="34" s="1"/>
  <c r="K31" i="34" s="1"/>
  <c r="F24" i="25" s="1"/>
  <c r="G25" i="54" s="1"/>
  <c r="H25" i="54" s="1"/>
  <c r="J86" i="13"/>
  <c r="K86" i="13" s="1"/>
  <c r="H92" i="34" s="1"/>
  <c r="I92" i="34" s="1"/>
  <c r="K92" i="34" s="1"/>
  <c r="F85" i="25" s="1"/>
  <c r="I85" i="25" s="1"/>
  <c r="J157" i="13"/>
  <c r="K157" i="13" s="1"/>
  <c r="H163" i="34" s="1"/>
  <c r="I163" i="34" s="1"/>
  <c r="K163" i="34" s="1"/>
  <c r="F156" i="25" s="1"/>
  <c r="J240" i="13"/>
  <c r="K240" i="13" s="1"/>
  <c r="H246" i="34" s="1"/>
  <c r="I246" i="34" s="1"/>
  <c r="K246" i="34" s="1"/>
  <c r="F239" i="25" s="1"/>
  <c r="G240" i="54" s="1"/>
  <c r="H240" i="54" s="1"/>
  <c r="J198" i="13"/>
  <c r="K198" i="13" s="1"/>
  <c r="H204" i="34" s="1"/>
  <c r="I204" i="34" s="1"/>
  <c r="K204" i="34" s="1"/>
  <c r="F197" i="25" s="1"/>
  <c r="G198" i="54" s="1"/>
  <c r="H198" i="54" s="1"/>
  <c r="J11" i="13"/>
  <c r="K11" i="13" s="1"/>
  <c r="H17" i="34" s="1"/>
  <c r="I17" i="34" s="1"/>
  <c r="K17" i="34" s="1"/>
  <c r="F10" i="25" s="1"/>
  <c r="J301" i="13"/>
  <c r="K301" i="13" s="1"/>
  <c r="H307" i="34" s="1"/>
  <c r="I307" i="34" s="1"/>
  <c r="K307" i="34" s="1"/>
  <c r="F300" i="25" s="1"/>
  <c r="I300" i="25" s="1"/>
  <c r="J260" i="13"/>
  <c r="K260" i="13" s="1"/>
  <c r="H266" i="34" s="1"/>
  <c r="I266" i="34" s="1"/>
  <c r="K266" i="34" s="1"/>
  <c r="F259" i="25" s="1"/>
  <c r="I259" i="25" s="1"/>
  <c r="J285" i="13"/>
  <c r="K285" i="13" s="1"/>
  <c r="H291" i="34" s="1"/>
  <c r="I291" i="34" s="1"/>
  <c r="K291" i="34" s="1"/>
  <c r="F284" i="25" s="1"/>
  <c r="I284" i="25" s="1"/>
  <c r="J32" i="13"/>
  <c r="K32" i="13" s="1"/>
  <c r="H38" i="34" s="1"/>
  <c r="I38" i="34" s="1"/>
  <c r="K38" i="34" s="1"/>
  <c r="F31" i="25" s="1"/>
  <c r="J156" i="13"/>
  <c r="K156" i="13" s="1"/>
  <c r="H162" i="34" s="1"/>
  <c r="I162" i="34" s="1"/>
  <c r="K162" i="34" s="1"/>
  <c r="F155" i="25" s="1"/>
  <c r="I155" i="25" s="1"/>
  <c r="J180" i="13"/>
  <c r="K180" i="13" s="1"/>
  <c r="H186" i="34" s="1"/>
  <c r="I186" i="34" s="1"/>
  <c r="K186" i="34" s="1"/>
  <c r="F179" i="25" s="1"/>
  <c r="J123" i="13"/>
  <c r="K123" i="13" s="1"/>
  <c r="H129" i="34" s="1"/>
  <c r="I129" i="34" s="1"/>
  <c r="K129" i="34" s="1"/>
  <c r="F122" i="25" s="1"/>
  <c r="I122" i="25" s="1"/>
  <c r="J114" i="13"/>
  <c r="K114" i="13" s="1"/>
  <c r="H120" i="34" s="1"/>
  <c r="I120" i="34" s="1"/>
  <c r="K120" i="34" s="1"/>
  <c r="F113" i="25" s="1"/>
  <c r="J231" i="13"/>
  <c r="K231" i="13" s="1"/>
  <c r="H237" i="34" s="1"/>
  <c r="I237" i="34" s="1"/>
  <c r="K237" i="34" s="1"/>
  <c r="F230" i="25" s="1"/>
  <c r="J168" i="13"/>
  <c r="K168" i="13" s="1"/>
  <c r="H174" i="34" s="1"/>
  <c r="I174" i="34" s="1"/>
  <c r="K174" i="34" s="1"/>
  <c r="F167" i="25" s="1"/>
  <c r="I167" i="25" s="1"/>
  <c r="J22" i="13"/>
  <c r="K22" i="13" s="1"/>
  <c r="H28" i="34" s="1"/>
  <c r="I28" i="34" s="1"/>
  <c r="K28" i="34" s="1"/>
  <c r="F21" i="25" s="1"/>
  <c r="G22" i="54" s="1"/>
  <c r="H22" i="54" s="1"/>
  <c r="J220" i="13"/>
  <c r="K220" i="13" s="1"/>
  <c r="H226" i="34" s="1"/>
  <c r="I226" i="34" s="1"/>
  <c r="K226" i="34" s="1"/>
  <c r="F219" i="25" s="1"/>
  <c r="J140" i="13"/>
  <c r="K140" i="13" s="1"/>
  <c r="H146" i="34" s="1"/>
  <c r="I146" i="34" s="1"/>
  <c r="K146" i="34" s="1"/>
  <c r="F139" i="25" s="1"/>
  <c r="J238" i="13"/>
  <c r="K238" i="13" s="1"/>
  <c r="H244" i="34" s="1"/>
  <c r="I244" i="34" s="1"/>
  <c r="K244" i="34" s="1"/>
  <c r="F237" i="25" s="1"/>
  <c r="G238" i="54" s="1"/>
  <c r="H238" i="54" s="1"/>
  <c r="J209" i="13"/>
  <c r="K209" i="13" s="1"/>
  <c r="H215" i="34" s="1"/>
  <c r="I215" i="34" s="1"/>
  <c r="K215" i="34" s="1"/>
  <c r="F208" i="25" s="1"/>
  <c r="G209" i="54" s="1"/>
  <c r="H209" i="54" s="1"/>
  <c r="J88" i="13"/>
  <c r="K88" i="13" s="1"/>
  <c r="H94" i="34" s="1"/>
  <c r="I94" i="34" s="1"/>
  <c r="K94" i="34" s="1"/>
  <c r="F87" i="25" s="1"/>
  <c r="J119" i="13"/>
  <c r="K119" i="13" s="1"/>
  <c r="H125" i="34" s="1"/>
  <c r="I125" i="34" s="1"/>
  <c r="K125" i="34" s="1"/>
  <c r="F118" i="25" s="1"/>
  <c r="I118" i="25" s="1"/>
  <c r="J215" i="13"/>
  <c r="K215" i="13" s="1"/>
  <c r="H221" i="34" s="1"/>
  <c r="I221" i="34" s="1"/>
  <c r="K221" i="34" s="1"/>
  <c r="F214" i="25" s="1"/>
  <c r="I214" i="25" s="1"/>
  <c r="J255" i="13"/>
  <c r="K255" i="13" s="1"/>
  <c r="H261" i="34" s="1"/>
  <c r="I261" i="34" s="1"/>
  <c r="K261" i="34" s="1"/>
  <c r="F254" i="25" s="1"/>
  <c r="I254" i="25" s="1"/>
  <c r="J299" i="13"/>
  <c r="K299" i="13" s="1"/>
  <c r="H305" i="34" s="1"/>
  <c r="I305" i="34" s="1"/>
  <c r="K305" i="34" s="1"/>
  <c r="F298" i="25" s="1"/>
  <c r="J212" i="13"/>
  <c r="K212" i="13" s="1"/>
  <c r="H218" i="34" s="1"/>
  <c r="I218" i="34" s="1"/>
  <c r="K218" i="34" s="1"/>
  <c r="F211" i="25" s="1"/>
  <c r="J143" i="13"/>
  <c r="K143" i="13" s="1"/>
  <c r="H149" i="34" s="1"/>
  <c r="I149" i="34" s="1"/>
  <c r="K149" i="34" s="1"/>
  <c r="F142" i="25" s="1"/>
  <c r="J298" i="13"/>
  <c r="K298" i="13" s="1"/>
  <c r="H304" i="34" s="1"/>
  <c r="I304" i="34" s="1"/>
  <c r="K304" i="34" s="1"/>
  <c r="F297" i="25" s="1"/>
  <c r="G298" i="54" s="1"/>
  <c r="H298" i="54" s="1"/>
  <c r="J292" i="13"/>
  <c r="K292" i="13" s="1"/>
  <c r="H298" i="34" s="1"/>
  <c r="I298" i="34" s="1"/>
  <c r="K298" i="34" s="1"/>
  <c r="F291" i="25" s="1"/>
  <c r="J89" i="13"/>
  <c r="K89" i="13" s="1"/>
  <c r="H95" i="34" s="1"/>
  <c r="I95" i="34" s="1"/>
  <c r="K95" i="34" s="1"/>
  <c r="F88" i="25" s="1"/>
  <c r="I88" i="25" s="1"/>
  <c r="J53" i="13"/>
  <c r="K53" i="13" s="1"/>
  <c r="H59" i="34" s="1"/>
  <c r="I59" i="34" s="1"/>
  <c r="K59" i="34" s="1"/>
  <c r="F52" i="25" s="1"/>
  <c r="G53" i="54" s="1"/>
  <c r="H53" i="54" s="1"/>
  <c r="J92" i="13"/>
  <c r="K92" i="13" s="1"/>
  <c r="H98" i="34" s="1"/>
  <c r="I98" i="34" s="1"/>
  <c r="K98" i="34" s="1"/>
  <c r="F91" i="25" s="1"/>
  <c r="G92" i="54" s="1"/>
  <c r="H92" i="54" s="1"/>
  <c r="J82" i="13"/>
  <c r="K82" i="13" s="1"/>
  <c r="H88" i="34" s="1"/>
  <c r="I88" i="34" s="1"/>
  <c r="K88" i="34" s="1"/>
  <c r="F81" i="25" s="1"/>
  <c r="J7" i="13"/>
  <c r="K7" i="13" s="1"/>
  <c r="H13" i="34" s="1"/>
  <c r="I13" i="34" s="1"/>
  <c r="K13" i="34" s="1"/>
  <c r="F6" i="25" s="1"/>
  <c r="J41" i="13"/>
  <c r="K41" i="13" s="1"/>
  <c r="H47" i="34" s="1"/>
  <c r="I47" i="34" s="1"/>
  <c r="K47" i="34" s="1"/>
  <c r="F40" i="25" s="1"/>
  <c r="J24" i="13"/>
  <c r="K24" i="13" s="1"/>
  <c r="H30" i="34" s="1"/>
  <c r="I30" i="34" s="1"/>
  <c r="K30" i="34" s="1"/>
  <c r="F23" i="25" s="1"/>
  <c r="J38" i="13"/>
  <c r="K38" i="13" s="1"/>
  <c r="H44" i="34" s="1"/>
  <c r="I44" i="34" s="1"/>
  <c r="K44" i="34" s="1"/>
  <c r="F37" i="25" s="1"/>
  <c r="J237" i="13"/>
  <c r="K237" i="13" s="1"/>
  <c r="H243" i="34" s="1"/>
  <c r="I243" i="34" s="1"/>
  <c r="K243" i="34" s="1"/>
  <c r="F236" i="25" s="1"/>
  <c r="I236" i="25" s="1"/>
  <c r="J186" i="13"/>
  <c r="K186" i="13" s="1"/>
  <c r="H192" i="34" s="1"/>
  <c r="I192" i="34" s="1"/>
  <c r="K192" i="34" s="1"/>
  <c r="F185" i="25" s="1"/>
  <c r="G186" i="54" s="1"/>
  <c r="H186" i="54" s="1"/>
  <c r="J113" i="13"/>
  <c r="K113" i="13" s="1"/>
  <c r="H119" i="34" s="1"/>
  <c r="I119" i="34" s="1"/>
  <c r="K119" i="34" s="1"/>
  <c r="F112" i="25" s="1"/>
  <c r="I112" i="25" s="1"/>
  <c r="J226" i="13"/>
  <c r="K226" i="13" s="1"/>
  <c r="H232" i="34" s="1"/>
  <c r="I232" i="34" s="1"/>
  <c r="K232" i="34" s="1"/>
  <c r="F225" i="25" s="1"/>
  <c r="J164" i="13"/>
  <c r="K164" i="13" s="1"/>
  <c r="H170" i="34" s="1"/>
  <c r="I170" i="34" s="1"/>
  <c r="K170" i="34" s="1"/>
  <c r="F163" i="25" s="1"/>
  <c r="G164" i="54" s="1"/>
  <c r="H164" i="54" s="1"/>
  <c r="J107" i="13"/>
  <c r="K107" i="13" s="1"/>
  <c r="H113" i="34" s="1"/>
  <c r="I113" i="34" s="1"/>
  <c r="K113" i="34" s="1"/>
  <c r="F106" i="25" s="1"/>
  <c r="J91" i="13"/>
  <c r="K91" i="13" s="1"/>
  <c r="H97" i="34" s="1"/>
  <c r="I97" i="34" s="1"/>
  <c r="K97" i="34" s="1"/>
  <c r="F90" i="25" s="1"/>
  <c r="I90" i="25" s="1"/>
  <c r="J142" i="13"/>
  <c r="K142" i="13" s="1"/>
  <c r="H148" i="34" s="1"/>
  <c r="I148" i="34" s="1"/>
  <c r="K148" i="34" s="1"/>
  <c r="F141" i="25" s="1"/>
  <c r="J118" i="13"/>
  <c r="K118" i="13" s="1"/>
  <c r="H124" i="34" s="1"/>
  <c r="I124" i="34" s="1"/>
  <c r="K124" i="34" s="1"/>
  <c r="F117" i="25" s="1"/>
  <c r="G118" i="54" s="1"/>
  <c r="H118" i="54" s="1"/>
  <c r="J77" i="13"/>
  <c r="K77" i="13" s="1"/>
  <c r="H83" i="34" s="1"/>
  <c r="I83" i="34" s="1"/>
  <c r="K83" i="34" s="1"/>
  <c r="F76" i="25" s="1"/>
  <c r="J189" i="13"/>
  <c r="K189" i="13" s="1"/>
  <c r="H195" i="34" s="1"/>
  <c r="I195" i="34" s="1"/>
  <c r="K195" i="34" s="1"/>
  <c r="F188" i="25" s="1"/>
  <c r="I188" i="25" s="1"/>
  <c r="J216" i="13"/>
  <c r="K216" i="13" s="1"/>
  <c r="H222" i="34" s="1"/>
  <c r="I222" i="34" s="1"/>
  <c r="K222" i="34" s="1"/>
  <c r="F215" i="25" s="1"/>
  <c r="J61" i="13"/>
  <c r="K61" i="13" s="1"/>
  <c r="H67" i="34" s="1"/>
  <c r="I67" i="34" s="1"/>
  <c r="K67" i="34" s="1"/>
  <c r="F60" i="25" s="1"/>
  <c r="J155" i="13"/>
  <c r="K155" i="13" s="1"/>
  <c r="H161" i="34" s="1"/>
  <c r="I161" i="34" s="1"/>
  <c r="K161" i="34" s="1"/>
  <c r="F154" i="25" s="1"/>
  <c r="J167" i="13"/>
  <c r="K167" i="13" s="1"/>
  <c r="H173" i="34" s="1"/>
  <c r="I173" i="34" s="1"/>
  <c r="K173" i="34" s="1"/>
  <c r="J19" i="13"/>
  <c r="K19" i="13" s="1"/>
  <c r="H25" i="34" s="1"/>
  <c r="I25" i="34" s="1"/>
  <c r="K25" i="34" s="1"/>
  <c r="F18" i="25" s="1"/>
  <c r="J21" i="13"/>
  <c r="K21" i="13" s="1"/>
  <c r="H27" i="34" s="1"/>
  <c r="I27" i="34" s="1"/>
  <c r="K27" i="34" s="1"/>
  <c r="F20" i="25" s="1"/>
  <c r="I20" i="25" s="1"/>
  <c r="J247" i="13"/>
  <c r="K247" i="13" s="1"/>
  <c r="H253" i="34" s="1"/>
  <c r="I253" i="34" s="1"/>
  <c r="K253" i="34" s="1"/>
  <c r="F246" i="25" s="1"/>
  <c r="G247" i="54" s="1"/>
  <c r="H247" i="54" s="1"/>
  <c r="J263" i="13"/>
  <c r="K263" i="13" s="1"/>
  <c r="H269" i="34" s="1"/>
  <c r="I269" i="34" s="1"/>
  <c r="K269" i="34" s="1"/>
  <c r="F262" i="25" s="1"/>
  <c r="I262" i="25" s="1"/>
  <c r="J76" i="13"/>
  <c r="K76" i="13" s="1"/>
  <c r="H82" i="34" s="1"/>
  <c r="I82" i="34" s="1"/>
  <c r="K82" i="34" s="1"/>
  <c r="F75" i="25" s="1"/>
  <c r="J127" i="13"/>
  <c r="K127" i="13" s="1"/>
  <c r="H133" i="34" s="1"/>
  <c r="I133" i="34" s="1"/>
  <c r="K133" i="34" s="1"/>
  <c r="F126" i="25" s="1"/>
  <c r="J31" i="13"/>
  <c r="K31" i="13" s="1"/>
  <c r="H37" i="34" s="1"/>
  <c r="I37" i="34" s="1"/>
  <c r="K37" i="34" s="1"/>
  <c r="F30" i="25" s="1"/>
  <c r="G31" i="54" s="1"/>
  <c r="H31" i="54" s="1"/>
  <c r="J112" i="13"/>
  <c r="K112" i="13" s="1"/>
  <c r="H118" i="34" s="1"/>
  <c r="I118" i="34" s="1"/>
  <c r="K118" i="34" s="1"/>
  <c r="F111" i="25" s="1"/>
  <c r="I111" i="25" s="1"/>
  <c r="J165" i="13"/>
  <c r="K165" i="13" s="1"/>
  <c r="H171" i="34" s="1"/>
  <c r="I171" i="34" s="1"/>
  <c r="K171" i="34" s="1"/>
  <c r="F164" i="25" s="1"/>
  <c r="I164" i="25" s="1"/>
  <c r="J193" i="13"/>
  <c r="K193" i="13" s="1"/>
  <c r="H199" i="34" s="1"/>
  <c r="I199" i="34" s="1"/>
  <c r="K199" i="34" s="1"/>
  <c r="F192" i="25" s="1"/>
  <c r="G193" i="54" s="1"/>
  <c r="H193" i="54" s="1"/>
  <c r="J96" i="13"/>
  <c r="K96" i="13" s="1"/>
  <c r="H102" i="34" s="1"/>
  <c r="I102" i="34" s="1"/>
  <c r="K102" i="34" s="1"/>
  <c r="F95" i="25" s="1"/>
  <c r="G96" i="54" s="1"/>
  <c r="H96" i="54" s="1"/>
  <c r="J252" i="13"/>
  <c r="K252" i="13" s="1"/>
  <c r="H258" i="34" s="1"/>
  <c r="I258" i="34" s="1"/>
  <c r="K258" i="34" s="1"/>
  <c r="F251" i="25" s="1"/>
  <c r="G252" i="54" s="1"/>
  <c r="H252" i="54" s="1"/>
  <c r="J229" i="13"/>
  <c r="K229" i="13" s="1"/>
  <c r="H235" i="34" s="1"/>
  <c r="I235" i="34" s="1"/>
  <c r="K235" i="34" s="1"/>
  <c r="F228" i="25" s="1"/>
  <c r="J33" i="13"/>
  <c r="K33" i="13" s="1"/>
  <c r="H39" i="34" s="1"/>
  <c r="I39" i="34" s="1"/>
  <c r="K39" i="34" s="1"/>
  <c r="F32" i="25" s="1"/>
  <c r="J208" i="13"/>
  <c r="K208" i="13" s="1"/>
  <c r="H214" i="34" s="1"/>
  <c r="I214" i="34" s="1"/>
  <c r="K214" i="34" s="1"/>
  <c r="F207" i="25" s="1"/>
  <c r="I207" i="25" s="1"/>
  <c r="J139" i="13"/>
  <c r="K139" i="13" s="1"/>
  <c r="H145" i="34" s="1"/>
  <c r="I145" i="34" s="1"/>
  <c r="K145" i="34" s="1"/>
  <c r="F138" i="25" s="1"/>
  <c r="I138" i="25" s="1"/>
  <c r="J221" i="13"/>
  <c r="K221" i="13" s="1"/>
  <c r="H227" i="34" s="1"/>
  <c r="I227" i="34" s="1"/>
  <c r="K227" i="34" s="1"/>
  <c r="F220" i="25" s="1"/>
  <c r="J87" i="13"/>
  <c r="K87" i="13" s="1"/>
  <c r="H93" i="34" s="1"/>
  <c r="I93" i="34" s="1"/>
  <c r="K93" i="34" s="1"/>
  <c r="F86" i="25" s="1"/>
  <c r="G87" i="54" s="1"/>
  <c r="H87" i="54" s="1"/>
  <c r="J14" i="13"/>
  <c r="K14" i="13" s="1"/>
  <c r="H20" i="34" s="1"/>
  <c r="I20" i="34" s="1"/>
  <c r="K20" i="34" s="1"/>
  <c r="F13" i="25" s="1"/>
  <c r="I13" i="25" s="1"/>
  <c r="J289" i="13"/>
  <c r="K289" i="13" s="1"/>
  <c r="H295" i="34" s="1"/>
  <c r="I295" i="34" s="1"/>
  <c r="K295" i="34" s="1"/>
  <c r="F288" i="25" s="1"/>
  <c r="G289" i="54" s="1"/>
  <c r="H289" i="54" s="1"/>
  <c r="J223" i="13"/>
  <c r="K223" i="13" s="1"/>
  <c r="H229" i="34" s="1"/>
  <c r="I229" i="34" s="1"/>
  <c r="K229" i="34" s="1"/>
  <c r="F222" i="25" s="1"/>
  <c r="J79" i="13"/>
  <c r="K79" i="13" s="1"/>
  <c r="H85" i="34" s="1"/>
  <c r="I85" i="34" s="1"/>
  <c r="K85" i="34" s="1"/>
  <c r="F78" i="25" s="1"/>
  <c r="G79" i="54" s="1"/>
  <c r="H79" i="54" s="1"/>
  <c r="J271" i="13"/>
  <c r="K271" i="13" s="1"/>
  <c r="H277" i="34" s="1"/>
  <c r="I277" i="34" s="1"/>
  <c r="K277" i="34" s="1"/>
  <c r="F270" i="25" s="1"/>
  <c r="G271" i="54" s="1"/>
  <c r="H271" i="54" s="1"/>
  <c r="J205" i="13"/>
  <c r="K205" i="13" s="1"/>
  <c r="H211" i="34" s="1"/>
  <c r="I211" i="34" s="1"/>
  <c r="K211" i="34" s="1"/>
  <c r="F204" i="25" s="1"/>
  <c r="G205" i="54" s="1"/>
  <c r="H205" i="54" s="1"/>
  <c r="J265" i="13"/>
  <c r="K265" i="13" s="1"/>
  <c r="H271" i="34" s="1"/>
  <c r="I271" i="34" s="1"/>
  <c r="K271" i="34" s="1"/>
  <c r="F264" i="25" s="1"/>
  <c r="J141" i="13"/>
  <c r="K141" i="13" s="1"/>
  <c r="H147" i="34" s="1"/>
  <c r="I147" i="34" s="1"/>
  <c r="K147" i="34" s="1"/>
  <c r="F140" i="25" s="1"/>
  <c r="G141" i="54" s="1"/>
  <c r="H141" i="54" s="1"/>
  <c r="J245" i="13"/>
  <c r="K245" i="13" s="1"/>
  <c r="H251" i="34" s="1"/>
  <c r="I251" i="34" s="1"/>
  <c r="K251" i="34" s="1"/>
  <c r="F244" i="25" s="1"/>
  <c r="I244" i="25" s="1"/>
  <c r="J224" i="13"/>
  <c r="K224" i="13" s="1"/>
  <c r="H230" i="34" s="1"/>
  <c r="I230" i="34" s="1"/>
  <c r="K230" i="34" s="1"/>
  <c r="F223" i="25" s="1"/>
  <c r="G224" i="54" s="1"/>
  <c r="H224" i="54" s="1"/>
  <c r="J276" i="13"/>
  <c r="K276" i="13" s="1"/>
  <c r="H282" i="34" s="1"/>
  <c r="I282" i="34" s="1"/>
  <c r="K282" i="34" s="1"/>
  <c r="F275" i="25" s="1"/>
  <c r="J145" i="13"/>
  <c r="K145" i="13" s="1"/>
  <c r="H151" i="34" s="1"/>
  <c r="I151" i="34" s="1"/>
  <c r="K151" i="34" s="1"/>
  <c r="F144" i="25" s="1"/>
  <c r="J158" i="13"/>
  <c r="K158" i="13" s="1"/>
  <c r="H164" i="34" s="1"/>
  <c r="I164" i="34" s="1"/>
  <c r="K164" i="34" s="1"/>
  <c r="F157" i="25" s="1"/>
  <c r="I157" i="25" s="1"/>
  <c r="J166" i="13"/>
  <c r="K166" i="13" s="1"/>
  <c r="H172" i="34" s="1"/>
  <c r="I172" i="34" s="1"/>
  <c r="K172" i="34" s="1"/>
  <c r="F165" i="25" s="1"/>
  <c r="I165" i="25" s="1"/>
  <c r="J137" i="13"/>
  <c r="K137" i="13" s="1"/>
  <c r="H143" i="34" s="1"/>
  <c r="I143" i="34" s="1"/>
  <c r="K143" i="34" s="1"/>
  <c r="F136" i="25" s="1"/>
  <c r="J284" i="13"/>
  <c r="K284" i="13" s="1"/>
  <c r="H290" i="34" s="1"/>
  <c r="I290" i="34" s="1"/>
  <c r="K290" i="34" s="1"/>
  <c r="F283" i="25" s="1"/>
  <c r="I283" i="25" s="1"/>
  <c r="J149" i="13"/>
  <c r="K149" i="13" s="1"/>
  <c r="H155" i="34" s="1"/>
  <c r="I155" i="34" s="1"/>
  <c r="K155" i="34" s="1"/>
  <c r="F148" i="25" s="1"/>
  <c r="I148" i="25" s="1"/>
  <c r="J187" i="13"/>
  <c r="K187" i="13" s="1"/>
  <c r="H193" i="34" s="1"/>
  <c r="I193" i="34" s="1"/>
  <c r="K193" i="34" s="1"/>
  <c r="F186" i="25" s="1"/>
  <c r="I186" i="25" s="1"/>
  <c r="J151" i="13"/>
  <c r="K151" i="13" s="1"/>
  <c r="H157" i="34" s="1"/>
  <c r="I157" i="34" s="1"/>
  <c r="K157" i="34" s="1"/>
  <c r="F150" i="25" s="1"/>
  <c r="J121" i="13"/>
  <c r="K121" i="13" s="1"/>
  <c r="H127" i="34" s="1"/>
  <c r="I127" i="34" s="1"/>
  <c r="K127" i="34" s="1"/>
  <c r="F120" i="25" s="1"/>
  <c r="F26" i="25"/>
  <c r="G27" i="54" s="1"/>
  <c r="H27" i="54" s="1"/>
  <c r="F166" i="25"/>
  <c r="G167" i="54" s="1"/>
  <c r="H167" i="54" s="1"/>
  <c r="I247" i="25"/>
  <c r="G248" i="54"/>
  <c r="H248" i="54" s="1"/>
  <c r="I9" i="25"/>
  <c r="I46" i="25"/>
  <c r="I89" i="25"/>
  <c r="I77" i="25"/>
  <c r="I133" i="25"/>
  <c r="I286" i="25"/>
  <c r="I147" i="25"/>
  <c r="G148" i="54"/>
  <c r="H148" i="54" s="1"/>
  <c r="I123" i="25"/>
  <c r="G101" i="54"/>
  <c r="H101" i="54" s="1"/>
  <c r="I304" i="25"/>
  <c r="G305" i="54"/>
  <c r="H305" i="54" s="1"/>
  <c r="I176" i="25"/>
  <c r="I205" i="25"/>
  <c r="G69" i="54"/>
  <c r="H69" i="54" s="1"/>
  <c r="I281" i="25"/>
  <c r="G282" i="54"/>
  <c r="H282" i="54" s="1"/>
  <c r="I61" i="25"/>
  <c r="G40" i="54"/>
  <c r="H40" i="54" s="1"/>
  <c r="I273" i="25"/>
  <c r="G274" i="54"/>
  <c r="H274" i="54" s="1"/>
  <c r="I229" i="25"/>
  <c r="G230" i="54"/>
  <c r="H230" i="54" s="1"/>
  <c r="I301" i="25"/>
  <c r="I73" i="25"/>
  <c r="I197" i="25"/>
  <c r="G300" i="54"/>
  <c r="H300" i="54" s="1"/>
  <c r="I206" i="25"/>
  <c r="G207" i="54"/>
  <c r="H207" i="54" s="1"/>
  <c r="G80" i="54"/>
  <c r="H80" i="54" s="1"/>
  <c r="I67" i="25"/>
  <c r="G68" i="54"/>
  <c r="H68" i="54" s="1"/>
  <c r="I294" i="25"/>
  <c r="G295" i="54"/>
  <c r="H295" i="54" s="1"/>
  <c r="I12" i="25"/>
  <c r="G13" i="54"/>
  <c r="H13" i="54" s="1"/>
  <c r="I115" i="25"/>
  <c r="G116" i="54"/>
  <c r="H116" i="54" s="1"/>
  <c r="I184" i="25"/>
  <c r="G185" i="54"/>
  <c r="H185" i="54" s="1"/>
  <c r="G293" i="54"/>
  <c r="H293" i="54" s="1"/>
  <c r="I58" i="25"/>
  <c r="G59" i="54"/>
  <c r="H59" i="54" s="1"/>
  <c r="I274" i="25"/>
  <c r="G275" i="54"/>
  <c r="H275" i="54" s="1"/>
  <c r="G9" i="54"/>
  <c r="H9" i="54" s="1"/>
  <c r="I173" i="25"/>
  <c r="G174" i="54"/>
  <c r="H174" i="54" s="1"/>
  <c r="I174" i="25"/>
  <c r="G175" i="54"/>
  <c r="H175" i="54" s="1"/>
  <c r="I257" i="25"/>
  <c r="G258" i="54"/>
  <c r="H258" i="54" s="1"/>
  <c r="I198" i="25"/>
  <c r="G199" i="54"/>
  <c r="H199" i="54" s="1"/>
  <c r="I104" i="25"/>
  <c r="G105" i="54"/>
  <c r="H105" i="54" s="1"/>
  <c r="I156" i="25"/>
  <c r="G157" i="54"/>
  <c r="H157" i="54" s="1"/>
  <c r="I51" i="25"/>
  <c r="G52" i="54"/>
  <c r="H52" i="54" s="1"/>
  <c r="I221" i="25"/>
  <c r="G222" i="54"/>
  <c r="H222" i="54" s="1"/>
  <c r="I195" i="25"/>
  <c r="G196" i="54"/>
  <c r="H196" i="54" s="1"/>
  <c r="I131" i="25"/>
  <c r="G132" i="54"/>
  <c r="H132" i="54" s="1"/>
  <c r="I60" i="25"/>
  <c r="G61" i="54"/>
  <c r="H61" i="54" s="1"/>
  <c r="I248" i="25"/>
  <c r="G249" i="54"/>
  <c r="H249" i="54" s="1"/>
  <c r="I271" i="25"/>
  <c r="G272" i="54"/>
  <c r="H272" i="54" s="1"/>
  <c r="G269" i="54"/>
  <c r="H269" i="54" s="1"/>
  <c r="I168" i="25"/>
  <c r="G169" i="54"/>
  <c r="H169" i="54" s="1"/>
  <c r="I17" i="25"/>
  <c r="I14" i="25"/>
  <c r="I63" i="25"/>
  <c r="I107" i="25"/>
  <c r="G108" i="54"/>
  <c r="H108" i="54" s="1"/>
  <c r="I56" i="25"/>
  <c r="G57" i="54"/>
  <c r="H57" i="54" s="1"/>
  <c r="I213" i="25"/>
  <c r="G214" i="54"/>
  <c r="H214" i="54" s="1"/>
  <c r="I189" i="25"/>
  <c r="I282" i="25"/>
  <c r="G283" i="54"/>
  <c r="H283" i="54" s="1"/>
  <c r="I175" i="25"/>
  <c r="G176" i="54"/>
  <c r="H176" i="54" s="1"/>
  <c r="I108" i="25"/>
  <c r="G109" i="54"/>
  <c r="H109" i="54" s="1"/>
  <c r="I242" i="25"/>
  <c r="G243" i="54"/>
  <c r="H243" i="54" s="1"/>
  <c r="I226" i="25"/>
  <c r="G227" i="54"/>
  <c r="H227" i="54" s="1"/>
  <c r="I96" i="25"/>
  <c r="G97" i="54"/>
  <c r="H97" i="54" s="1"/>
  <c r="I72" i="25"/>
  <c r="G73" i="54"/>
  <c r="H73" i="54" s="1"/>
  <c r="I154" i="25"/>
  <c r="G155" i="54"/>
  <c r="H155" i="54" s="1"/>
  <c r="G217" i="54"/>
  <c r="H217" i="54" s="1"/>
  <c r="I278" i="25"/>
  <c r="G279" i="54"/>
  <c r="H279" i="54" s="1"/>
  <c r="I28" i="25"/>
  <c r="I129" i="25"/>
  <c r="G130" i="54"/>
  <c r="H130" i="54" s="1"/>
  <c r="I293" i="25"/>
  <c r="G294" i="54"/>
  <c r="H294" i="54" s="1"/>
  <c r="I128" i="25"/>
  <c r="G129" i="54"/>
  <c r="H129" i="54" s="1"/>
  <c r="I35" i="25"/>
  <c r="G36" i="54"/>
  <c r="H36" i="54" s="1"/>
  <c r="I161" i="25"/>
  <c r="I65" i="25"/>
  <c r="G66" i="54"/>
  <c r="H66" i="54" s="1"/>
  <c r="G99" i="54"/>
  <c r="H99" i="54" s="1"/>
  <c r="I183" i="25"/>
  <c r="G184" i="54"/>
  <c r="H184" i="54" s="1"/>
  <c r="I209" i="25"/>
  <c r="G210" i="54"/>
  <c r="H210" i="54" s="1"/>
  <c r="I47" i="25"/>
  <c r="G48" i="54"/>
  <c r="H48" i="54" s="1"/>
  <c r="I83" i="25"/>
  <c r="G84" i="54"/>
  <c r="H84" i="54" s="1"/>
  <c r="I66" i="25"/>
  <c r="G67" i="54"/>
  <c r="H67" i="54" s="1"/>
  <c r="I253" i="25"/>
  <c r="G254" i="54"/>
  <c r="H254" i="54" s="1"/>
  <c r="I71" i="25"/>
  <c r="G72" i="54"/>
  <c r="H72" i="54" s="1"/>
  <c r="I179" i="25"/>
  <c r="G180" i="54"/>
  <c r="H180" i="54" s="1"/>
  <c r="I230" i="25"/>
  <c r="G231" i="54"/>
  <c r="H231" i="54" s="1"/>
  <c r="I139" i="25"/>
  <c r="G140" i="54"/>
  <c r="H140" i="54" s="1"/>
  <c r="I237" i="25"/>
  <c r="I208" i="25"/>
  <c r="G119" i="54"/>
  <c r="H119" i="54" s="1"/>
  <c r="I211" i="25"/>
  <c r="G212" i="54"/>
  <c r="H212" i="54" s="1"/>
  <c r="I142" i="25"/>
  <c r="G143" i="54"/>
  <c r="H143" i="54" s="1"/>
  <c r="I297" i="25"/>
  <c r="I52" i="25"/>
  <c r="I6" i="25"/>
  <c r="G7" i="54"/>
  <c r="H7" i="54" s="1"/>
  <c r="I40" i="25"/>
  <c r="G41" i="54"/>
  <c r="H41" i="54" s="1"/>
  <c r="I23" i="25"/>
  <c r="G24" i="54"/>
  <c r="H24" i="54" s="1"/>
  <c r="I163" i="25"/>
  <c r="I106" i="25"/>
  <c r="G107" i="54"/>
  <c r="H107" i="54" s="1"/>
  <c r="I302" i="25"/>
  <c r="G303" i="54"/>
  <c r="H303" i="54" s="1"/>
  <c r="I143" i="25"/>
  <c r="G144" i="54"/>
  <c r="H144" i="54" s="1"/>
  <c r="I191" i="25"/>
  <c r="G192" i="54"/>
  <c r="H192" i="54" s="1"/>
  <c r="I126" i="25"/>
  <c r="G127" i="54"/>
  <c r="H127" i="54" s="1"/>
  <c r="G112" i="54"/>
  <c r="H112" i="54" s="1"/>
  <c r="I192" i="25"/>
  <c r="I32" i="25"/>
  <c r="G33" i="54"/>
  <c r="H33" i="54" s="1"/>
  <c r="I78" i="25"/>
  <c r="I144" i="25"/>
  <c r="G145" i="54"/>
  <c r="H145" i="54" s="1"/>
  <c r="I120" i="25"/>
  <c r="G121" i="54"/>
  <c r="H121" i="54" s="1"/>
  <c r="H41" i="34"/>
  <c r="I41" i="34" s="1"/>
  <c r="K41" i="34" s="1"/>
  <c r="F34" i="25" s="1"/>
  <c r="I26" i="25"/>
  <c r="I6" i="39"/>
  <c r="G284" i="54" l="1"/>
  <c r="H284" i="54" s="1"/>
  <c r="H207" i="34"/>
  <c r="I207" i="34" s="1"/>
  <c r="K207" i="34" s="1"/>
  <c r="F200" i="25" s="1"/>
  <c r="E39" i="48"/>
  <c r="F39" i="48" s="1"/>
  <c r="F43" i="48" s="1"/>
  <c r="F54" i="48" s="1"/>
  <c r="G149" i="54"/>
  <c r="H149" i="54" s="1"/>
  <c r="I86" i="25"/>
  <c r="I185" i="25"/>
  <c r="G259" i="54"/>
  <c r="H259" i="54" s="1"/>
  <c r="G12" i="54"/>
  <c r="H12" i="54" s="1"/>
  <c r="G152" i="54"/>
  <c r="H152" i="54" s="1"/>
  <c r="I277" i="25"/>
  <c r="G17" i="54"/>
  <c r="H17" i="54" s="1"/>
  <c r="I55" i="25"/>
  <c r="G26" i="54"/>
  <c r="H26" i="54" s="1"/>
  <c r="G245" i="54"/>
  <c r="H245" i="54" s="1"/>
  <c r="I246" i="25"/>
  <c r="G264" i="54"/>
  <c r="H264" i="54" s="1"/>
  <c r="G204" i="54"/>
  <c r="H204" i="54" s="1"/>
  <c r="G166" i="54"/>
  <c r="H166" i="54" s="1"/>
  <c r="G173" i="54"/>
  <c r="H173" i="54" s="1"/>
  <c r="G91" i="54"/>
  <c r="H91" i="54" s="1"/>
  <c r="G126" i="54"/>
  <c r="H126" i="54" s="1"/>
  <c r="G123" i="54"/>
  <c r="H123" i="54" s="1"/>
  <c r="I204" i="25"/>
  <c r="G39" i="54"/>
  <c r="H39" i="54" s="1"/>
  <c r="I95" i="25"/>
  <c r="G42" i="54"/>
  <c r="H42" i="54" s="1"/>
  <c r="G273" i="54"/>
  <c r="H273" i="54" s="1"/>
  <c r="G261" i="54"/>
  <c r="H261" i="54" s="1"/>
  <c r="G160" i="54"/>
  <c r="H160" i="54" s="1"/>
  <c r="I224" i="25"/>
  <c r="G14" i="54"/>
  <c r="H14" i="54" s="1"/>
  <c r="I187" i="25"/>
  <c r="G161" i="54"/>
  <c r="H161" i="54" s="1"/>
  <c r="I24" i="25"/>
  <c r="G106" i="54"/>
  <c r="H106" i="54" s="1"/>
  <c r="I251" i="25"/>
  <c r="G263" i="54"/>
  <c r="H263" i="54" s="1"/>
  <c r="G34" i="54"/>
  <c r="H34" i="54" s="1"/>
  <c r="G113" i="54"/>
  <c r="H113" i="54" s="1"/>
  <c r="G83" i="54"/>
  <c r="H83" i="54" s="1"/>
  <c r="I27" i="25"/>
  <c r="G250" i="54"/>
  <c r="H250" i="54" s="1"/>
  <c r="G183" i="54"/>
  <c r="H183" i="54" s="1"/>
  <c r="G187" i="54"/>
  <c r="H187" i="54" s="1"/>
  <c r="G71" i="54"/>
  <c r="H71" i="54" s="1"/>
  <c r="I91" i="25"/>
  <c r="G285" i="54"/>
  <c r="H285" i="54" s="1"/>
  <c r="G242" i="54"/>
  <c r="H242" i="54" s="1"/>
  <c r="G296" i="54"/>
  <c r="H296" i="54" s="1"/>
  <c r="G159" i="54"/>
  <c r="H159" i="54" s="1"/>
  <c r="G200" i="54"/>
  <c r="H200" i="54" s="1"/>
  <c r="I288" i="25"/>
  <c r="G255" i="54"/>
  <c r="H255" i="54" s="1"/>
  <c r="G54" i="54"/>
  <c r="H54" i="54" s="1"/>
  <c r="G281" i="54"/>
  <c r="H281" i="54" s="1"/>
  <c r="G81" i="54"/>
  <c r="H81" i="54" s="1"/>
  <c r="G170" i="54"/>
  <c r="H170" i="54" s="1"/>
  <c r="I223" i="25"/>
  <c r="G189" i="54"/>
  <c r="H189" i="54" s="1"/>
  <c r="G154" i="54"/>
  <c r="H154" i="54" s="1"/>
  <c r="I296" i="25"/>
  <c r="G297" i="54"/>
  <c r="H297" i="54" s="1"/>
  <c r="G221" i="54"/>
  <c r="H221" i="54" s="1"/>
  <c r="I220" i="25"/>
  <c r="I116" i="25"/>
  <c r="G117" i="54"/>
  <c r="H117" i="54" s="1"/>
  <c r="G11" i="54"/>
  <c r="H11" i="54" s="1"/>
  <c r="I10" i="25"/>
  <c r="I228" i="25"/>
  <c r="G229" i="54"/>
  <c r="H229" i="54" s="1"/>
  <c r="I212" i="25"/>
  <c r="G213" i="54"/>
  <c r="H213" i="54" s="1"/>
  <c r="I19" i="25"/>
  <c r="G20" i="54"/>
  <c r="H20" i="54" s="1"/>
  <c r="G292" i="54"/>
  <c r="H292" i="54" s="1"/>
  <c r="I291" i="25"/>
  <c r="G215" i="54"/>
  <c r="H215" i="54" s="1"/>
  <c r="G241" i="54"/>
  <c r="H241" i="54" s="1"/>
  <c r="G246" i="54"/>
  <c r="H246" i="54" s="1"/>
  <c r="G256" i="54"/>
  <c r="H256" i="54" s="1"/>
  <c r="I117" i="25"/>
  <c r="G268" i="54"/>
  <c r="H268" i="54" s="1"/>
  <c r="G168" i="54"/>
  <c r="H168" i="54" s="1"/>
  <c r="G277" i="54"/>
  <c r="H277" i="54" s="1"/>
  <c r="I110" i="25"/>
  <c r="G291" i="54"/>
  <c r="H291" i="54" s="1"/>
  <c r="G63" i="54"/>
  <c r="H63" i="54" s="1"/>
  <c r="I44" i="25"/>
  <c r="G182" i="54"/>
  <c r="H182" i="54" s="1"/>
  <c r="G260" i="54"/>
  <c r="H260" i="54" s="1"/>
  <c r="G86" i="54"/>
  <c r="H86" i="54" s="1"/>
  <c r="G60" i="54"/>
  <c r="H60" i="54" s="1"/>
  <c r="G115" i="54"/>
  <c r="H115" i="54" s="1"/>
  <c r="G139" i="54"/>
  <c r="H139" i="54" s="1"/>
  <c r="I270" i="25"/>
  <c r="G30" i="54"/>
  <c r="H30" i="54" s="1"/>
  <c r="G21" i="54"/>
  <c r="H21" i="54" s="1"/>
  <c r="G89" i="54"/>
  <c r="H89" i="54" s="1"/>
  <c r="G49" i="54"/>
  <c r="H49" i="54" s="1"/>
  <c r="I36" i="25"/>
  <c r="I84" i="25"/>
  <c r="G70" i="54"/>
  <c r="H70" i="54" s="1"/>
  <c r="I279" i="25"/>
  <c r="I141" i="25"/>
  <c r="G142" i="54"/>
  <c r="H142" i="54" s="1"/>
  <c r="I37" i="25"/>
  <c r="G38" i="54"/>
  <c r="H38" i="54" s="1"/>
  <c r="I15" i="25"/>
  <c r="G16" i="54"/>
  <c r="H16" i="54" s="1"/>
  <c r="I146" i="25"/>
  <c r="G147" i="54"/>
  <c r="H147" i="54" s="1"/>
  <c r="G234" i="54"/>
  <c r="H234" i="54" s="1"/>
  <c r="I233" i="25"/>
  <c r="I113" i="25"/>
  <c r="G114" i="54"/>
  <c r="H114" i="54" s="1"/>
  <c r="I250" i="25"/>
  <c r="G251" i="54"/>
  <c r="H251" i="54" s="1"/>
  <c r="I7" i="25"/>
  <c r="G8" i="54"/>
  <c r="H8" i="54" s="1"/>
  <c r="G163" i="54"/>
  <c r="H163" i="54" s="1"/>
  <c r="I162" i="25"/>
  <c r="I43" i="25"/>
  <c r="G44" i="54"/>
  <c r="H44" i="54" s="1"/>
  <c r="I45" i="25"/>
  <c r="G46" i="54"/>
  <c r="H46" i="54" s="1"/>
  <c r="I81" i="25"/>
  <c r="G82" i="54"/>
  <c r="H82" i="54" s="1"/>
  <c r="I238" i="25"/>
  <c r="G239" i="54"/>
  <c r="H239" i="54" s="1"/>
  <c r="G138" i="54"/>
  <c r="H138" i="54" s="1"/>
  <c r="I137" i="25"/>
  <c r="G131" i="54"/>
  <c r="H131" i="54" s="1"/>
  <c r="I130" i="25"/>
  <c r="I264" i="25"/>
  <c r="G265" i="54"/>
  <c r="H265" i="54" s="1"/>
  <c r="I134" i="25"/>
  <c r="G135" i="54"/>
  <c r="H135" i="54" s="1"/>
  <c r="G104" i="54"/>
  <c r="H104" i="54" s="1"/>
  <c r="I103" i="25"/>
  <c r="I93" i="25"/>
  <c r="G94" i="54"/>
  <c r="H94" i="54" s="1"/>
  <c r="G158" i="54"/>
  <c r="H158" i="54" s="1"/>
  <c r="G208" i="54"/>
  <c r="H208" i="54" s="1"/>
  <c r="G197" i="54"/>
  <c r="H197" i="54" s="1"/>
  <c r="G237" i="54"/>
  <c r="H237" i="54" s="1"/>
  <c r="G156" i="54"/>
  <c r="H156" i="54" s="1"/>
  <c r="G270" i="54"/>
  <c r="H270" i="54" s="1"/>
  <c r="G253" i="54"/>
  <c r="H253" i="54" s="1"/>
  <c r="G301" i="54"/>
  <c r="H301" i="54" s="1"/>
  <c r="G219" i="54"/>
  <c r="H219" i="54" s="1"/>
  <c r="G128" i="54"/>
  <c r="H128" i="54" s="1"/>
  <c r="G98" i="54"/>
  <c r="H98" i="54" s="1"/>
  <c r="G178" i="54"/>
  <c r="H178" i="54" s="1"/>
  <c r="G50" i="54"/>
  <c r="H50" i="54" s="1"/>
  <c r="G172" i="54"/>
  <c r="H172" i="54" s="1"/>
  <c r="G288" i="54"/>
  <c r="H288" i="54" s="1"/>
  <c r="I99" i="25"/>
  <c r="I239" i="25"/>
  <c r="H310" i="34"/>
  <c r="I310" i="34" s="1"/>
  <c r="K310" i="34" s="1"/>
  <c r="F303" i="25" s="1"/>
  <c r="I265" i="25"/>
  <c r="G266" i="54"/>
  <c r="H266" i="54" s="1"/>
  <c r="G223" i="54"/>
  <c r="H223" i="54" s="1"/>
  <c r="I222" i="25"/>
  <c r="I31" i="25"/>
  <c r="G32" i="54"/>
  <c r="H32" i="54" s="1"/>
  <c r="I64" i="25"/>
  <c r="G65" i="54"/>
  <c r="H65" i="54" s="1"/>
  <c r="I121" i="25"/>
  <c r="G122" i="54"/>
  <c r="H122" i="54" s="1"/>
  <c r="I298" i="25"/>
  <c r="G299" i="54"/>
  <c r="H299" i="54" s="1"/>
  <c r="I201" i="25"/>
  <c r="G202" i="54"/>
  <c r="H202" i="54" s="1"/>
  <c r="G276" i="54"/>
  <c r="H276" i="54" s="1"/>
  <c r="I275" i="25"/>
  <c r="I194" i="25"/>
  <c r="G195" i="54"/>
  <c r="H195" i="54" s="1"/>
  <c r="I74" i="25"/>
  <c r="G75" i="54"/>
  <c r="H75" i="54" s="1"/>
  <c r="I152" i="25"/>
  <c r="G153" i="54"/>
  <c r="H153" i="54" s="1"/>
  <c r="I145" i="25"/>
  <c r="G146" i="54"/>
  <c r="H146" i="54" s="1"/>
  <c r="I219" i="25"/>
  <c r="G220" i="54"/>
  <c r="H220" i="54" s="1"/>
  <c r="I261" i="25"/>
  <c r="G262" i="54"/>
  <c r="H262" i="54" s="1"/>
  <c r="G137" i="54"/>
  <c r="H137" i="54" s="1"/>
  <c r="I136" i="25"/>
  <c r="I75" i="25"/>
  <c r="G76" i="54"/>
  <c r="H76" i="54" s="1"/>
  <c r="I215" i="25"/>
  <c r="G216" i="54"/>
  <c r="H216" i="54" s="1"/>
  <c r="I87" i="25"/>
  <c r="G88" i="54"/>
  <c r="H88" i="54" s="1"/>
  <c r="I119" i="25"/>
  <c r="G120" i="54"/>
  <c r="H120" i="54" s="1"/>
  <c r="I210" i="25"/>
  <c r="G211" i="54"/>
  <c r="H211" i="54" s="1"/>
  <c r="I232" i="25"/>
  <c r="G233" i="54"/>
  <c r="H233" i="54" s="1"/>
  <c r="I22" i="25"/>
  <c r="G23" i="54"/>
  <c r="H23" i="54" s="1"/>
  <c r="I193" i="25"/>
  <c r="G194" i="54"/>
  <c r="H194" i="54" s="1"/>
  <c r="I54" i="25"/>
  <c r="G55" i="54"/>
  <c r="H55" i="54" s="1"/>
  <c r="I101" i="25"/>
  <c r="G102" i="54"/>
  <c r="H102" i="54" s="1"/>
  <c r="I150" i="25"/>
  <c r="G151" i="54"/>
  <c r="H151" i="54" s="1"/>
  <c r="G110" i="54"/>
  <c r="H110" i="54" s="1"/>
  <c r="I109" i="25"/>
  <c r="I225" i="25"/>
  <c r="G226" i="54"/>
  <c r="H226" i="54" s="1"/>
  <c r="I231" i="25"/>
  <c r="G232" i="54"/>
  <c r="H232" i="54" s="1"/>
  <c r="I235" i="25"/>
  <c r="G236" i="54"/>
  <c r="H236" i="54" s="1"/>
  <c r="I57" i="25"/>
  <c r="G58" i="54"/>
  <c r="H58" i="54" s="1"/>
  <c r="I190" i="25"/>
  <c r="G191" i="54"/>
  <c r="H191" i="54" s="1"/>
  <c r="I285" i="25"/>
  <c r="G286" i="54"/>
  <c r="H286" i="54" s="1"/>
  <c r="I202" i="25"/>
  <c r="G203" i="54"/>
  <c r="H203" i="54" s="1"/>
  <c r="I178" i="25"/>
  <c r="G179" i="54"/>
  <c r="H179" i="54" s="1"/>
  <c r="I18" i="25"/>
  <c r="G19" i="54"/>
  <c r="H19" i="54" s="1"/>
  <c r="I266" i="25"/>
  <c r="G267" i="54"/>
  <c r="H267" i="54" s="1"/>
  <c r="I289" i="25"/>
  <c r="G290" i="54"/>
  <c r="H290" i="54" s="1"/>
  <c r="I92" i="25"/>
  <c r="G93" i="54"/>
  <c r="H93" i="54" s="1"/>
  <c r="G201" i="54"/>
  <c r="I200" i="25"/>
  <c r="I180" i="25"/>
  <c r="G181" i="54"/>
  <c r="H181" i="54" s="1"/>
  <c r="I170" i="25"/>
  <c r="G171" i="54"/>
  <c r="H171" i="54" s="1"/>
  <c r="I149" i="25"/>
  <c r="G150" i="54"/>
  <c r="H150" i="54" s="1"/>
  <c r="I42" i="25"/>
  <c r="G43" i="54"/>
  <c r="H43" i="54" s="1"/>
  <c r="I217" i="25"/>
  <c r="G218" i="54"/>
  <c r="H218" i="54" s="1"/>
  <c r="I124" i="25"/>
  <c r="G125" i="54"/>
  <c r="H125" i="54" s="1"/>
  <c r="I243" i="25"/>
  <c r="G244" i="54"/>
  <c r="H244" i="54" s="1"/>
  <c r="I94" i="25"/>
  <c r="G95" i="54"/>
  <c r="H95" i="54" s="1"/>
  <c r="I76" i="25"/>
  <c r="G77" i="54"/>
  <c r="H77" i="54" s="1"/>
  <c r="I256" i="25"/>
  <c r="G257" i="54"/>
  <c r="H257" i="54" s="1"/>
  <c r="I50" i="25"/>
  <c r="G51" i="54"/>
  <c r="H51" i="54" s="1"/>
  <c r="I21" i="25"/>
  <c r="I30" i="25"/>
  <c r="G228" i="54"/>
  <c r="H228" i="54" s="1"/>
  <c r="I166" i="25"/>
  <c r="I140" i="25"/>
  <c r="I102" i="25"/>
  <c r="G165" i="54"/>
  <c r="H165" i="54" s="1"/>
  <c r="G133" i="54"/>
  <c r="H133" i="54" s="1"/>
  <c r="G136" i="54"/>
  <c r="H136" i="54" s="1"/>
  <c r="G235" i="54"/>
  <c r="H235" i="54" s="1"/>
  <c r="H111" i="54"/>
  <c r="I34" i="25"/>
  <c r="G35" i="54"/>
  <c r="H35" i="54" s="1"/>
  <c r="G6" i="13"/>
  <c r="H6" i="13" s="1"/>
  <c r="I6" i="13" s="1"/>
  <c r="J6" i="13" s="1"/>
  <c r="I306" i="39"/>
  <c r="H201" i="54" l="1"/>
  <c r="E61" i="48" s="1"/>
  <c r="C61" i="48" s="1"/>
  <c r="E60" i="48"/>
  <c r="C60" i="48" s="1"/>
  <c r="I303" i="25"/>
  <c r="G304" i="54"/>
  <c r="J306" i="13"/>
  <c r="K6" i="13"/>
  <c r="H12" i="34" s="1"/>
  <c r="I12" i="34" s="1"/>
  <c r="G306" i="13"/>
  <c r="H306" i="13" s="1"/>
  <c r="H304" i="54" l="1"/>
  <c r="K12" i="34"/>
  <c r="K306" i="13"/>
  <c r="F5" i="25" l="1"/>
  <c r="K312" i="34"/>
  <c r="H312" i="34"/>
  <c r="G6" i="54" l="1"/>
  <c r="G306" i="54" s="1"/>
  <c r="F305" i="25"/>
  <c r="I5" i="25"/>
  <c r="D50" i="40"/>
  <c r="C50" i="40" s="1"/>
  <c r="H11" i="34"/>
  <c r="I312" i="34"/>
  <c r="H6" i="54" l="1"/>
  <c r="H306" i="54" s="1"/>
  <c r="F306" i="54"/>
  <c r="I11" i="34"/>
  <c r="I305"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Brochet Antoine</author>
  </authors>
  <commentList>
    <comment ref="C3" authorId="0" shapeId="0" xr:uid="{55CDA886-B582-406A-8FE9-6E2C56110B9C}">
      <text>
        <r>
          <rPr>
            <sz val="9"/>
            <color indexed="81"/>
            <rFont val="Tahoma"/>
            <family val="2"/>
          </rPr>
          <t>Veuillez indiquer le nom de la commune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D4" authorId="0" shapeId="0" xr:uid="{3466735A-A832-4970-A628-0FD0BA8C5F9E}">
      <text>
        <r>
          <rPr>
            <sz val="9"/>
            <color indexed="81"/>
            <rFont val="Tahoma"/>
            <family val="2"/>
          </rPr>
          <t>Aux fins du plafond de l'aide, si une commune affiche une PCS totale inférieure à 0 (rare), la PCS sans prélèvements conjoncturels en pts d'impôt est déduite de la colonne D et la colonne E est mise à zéro.</t>
        </r>
      </text>
    </comment>
    <comment ref="H4" authorId="0" shapeId="0" xr:uid="{667F0BDB-6735-4DE4-A442-93ABA8391CEA}">
      <text>
        <r>
          <rPr>
            <sz val="9"/>
            <color indexed="81"/>
            <rFont val="Tahoma"/>
            <family val="2"/>
          </rPr>
          <t xml:space="preserve">Si l'aide péréquatif en faveur d'une commune (total des montants reçus et donnés, sauf montants reçus des dépénses thématiques et les plafonds) dépasse la valeur de 8 de ses points impôt, le </t>
        </r>
        <r>
          <rPr>
            <b/>
            <sz val="9"/>
            <color indexed="81"/>
            <rFont val="Tahoma"/>
            <family val="2"/>
          </rPr>
          <t>plafond de l'aide</t>
        </r>
        <r>
          <rPr>
            <sz val="9"/>
            <color indexed="81"/>
            <rFont val="Tahoma"/>
            <family val="2"/>
          </rPr>
          <t xml:space="preserve"> lui retient un montant égal au dépassement constaté. Les montants ainsi retenus sont utilisé pour réduire les montants nécessaires à l'alimentation du système (voir onglet "vue d'ensemble"). </t>
        </r>
        <r>
          <rPr>
            <u/>
            <sz val="9"/>
            <color indexed="81"/>
            <rFont val="Tahoma"/>
            <family val="2"/>
          </rPr>
          <t>Nota bene</t>
        </r>
        <r>
          <rPr>
            <sz val="9"/>
            <color indexed="81"/>
            <rFont val="Tahoma"/>
            <family val="2"/>
          </rPr>
          <t>: à différence du plafonde l'effort, le plafond de l'aide tient compte des montants payés par les communes au titre du prélèvement sur les impôts conjoncturels en faveur du financement de la PCS.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I4" authorId="0" shapeId="0" xr:uid="{91AA6013-E2E1-4EFC-BDF8-97B63E2221EB}">
      <text>
        <r>
          <rPr>
            <sz val="9"/>
            <color indexed="81"/>
            <rFont val="Tahoma"/>
            <family val="2"/>
          </rPr>
          <t xml:space="preserve">L'effort péréquatif net de l'année précédente (hors montants reçus des dépenses thématiques et avec tous les plafonds) est déduit du taux d'imposition de la commune. Ensuite, le nouveau effort péréquatif net, cette fois tenant compte des dépenses thématiques, est ajouté au taux après déduction. Si le taux ainsi obtenu (taux projeté) dépasse le taux maximal indiqué, </t>
        </r>
        <r>
          <rPr>
            <b/>
            <sz val="9"/>
            <color indexed="81"/>
            <rFont val="Tahoma"/>
            <family val="2"/>
          </rPr>
          <t>le plafond du taux</t>
        </r>
        <r>
          <rPr>
            <sz val="9"/>
            <color indexed="81"/>
            <rFont val="Tahoma"/>
            <family val="2"/>
          </rPr>
          <t xml:space="preserve"> restitue à la commune un montant égal à l'écart constaté, pour autant que ce montant soit nécessaire pour maintenir le taux de la commune au-dessous du taux maximal. Les montants restitués sont financés par l'ensemble des communes, via l'alimentation du système (voir onglet "Péréquation directe").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G4" authorId="0" shapeId="0" xr:uid="{742AA191-2F26-422D-A99A-8CDC59E21F1D}">
      <text>
        <r>
          <rPr>
            <sz val="9"/>
            <color indexed="81"/>
            <rFont val="Tahoma"/>
            <family val="2"/>
          </rPr>
          <t xml:space="preserve">Dans le cadre de la </t>
        </r>
        <r>
          <rPr>
            <b/>
            <sz val="9"/>
            <color indexed="81"/>
            <rFont val="Tahoma"/>
            <family val="2"/>
          </rPr>
          <t>réforme de l'organisation policière de 2012</t>
        </r>
        <r>
          <rPr>
            <sz val="9"/>
            <color indexed="81"/>
            <rFont val="Tahoma"/>
            <family val="2"/>
          </rPr>
          <t>, le canton a basculé 2 points d'impôt aux communes. La valeur de ces points d'impôt communaux est différente de celle des points d'impôt péréquatifs, car elle est calculée uniquement sur la base des impôts suivant le taux communal (par exemple, l'impôt foncier est exclu).</t>
        </r>
      </text>
    </comment>
    <comment ref="I4" authorId="0" shapeId="0" xr:uid="{49A94A71-7E1D-4006-ACF6-1BE60A3C5587}">
      <text>
        <r>
          <rPr>
            <sz val="9"/>
            <color indexed="81"/>
            <rFont val="Tahoma"/>
            <family val="2"/>
          </rPr>
          <t xml:space="preserve">Dans une </t>
        </r>
        <r>
          <rPr>
            <b/>
            <sz val="9"/>
            <color indexed="81"/>
            <rFont val="Tahoma"/>
            <family val="2"/>
          </rPr>
          <t>première étape</t>
        </r>
        <r>
          <rPr>
            <sz val="9"/>
            <color indexed="81"/>
            <rFont val="Tahoma"/>
            <family val="2"/>
          </rPr>
          <t xml:space="preserve">, la facture policière est répartie entre les communes par tête d'habitant. Les montants ainsi obtenus sont facturés exclusivement aux communes délégatrices (c'est-à-dire aux communes qui ne sont pas affiliées à un corps de police intercommunal). Chaque commune délégatrice ne peut néanmoins se voir facturer plus que l'équivalent de 2 de ses points d'impôt </t>
        </r>
        <r>
          <rPr>
            <u/>
            <sz val="9"/>
            <color indexed="81"/>
            <rFont val="Tahoma"/>
            <family val="2"/>
          </rPr>
          <t>communaux</t>
        </r>
        <r>
          <rPr>
            <sz val="9"/>
            <color indexed="81"/>
            <rFont val="Tahoma"/>
            <family val="2"/>
          </rPr>
          <t xml:space="preserve">. 
</t>
        </r>
      </text>
    </comment>
    <comment ref="K4" authorId="0" shapeId="0" xr:uid="{EDE8ACAD-0276-4407-B1D5-8178A6F66632}">
      <text>
        <r>
          <rPr>
            <sz val="9"/>
            <color indexed="81"/>
            <rFont val="Tahoma"/>
            <family val="2"/>
          </rPr>
          <t xml:space="preserve">Dans une </t>
        </r>
        <r>
          <rPr>
            <b/>
            <sz val="9"/>
            <color indexed="81"/>
            <rFont val="Tahoma"/>
            <family val="2"/>
          </rPr>
          <t>deuxième étape</t>
        </r>
        <r>
          <rPr>
            <sz val="9"/>
            <color indexed="81"/>
            <rFont val="Tahoma"/>
            <family val="2"/>
          </rPr>
          <t>, chaque commune verse un nombre de points d'impôt égal au solde restant de la facture policière divisé par la valeur du point d'impôt</t>
        </r>
        <r>
          <rPr>
            <u/>
            <sz val="9"/>
            <color indexed="81"/>
            <rFont val="Tahoma"/>
            <family val="2"/>
          </rPr>
          <t xml:space="preserve"> péréquatif</t>
        </r>
        <r>
          <rPr>
            <sz val="9"/>
            <color indexed="81"/>
            <rFont val="Tahoma"/>
            <family val="2"/>
          </rPr>
          <t xml:space="preserve"> de l'ensemble des communes.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I4" authorId="0" shapeId="0" xr:uid="{BD2FC531-A035-40DA-BDB5-BA1485ACE662}">
      <text>
        <r>
          <rPr>
            <sz val="9"/>
            <color indexed="81"/>
            <rFont val="Tahoma"/>
            <family val="2"/>
          </rPr>
          <t>Les chiffres en négatif expriment un montant net à recevoir tandis que les chiffres en positif expriment un montant net à verser.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R4" authorId="0" shapeId="0" xr:uid="{FDA799F9-7651-4CD7-97E0-E6DE2160AC48}">
      <text>
        <r>
          <rPr>
            <sz val="9"/>
            <color indexed="81"/>
            <rFont val="Tahoma"/>
            <family val="2"/>
          </rPr>
          <t xml:space="preserve">La </t>
        </r>
        <r>
          <rPr>
            <b/>
            <sz val="9"/>
            <color indexed="81"/>
            <rFont val="Tahoma"/>
            <family val="2"/>
          </rPr>
          <t>valeur du point d'impôt péréquatif</t>
        </r>
        <r>
          <rPr>
            <sz val="9"/>
            <color indexed="81"/>
            <rFont val="Tahoma"/>
            <family val="2"/>
          </rPr>
          <t xml:space="preserve"> est définie par les art. 2 et 5 LPIC. Pour une commune donnée, elle est obtenue en divisant par le taux communal les éléments suivants: la somme des rendements de ses impôts qui dépendent du taux communal, le rendement de son impôt personnel fixe, le rendement de son impôt sur les immeubles des sociétés et le rendement de son impôt foncier (ce dernier normalisé au taux de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F10" authorId="0" shapeId="0" xr:uid="{270426BD-07C5-44A7-8A53-ABF443EE0A45}">
      <text>
        <r>
          <rPr>
            <sz val="9"/>
            <color indexed="81"/>
            <rFont val="Tahoma"/>
            <family val="2"/>
          </rPr>
          <t>La PCS est financée en</t>
        </r>
        <r>
          <rPr>
            <b/>
            <sz val="9"/>
            <color indexed="81"/>
            <rFont val="Tahoma"/>
            <family val="2"/>
          </rPr>
          <t xml:space="preserve"> trois étapes</t>
        </r>
        <r>
          <rPr>
            <sz val="9"/>
            <color indexed="81"/>
            <rFont val="Tahoma"/>
            <family val="2"/>
          </rPr>
          <t>. La</t>
        </r>
        <r>
          <rPr>
            <b/>
            <sz val="9"/>
            <color indexed="81"/>
            <rFont val="Tahoma"/>
            <family val="2"/>
          </rPr>
          <t xml:space="preserve"> première étape </t>
        </r>
        <r>
          <rPr>
            <sz val="9"/>
            <color indexed="81"/>
            <rFont val="Tahoma"/>
            <family val="2"/>
          </rPr>
          <t>prévoit le versement par toutes les communes de 50% des leurs recettes conjoncturelles et de 30% de l'impôt des frontaliers.</t>
        </r>
      </text>
    </comment>
    <comment ref="G10" authorId="0" shapeId="0" xr:uid="{8288FAF0-46A4-49D5-9BC8-6E8DEB0263E9}">
      <text>
        <r>
          <rPr>
            <sz val="9"/>
            <color indexed="81"/>
            <rFont val="Tahoma"/>
            <family val="2"/>
          </rPr>
          <t xml:space="preserve">La </t>
        </r>
        <r>
          <rPr>
            <b/>
            <sz val="9"/>
            <color indexed="81"/>
            <rFont val="Tahoma"/>
            <family val="2"/>
          </rPr>
          <t>deuxième étape de financement</t>
        </r>
        <r>
          <rPr>
            <sz val="9"/>
            <color indexed="81"/>
            <rFont val="Tahoma"/>
            <family val="2"/>
          </rPr>
          <t xml:space="preserve"> prévoit une contribution de la part des communes avec une valeur du point d'impôt péréquatif par habitant (VPIH) supérieur à la moyenne. Le détail du calcul de cette deuxième contribution est dans l'onglet "Ecrêtage".</t>
        </r>
      </text>
    </comment>
    <comment ref="H10" authorId="0" shapeId="0" xr:uid="{8CB4ED49-AE30-4C5E-AA9F-866EDF37CA6B}">
      <text>
        <r>
          <rPr>
            <sz val="9"/>
            <color indexed="81"/>
            <rFont val="Tahoma"/>
            <family val="2"/>
          </rPr>
          <t xml:space="preserve">Dans la </t>
        </r>
        <r>
          <rPr>
            <b/>
            <sz val="9"/>
            <color indexed="81"/>
            <rFont val="Tahoma"/>
            <family val="2"/>
          </rPr>
          <t>dernière étape de financement</t>
        </r>
        <r>
          <rPr>
            <sz val="9"/>
            <color indexed="81"/>
            <rFont val="Tahoma"/>
            <family val="2"/>
          </rPr>
          <t>, le montant de la PCS qui reste à financer (</t>
        </r>
        <r>
          <rPr>
            <b/>
            <sz val="9"/>
            <color indexed="81"/>
            <rFont val="Tahoma"/>
            <family val="2"/>
          </rPr>
          <t>solde</t>
        </r>
        <r>
          <rPr>
            <sz val="9"/>
            <color indexed="81"/>
            <rFont val="Tahoma"/>
            <family val="2"/>
          </rPr>
          <t>) est divisé par la valeur du point d'impôt péréquatif total des communes. Chaque commune verse au système le nombre de points ainsi détérminé.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M4" authorId="0" shapeId="0" xr:uid="{ED0F811D-0F7C-44EA-B462-F5E01D3443D1}">
      <text>
        <r>
          <rPr>
            <sz val="9"/>
            <color indexed="81"/>
            <rFont val="Tahoma"/>
            <family val="2"/>
          </rPr>
          <t>Pour détérminer le montant de l'écrêtage, la VPIH de la commune est</t>
        </r>
        <r>
          <rPr>
            <b/>
            <sz val="9"/>
            <color indexed="81"/>
            <rFont val="Tahoma"/>
            <family val="2"/>
          </rPr>
          <t xml:space="preserve"> initialement</t>
        </r>
        <r>
          <rPr>
            <sz val="9"/>
            <color indexed="81"/>
            <rFont val="Tahoma"/>
            <family val="2"/>
          </rPr>
          <t xml:space="preserve"> comparée avec cinq seuils exprimés en pourcent de la VPIH moyenne des communes. </t>
        </r>
        <r>
          <rPr>
            <b/>
            <sz val="9"/>
            <color indexed="81"/>
            <rFont val="Tahoma"/>
            <family val="2"/>
          </rPr>
          <t>Ensuite</t>
        </r>
        <r>
          <rPr>
            <sz val="9"/>
            <color indexed="81"/>
            <rFont val="Tahoma"/>
            <family val="2"/>
          </rPr>
          <t xml:space="preserve">, les éventuels  écarts constatés sont multipliés par les pourcentages de prélèvement spécifiques à chaque seuil et additionnés. </t>
        </r>
        <r>
          <rPr>
            <b/>
            <sz val="9"/>
            <color indexed="81"/>
            <rFont val="Tahoma"/>
            <family val="2"/>
          </rPr>
          <t>Enfin</t>
        </r>
        <r>
          <rPr>
            <sz val="9"/>
            <color indexed="81"/>
            <rFont val="Tahoma"/>
            <family val="2"/>
          </rPr>
          <t>, cette somme d'écarts pondérés est multipliée par le taux d'imposition de la commune et sa population pour obtenir son montant à verser.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D4" authorId="0" shapeId="0" xr:uid="{3C24E69B-AE57-49AE-9420-1A4BAD449CBC}">
      <text>
        <r>
          <rPr>
            <sz val="9"/>
            <color indexed="81"/>
            <rFont val="Tahoma"/>
            <family val="2"/>
          </rPr>
          <t>Le fonds de péréquation intercommunal (</t>
        </r>
        <r>
          <rPr>
            <b/>
            <sz val="9"/>
            <color indexed="81"/>
            <rFont val="Tahoma"/>
            <family val="2"/>
          </rPr>
          <t>péréquation directe</t>
        </r>
        <r>
          <rPr>
            <sz val="9"/>
            <color indexed="81"/>
            <rFont val="Tahoma"/>
            <family val="2"/>
          </rPr>
          <t xml:space="preserve">) comprend </t>
        </r>
        <r>
          <rPr>
            <b/>
            <sz val="9"/>
            <color indexed="81"/>
            <rFont val="Tahoma"/>
            <family val="2"/>
          </rPr>
          <t>trois couches de subventionnement</t>
        </r>
        <r>
          <rPr>
            <sz val="9"/>
            <color indexed="81"/>
            <rFont val="Tahoma"/>
            <family val="2"/>
          </rPr>
          <t xml:space="preserve"> (population, solidarité et dépenses thématiques) et </t>
        </r>
        <r>
          <rPr>
            <b/>
            <sz val="9"/>
            <color indexed="81"/>
            <rFont val="Tahoma"/>
            <family val="2"/>
          </rPr>
          <t>trois plafonds</t>
        </r>
        <r>
          <rPr>
            <sz val="9"/>
            <color indexed="81"/>
            <rFont val="Tahoma"/>
            <family val="2"/>
          </rPr>
          <t xml:space="preserve"> (effort, aide et taux). Le détail du calcul des montants versés par chaque couche et par chaque plafond est proposé dans les prochains onglets. Le tableau à gauche résume le total des montants versés par les trois couches et par les trois plafonds, ainsi que le </t>
        </r>
        <r>
          <rPr>
            <b/>
            <sz val="9"/>
            <color indexed="81"/>
            <rFont val="Tahoma"/>
            <family val="2"/>
          </rPr>
          <t>forfait pour la gestion du système</t>
        </r>
        <r>
          <rPr>
            <sz val="9"/>
            <color indexed="81"/>
            <rFont val="Tahoma"/>
            <family val="2"/>
          </rPr>
          <t xml:space="preserve"> (CHF 450'000.-). 
</t>
        </r>
        <r>
          <rPr>
            <b/>
            <sz val="9"/>
            <color indexed="81"/>
            <rFont val="Tahoma"/>
            <family val="2"/>
          </rPr>
          <t>Pour financer la péréquation directe</t>
        </r>
        <r>
          <rPr>
            <sz val="9"/>
            <color indexed="81"/>
            <rFont val="Tahoma"/>
            <family val="2"/>
          </rPr>
          <t>, chaque commune verse un nombre de points d'impôt égal au total à financer divisé par la valeur du point d'impôt de l'ensemble des communes.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K7" authorId="0" shapeId="0" xr:uid="{A248159E-0366-49ED-ABDF-E41AA811D6AA}">
      <text>
        <r>
          <rPr>
            <sz val="9"/>
            <color indexed="81"/>
            <rFont val="Tahoma"/>
            <family val="2"/>
          </rPr>
          <t>La</t>
        </r>
        <r>
          <rPr>
            <b/>
            <sz val="9"/>
            <color indexed="81"/>
            <rFont val="Tahoma"/>
            <family val="2"/>
          </rPr>
          <t xml:space="preserve"> couche population</t>
        </r>
        <r>
          <rPr>
            <sz val="9"/>
            <color indexed="81"/>
            <rFont val="Tahoma"/>
            <family val="2"/>
          </rPr>
          <t xml:space="preserve"> verse à chaque commune 125 francs (indexés) par habitant pour ses premiers 1'000 habitants, 350 francs (indexés) par habitant pour les 2'000 habitants suivants et ainsi de suite jusqu'à 1'050 francs (indexés) pour tous les habitants au-délà des premiers 15'000.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G4" authorId="0" shapeId="0" xr:uid="{54CAD977-3398-46E4-9C38-2E741D99B23F}">
      <text>
        <r>
          <rPr>
            <sz val="9"/>
            <color indexed="81"/>
            <rFont val="Tahoma"/>
            <family val="2"/>
          </rPr>
          <t xml:space="preserve">La </t>
        </r>
        <r>
          <rPr>
            <b/>
            <sz val="9"/>
            <color indexed="81"/>
            <rFont val="Tahoma"/>
            <family val="2"/>
          </rPr>
          <t>couche solidarité</t>
        </r>
        <r>
          <rPr>
            <sz val="9"/>
            <color indexed="81"/>
            <rFont val="Tahoma"/>
            <family val="2"/>
          </rPr>
          <t xml:space="preserve"> attribue aux communes avec une valeur du point d'impôt par habitant (VPIH) inférieure à la moyenne une compensation de base égale à 27% de l'écart entre leur VPIH et cette même moyenne multipliée par sa population et son taux. </t>
        </r>
      </text>
    </comment>
    <comment ref="I4" authorId="0" shapeId="0" xr:uid="{EECF3395-3B44-42A6-96C5-8AAFF7ADEA22}">
      <text>
        <r>
          <rPr>
            <sz val="9"/>
            <color indexed="81"/>
            <rFont val="Tahoma"/>
            <family val="2"/>
          </rPr>
          <t xml:space="preserve">La compensation de base est ensuite </t>
        </r>
        <r>
          <rPr>
            <b/>
            <sz val="9"/>
            <color indexed="81"/>
            <rFont val="Tahoma"/>
            <family val="2"/>
          </rPr>
          <t>pondérée</t>
        </r>
        <r>
          <rPr>
            <sz val="9"/>
            <color indexed="81"/>
            <rFont val="Tahoma"/>
            <family val="2"/>
          </rPr>
          <t xml:space="preserve"> par le rapport entre le taux de la commune et le taux moyen.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E4" authorId="0" shapeId="0" xr:uid="{BAE74BEC-7C7D-40D4-B664-191255A68EA3}">
      <text>
        <r>
          <rPr>
            <sz val="9"/>
            <color indexed="81"/>
            <rFont val="Tahoma"/>
            <family val="2"/>
          </rPr>
          <t xml:space="preserve">Les </t>
        </r>
        <r>
          <rPr>
            <b/>
            <sz val="9"/>
            <color indexed="81"/>
            <rFont val="Tahoma"/>
            <family val="2"/>
          </rPr>
          <t>dépenses effectives en transports</t>
        </r>
        <r>
          <rPr>
            <sz val="9"/>
            <color indexed="81"/>
            <rFont val="Tahoma"/>
            <family val="2"/>
          </rPr>
          <t xml:space="preserve"> déclarées par la commune sont comparées avec l'équivalent de 8 de ses points d'impôt.</t>
        </r>
      </text>
    </comment>
    <comment ref="H4" authorId="0" shapeId="0" xr:uid="{BF62F18C-F207-473C-871E-EBF7229851AD}">
      <text>
        <r>
          <rPr>
            <sz val="9"/>
            <color indexed="81"/>
            <rFont val="Tahoma"/>
            <family val="2"/>
          </rPr>
          <t xml:space="preserve">Les </t>
        </r>
        <r>
          <rPr>
            <b/>
            <sz val="9"/>
            <color indexed="81"/>
            <rFont val="Tahoma"/>
            <family val="2"/>
          </rPr>
          <t>éventuels dépassements sont compensés</t>
        </r>
        <r>
          <rPr>
            <sz val="9"/>
            <color indexed="81"/>
            <rFont val="Tahoma"/>
            <family val="2"/>
          </rPr>
          <t xml:space="preserve"> à hauteur de 75%. Ce taux peut être revu à la baisse si le total des prises en charges (transports + forêts) excède 4,5 points d'impôt de l'ensemble des communes.
</t>
        </r>
      </text>
    </comment>
    <comment ref="L4" authorId="0" shapeId="0" xr:uid="{F683021F-A324-4C56-9374-0E7F671FBDA9}">
      <text>
        <r>
          <rPr>
            <sz val="9"/>
            <color indexed="81"/>
            <rFont val="Tahoma"/>
            <family val="2"/>
          </rPr>
          <t xml:space="preserve">Pour les </t>
        </r>
        <r>
          <rPr>
            <b/>
            <sz val="9"/>
            <color indexed="81"/>
            <rFont val="Tahoma"/>
            <family val="2"/>
          </rPr>
          <t>dépenses effectives en</t>
        </r>
        <r>
          <rPr>
            <b/>
            <sz val="9"/>
            <color indexed="81"/>
            <rFont val="Tahoma"/>
            <family val="2"/>
          </rPr>
          <t xml:space="preserve"> forêts</t>
        </r>
        <r>
          <rPr>
            <sz val="9"/>
            <color indexed="81"/>
            <rFont val="Tahoma"/>
            <family val="2"/>
          </rPr>
          <t xml:space="preserve"> la logique est identique, mais avec un plafond égal à l'équivalent de 1 point d'impôt de la commune.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Cappelletti Fabio</author>
  </authors>
  <commentList>
    <comment ref="I4" authorId="0" shapeId="0" xr:uid="{656BD7C7-68AF-4D04-8DF9-470D7B173C07}">
      <text>
        <r>
          <rPr>
            <sz val="9"/>
            <color indexed="81"/>
            <rFont val="Tahoma"/>
            <family val="2"/>
          </rPr>
          <t>Si l'</t>
        </r>
        <r>
          <rPr>
            <b/>
            <sz val="9"/>
            <color indexed="81"/>
            <rFont val="Tahoma"/>
            <family val="2"/>
          </rPr>
          <t>effort péréquatif net</t>
        </r>
        <r>
          <rPr>
            <sz val="9"/>
            <color indexed="81"/>
            <rFont val="Tahoma"/>
            <family val="2"/>
          </rPr>
          <t xml:space="preserve"> d'une commune (total des montants reçus et versés, sauf prélèvements conjoncturels et plafonds) dépasse la valeur de 48 de ses points d'impôt, le </t>
        </r>
        <r>
          <rPr>
            <b/>
            <sz val="9"/>
            <color indexed="81"/>
            <rFont val="Tahoma"/>
            <family val="2"/>
          </rPr>
          <t xml:space="preserve">plafond de l'effort </t>
        </r>
        <r>
          <rPr>
            <sz val="9"/>
            <color indexed="81"/>
            <rFont val="Tahoma"/>
            <family val="2"/>
          </rPr>
          <t>lui réstitue un montant égal au dépassement constaté. Les montants restitués sont ensuite financés par l'ensemble des communes, via l'alimentation du système (voir onglet "vue d'ensemble").</t>
        </r>
      </text>
    </comment>
  </commentList>
</comments>
</file>

<file path=xl/sharedStrings.xml><?xml version="1.0" encoding="utf-8"?>
<sst xmlns="http://schemas.openxmlformats.org/spreadsheetml/2006/main" count="1054" uniqueCount="602">
  <si>
    <t>L'Isle</t>
  </si>
  <si>
    <t>Lussery-Villars</t>
  </si>
  <si>
    <t>Mauraz</t>
  </si>
  <si>
    <t>Mex</t>
  </si>
  <si>
    <t>Moiry</t>
  </si>
  <si>
    <t>Corcelles-près-Payerne</t>
  </si>
  <si>
    <t>Grandcour</t>
  </si>
  <si>
    <t>Henniez</t>
  </si>
  <si>
    <t>Missy</t>
  </si>
  <si>
    <t>Payerne</t>
  </si>
  <si>
    <t>Trey</t>
  </si>
  <si>
    <t>Villarzel</t>
  </si>
  <si>
    <t>Château-d'Oex</t>
  </si>
  <si>
    <t>Rossinière</t>
  </si>
  <si>
    <t>Rougemont</t>
  </si>
  <si>
    <t>Allaman</t>
  </si>
  <si>
    <t>Bursinel</t>
  </si>
  <si>
    <t>Bursins</t>
  </si>
  <si>
    <t>Burtigny</t>
  </si>
  <si>
    <t>Dully</t>
  </si>
  <si>
    <t>Essertines-sur-Rolle</t>
  </si>
  <si>
    <t>Gilly</t>
  </si>
  <si>
    <t>Luins</t>
  </si>
  <si>
    <t>Mont-sur-Rolle</t>
  </si>
  <si>
    <t>Perroy</t>
  </si>
  <si>
    <t>Rolle</t>
  </si>
  <si>
    <t>Tartegnin</t>
  </si>
  <si>
    <t>Vinzel</t>
  </si>
  <si>
    <t>L'Abbaye</t>
  </si>
  <si>
    <t>Saint-Barthélemy</t>
  </si>
  <si>
    <t>Villars-le-Terroir</t>
  </si>
  <si>
    <t>Vuarrens</t>
  </si>
  <si>
    <t>Bonvillars</t>
  </si>
  <si>
    <t>Bullet</t>
  </si>
  <si>
    <t>Champagne</t>
  </si>
  <si>
    <t>Concise</t>
  </si>
  <si>
    <t>Corcelles-près-Concise</t>
  </si>
  <si>
    <t>Fiez</t>
  </si>
  <si>
    <t>Fontaines-sur-Grandson</t>
  </si>
  <si>
    <t>Giez</t>
  </si>
  <si>
    <t>Grandevent</t>
  </si>
  <si>
    <t>Grandson</t>
  </si>
  <si>
    <t>Mauborget</t>
  </si>
  <si>
    <t>Plafond transports</t>
  </si>
  <si>
    <t>No OFS</t>
  </si>
  <si>
    <t>Corsier-sur-Vevey</t>
  </si>
  <si>
    <t>Jongny</t>
  </si>
  <si>
    <t>Montreux</t>
  </si>
  <si>
    <t>La Tour-de-Peilz</t>
  </si>
  <si>
    <t>Vevey</t>
  </si>
  <si>
    <t>Veytaux</t>
  </si>
  <si>
    <t>Belmont-sur-Yverdon</t>
  </si>
  <si>
    <t>Bioley-Magnoux</t>
  </si>
  <si>
    <t>Chamblon</t>
  </si>
  <si>
    <t>Champvent</t>
  </si>
  <si>
    <t>Chavannes-le-Chêne</t>
  </si>
  <si>
    <t>Chêne-Pâquier</t>
  </si>
  <si>
    <t>Cheseaux-Noréaz</t>
  </si>
  <si>
    <t>Cronay</t>
  </si>
  <si>
    <t>Cuarny</t>
  </si>
  <si>
    <t>Démoret</t>
  </si>
  <si>
    <t>Donneloye</t>
  </si>
  <si>
    <t>Ependes</t>
  </si>
  <si>
    <t>Nyon</t>
  </si>
  <si>
    <t>Prangins</t>
  </si>
  <si>
    <t>Bougy-Villars</t>
  </si>
  <si>
    <t>Yvorne</t>
  </si>
  <si>
    <t>Aubonne</t>
  </si>
  <si>
    <t>Ballens</t>
  </si>
  <si>
    <t>Berolle</t>
  </si>
  <si>
    <t>Bière</t>
  </si>
  <si>
    <t>Taux communal</t>
  </si>
  <si>
    <t>ISP</t>
  </si>
  <si>
    <t>IPE</t>
  </si>
  <si>
    <t>IET</t>
  </si>
  <si>
    <t>ISO</t>
  </si>
  <si>
    <t>IMM</t>
  </si>
  <si>
    <t>IFO</t>
  </si>
  <si>
    <t>STO</t>
  </si>
  <si>
    <t>IFR</t>
  </si>
  <si>
    <t>ISD</t>
  </si>
  <si>
    <t>DMU</t>
  </si>
  <si>
    <t>IGI</t>
  </si>
  <si>
    <t>TOT</t>
  </si>
  <si>
    <t>Commune</t>
  </si>
  <si>
    <t>Chavannes-sur-Moudon</t>
  </si>
  <si>
    <t>Curtilles</t>
  </si>
  <si>
    <t>Dompierre</t>
  </si>
  <si>
    <t>Hermenches</t>
  </si>
  <si>
    <t>Lovatens</t>
  </si>
  <si>
    <t>Lucens</t>
  </si>
  <si>
    <t>Moudon</t>
  </si>
  <si>
    <t>Ogens</t>
  </si>
  <si>
    <t>Prévonloup</t>
  </si>
  <si>
    <t>Rossenges</t>
  </si>
  <si>
    <t>Syens</t>
  </si>
  <si>
    <t>Villars-le-Comte</t>
  </si>
  <si>
    <t>Vucherens</t>
  </si>
  <si>
    <t>Arnex-sur-Nyon</t>
  </si>
  <si>
    <t>Bassins</t>
  </si>
  <si>
    <t>Chessel</t>
  </si>
  <si>
    <t>Corbeyrier</t>
  </si>
  <si>
    <t>Gryon</t>
  </si>
  <si>
    <t>Lavey-Morcles</t>
  </si>
  <si>
    <t>Leysin</t>
  </si>
  <si>
    <t>Noville</t>
  </si>
  <si>
    <t>Ollon</t>
  </si>
  <si>
    <t>Sainte-Croix</t>
  </si>
  <si>
    <t>Lausanne</t>
  </si>
  <si>
    <t>Le Mont-sur-Lausanne</t>
  </si>
  <si>
    <t>Paudex</t>
  </si>
  <si>
    <t>Prilly</t>
  </si>
  <si>
    <t>Pully</t>
  </si>
  <si>
    <t>Plafonnement du taux</t>
  </si>
  <si>
    <t>Rivaz</t>
  </si>
  <si>
    <t>St-Saphorin (Lavaux)</t>
  </si>
  <si>
    <t>Ormont-Dessous</t>
  </si>
  <si>
    <t>Ormont-Dessus</t>
  </si>
  <si>
    <t>Rennaz</t>
  </si>
  <si>
    <t>Roche</t>
  </si>
  <si>
    <t>Villeneuve</t>
  </si>
  <si>
    <t>Romainmôtier-Envy</t>
  </si>
  <si>
    <t>Sergey</t>
  </si>
  <si>
    <t>Valeyres-sous-Rances</t>
  </si>
  <si>
    <t>Total</t>
  </si>
  <si>
    <t>Ferreyres</t>
  </si>
  <si>
    <t>Gollion</t>
  </si>
  <si>
    <t>Grancy</t>
  </si>
  <si>
    <t>Forel (Lavaux)</t>
  </si>
  <si>
    <t>Lutry</t>
  </si>
  <si>
    <t>Bremblens</t>
  </si>
  <si>
    <t>Buchillon</t>
  </si>
  <si>
    <t>Yvonand</t>
  </si>
  <si>
    <t>Yverdon-les-Bains</t>
  </si>
  <si>
    <t>Clarmont</t>
  </si>
  <si>
    <t>Denens</t>
  </si>
  <si>
    <t>Denges</t>
  </si>
  <si>
    <t>Echandens</t>
  </si>
  <si>
    <t>Echichens</t>
  </si>
  <si>
    <t>Ecublens</t>
  </si>
  <si>
    <t>Etoy</t>
  </si>
  <si>
    <t>Lavigny</t>
  </si>
  <si>
    <t>Lonay</t>
  </si>
  <si>
    <t>Lully</t>
  </si>
  <si>
    <t>Lussy-sur-Morges</t>
  </si>
  <si>
    <t>Morges</t>
  </si>
  <si>
    <t>Préverenges</t>
  </si>
  <si>
    <t>Mont-la-Ville</t>
  </si>
  <si>
    <t>Montricher</t>
  </si>
  <si>
    <t>Orny</t>
  </si>
  <si>
    <t>Penthalaz</t>
  </si>
  <si>
    <t>Penthaz</t>
  </si>
  <si>
    <t>Pompaples</t>
  </si>
  <si>
    <t>La Sarraz</t>
  </si>
  <si>
    <t>Senarclens</t>
  </si>
  <si>
    <t>Sullens</t>
  </si>
  <si>
    <t>Vufflens-la-Ville</t>
  </si>
  <si>
    <t>Assens</t>
  </si>
  <si>
    <t>Bercher</t>
  </si>
  <si>
    <t>Bottens</t>
  </si>
  <si>
    <t>Bretigny-sur-Morrens</t>
  </si>
  <si>
    <t>Cugy</t>
  </si>
  <si>
    <t>Echallens</t>
  </si>
  <si>
    <t>Essertines-sur-Yverdon</t>
  </si>
  <si>
    <t>Etagnières</t>
  </si>
  <si>
    <t>Fey</t>
  </si>
  <si>
    <t>Froideville</t>
  </si>
  <si>
    <t>Morrens</t>
  </si>
  <si>
    <t>Oulens-sous-Echallens</t>
  </si>
  <si>
    <t>Pailly</t>
  </si>
  <si>
    <t>Penthéréaz</t>
  </si>
  <si>
    <t>Poliez-Pittet</t>
  </si>
  <si>
    <t>Rueyres</t>
  </si>
  <si>
    <t>Sous-total</t>
  </si>
  <si>
    <t>Frontaliers</t>
  </si>
  <si>
    <t>Successions et donations</t>
  </si>
  <si>
    <t>Droits de mutation</t>
  </si>
  <si>
    <t>Gains immobiliers</t>
  </si>
  <si>
    <t>Villars-sous-Yens</t>
  </si>
  <si>
    <t>Vufflens-le-Château</t>
  </si>
  <si>
    <t>Vullierens</t>
  </si>
  <si>
    <t>Yens</t>
  </si>
  <si>
    <t>Boulens</t>
  </si>
  <si>
    <t>Bussy-sur-Moudon</t>
  </si>
  <si>
    <t>Le Chenit</t>
  </si>
  <si>
    <t>Le Lieu</t>
  </si>
  <si>
    <t>Chardonne</t>
  </si>
  <si>
    <t>Corseaux</t>
  </si>
  <si>
    <t>Boussens</t>
  </si>
  <si>
    <t>La Chaux (Cossonay)</t>
  </si>
  <si>
    <t>Dépassement forêts</t>
  </si>
  <si>
    <t>Romanel-sur-Lausanne</t>
  </si>
  <si>
    <t>La Praz</t>
  </si>
  <si>
    <t>Premier</t>
  </si>
  <si>
    <t>Rances</t>
  </si>
  <si>
    <t>Begnins</t>
  </si>
  <si>
    <t>Bogis-Bossey</t>
  </si>
  <si>
    <t>Borex</t>
  </si>
  <si>
    <t>Chavannes-de-Bogis</t>
  </si>
  <si>
    <t>Chavannes-des-Bois</t>
  </si>
  <si>
    <t>Chéserex</t>
  </si>
  <si>
    <t>Coinsins</t>
  </si>
  <si>
    <t>Commugny</t>
  </si>
  <si>
    <t>Coppet</t>
  </si>
  <si>
    <t>Crassier</t>
  </si>
  <si>
    <t>Duillier</t>
  </si>
  <si>
    <t>Eysins</t>
  </si>
  <si>
    <t>Founex</t>
  </si>
  <si>
    <t>Genolier</t>
  </si>
  <si>
    <t>Gingins</t>
  </si>
  <si>
    <t>Givrins</t>
  </si>
  <si>
    <t>Gland</t>
  </si>
  <si>
    <t>Grens</t>
  </si>
  <si>
    <t>Mies</t>
  </si>
  <si>
    <t>Cuarnens</t>
  </si>
  <si>
    <t>Daillens</t>
  </si>
  <si>
    <t>Dizy</t>
  </si>
  <si>
    <t>Eclépens</t>
  </si>
  <si>
    <t>Pertes débiteurs</t>
  </si>
  <si>
    <t>Imputation forfaitaire</t>
  </si>
  <si>
    <t>Chavannes-près-Renens</t>
  </si>
  <si>
    <t>Chigny</t>
  </si>
  <si>
    <t>Impôt spécial affecté</t>
  </si>
  <si>
    <t>Impôt personnel</t>
  </si>
  <si>
    <t>Aigle</t>
  </si>
  <si>
    <t>Bex</t>
  </si>
  <si>
    <t>Arnex-sur-Orbe</t>
  </si>
  <si>
    <t>Ballaigues</t>
  </si>
  <si>
    <t>Baulmes</t>
  </si>
  <si>
    <t>Bavois</t>
  </si>
  <si>
    <t>Bofflens</t>
  </si>
  <si>
    <t>Bretonnières</t>
  </si>
  <si>
    <t>Chavornay</t>
  </si>
  <si>
    <t>Les Clées</t>
  </si>
  <si>
    <t>Montagny-près-Yverdon</t>
  </si>
  <si>
    <t>Oppens</t>
  </si>
  <si>
    <t>Orges</t>
  </si>
  <si>
    <t>Ursins</t>
  </si>
  <si>
    <t>Vugelles-La Mothe</t>
  </si>
  <si>
    <t>Corcelles-le-Jorat</t>
  </si>
  <si>
    <t>Maracon</t>
  </si>
  <si>
    <t>Montpreveyres</t>
  </si>
  <si>
    <t>Ropraz</t>
  </si>
  <si>
    <t>Servion</t>
  </si>
  <si>
    <t>Mutrux</t>
  </si>
  <si>
    <t>Novalles</t>
  </si>
  <si>
    <t>Onnens</t>
  </si>
  <si>
    <t>Provence</t>
  </si>
  <si>
    <t>en % de la moyenne</t>
  </si>
  <si>
    <t>Seuil 1</t>
  </si>
  <si>
    <t>Seuil 2</t>
  </si>
  <si>
    <t>Total écrêtage</t>
  </si>
  <si>
    <t>Savigny</t>
  </si>
  <si>
    <t>Chexbres</t>
  </si>
  <si>
    <t>Villars-Epeney</t>
  </si>
  <si>
    <t>Puidoux</t>
  </si>
  <si>
    <t>Dépassement transports</t>
  </si>
  <si>
    <t>Population</t>
  </si>
  <si>
    <t>Bas</t>
  </si>
  <si>
    <t>Seuils de population</t>
  </si>
  <si>
    <t>Haut</t>
  </si>
  <si>
    <t>Montants</t>
  </si>
  <si>
    <t>Romanel-sur-Morges</t>
  </si>
  <si>
    <t>Saint-Prex</t>
  </si>
  <si>
    <t>Saint-Sulpice</t>
  </si>
  <si>
    <t>Tolochenaz</t>
  </si>
  <si>
    <t>Vaux-sur-Morges</t>
  </si>
  <si>
    <t>Villars-Sainte-Croix</t>
  </si>
  <si>
    <t>La Rippe</t>
  </si>
  <si>
    <t>Saint-Cergue</t>
  </si>
  <si>
    <t>Signy-Avenex</t>
  </si>
  <si>
    <t>Tannay</t>
  </si>
  <si>
    <t>Trélex</t>
  </si>
  <si>
    <t>Le Vaud</t>
  </si>
  <si>
    <t>Vich</t>
  </si>
  <si>
    <t>L'Abergement</t>
  </si>
  <si>
    <t>Agiez</t>
  </si>
  <si>
    <t>Péréquation directe</t>
  </si>
  <si>
    <t>Transports publics</t>
  </si>
  <si>
    <t>Transports scolaires</t>
  </si>
  <si>
    <t>Croy</t>
  </si>
  <si>
    <t>Juriens</t>
  </si>
  <si>
    <t>Lignerolle</t>
  </si>
  <si>
    <t>Montcherand</t>
  </si>
  <si>
    <t>Orbe</t>
  </si>
  <si>
    <t>Vallorbe</t>
  </si>
  <si>
    <t>Vaulion</t>
  </si>
  <si>
    <t>Vuiteboeuf</t>
  </si>
  <si>
    <t>Impôts suivant le taux</t>
  </si>
  <si>
    <t>Féchy</t>
  </si>
  <si>
    <t>Gimel</t>
  </si>
  <si>
    <t>Saint-Livres</t>
  </si>
  <si>
    <t>Saint-Oyens</t>
  </si>
  <si>
    <t>Saubraz</t>
  </si>
  <si>
    <t>Avenches</t>
  </si>
  <si>
    <t>Cudrefin</t>
  </si>
  <si>
    <t>Faoug</t>
  </si>
  <si>
    <t>Bettens</t>
  </si>
  <si>
    <t>Bournens</t>
  </si>
  <si>
    <t>Différence à compenser</t>
  </si>
  <si>
    <t xml:space="preserve">Taux actuel </t>
  </si>
  <si>
    <t>Longirod</t>
  </si>
  <si>
    <t>Marchissy</t>
  </si>
  <si>
    <t>Mollens</t>
  </si>
  <si>
    <t>Saint-George</t>
  </si>
  <si>
    <t>Chavannes-le-Veyron</t>
  </si>
  <si>
    <t>Chevilly</t>
  </si>
  <si>
    <t>Cossonay</t>
  </si>
  <si>
    <t>./. Conjoncturelles</t>
  </si>
  <si>
    <t>./. Ecrêtage</t>
  </si>
  <si>
    <t>Seuil max (pts)</t>
  </si>
  <si>
    <t>Impôt à la source</t>
  </si>
  <si>
    <t>Impôt foncier</t>
  </si>
  <si>
    <t>Vulliens</t>
  </si>
  <si>
    <t>Champtauroz</t>
  </si>
  <si>
    <t>Chevroux</t>
  </si>
  <si>
    <t>Belmont-sur-Lausanne</t>
  </si>
  <si>
    <t>Cheseaux-sur-Lausanne</t>
  </si>
  <si>
    <t>Crissier</t>
  </si>
  <si>
    <t>Epalinges</t>
  </si>
  <si>
    <t>Jouxtens-Mézery</t>
  </si>
  <si>
    <t>Mathod</t>
  </si>
  <si>
    <t>Molondin</t>
  </si>
  <si>
    <t>Renens</t>
  </si>
  <si>
    <t>Valeyres-sous-Montagny</t>
  </si>
  <si>
    <t>Valeyres-sous-Ursins</t>
  </si>
  <si>
    <t>Orzens</t>
  </si>
  <si>
    <t>Pomy</t>
  </si>
  <si>
    <t>Rovray</t>
  </si>
  <si>
    <t>Suchy</t>
  </si>
  <si>
    <t>Suscévaz</t>
  </si>
  <si>
    <t>Treycovagnes</t>
  </si>
  <si>
    <t>Aclens</t>
  </si>
  <si>
    <t>Total part communale</t>
  </si>
  <si>
    <t>Points</t>
  </si>
  <si>
    <t>Seuil 3</t>
  </si>
  <si>
    <t>Impôt récupéré après défalcation</t>
  </si>
  <si>
    <t>PPR</t>
  </si>
  <si>
    <t>PPF</t>
  </si>
  <si>
    <t>PMB</t>
  </si>
  <si>
    <t>PMC</t>
  </si>
  <si>
    <t>Bourg-en-Lavaux</t>
  </si>
  <si>
    <t>Tévenon</t>
  </si>
  <si>
    <t>Vully-les-Lacs</t>
  </si>
  <si>
    <t>Goumoëns</t>
  </si>
  <si>
    <t>Montilliez</t>
  </si>
  <si>
    <t>Jorat-Menthue</t>
  </si>
  <si>
    <t>Valbroye</t>
  </si>
  <si>
    <t>Oron</t>
  </si>
  <si>
    <t>Prélèvements conjoncturels</t>
  </si>
  <si>
    <t>Bussigny</t>
  </si>
  <si>
    <t>Arzier-Le Muids</t>
  </si>
  <si>
    <t>Montanaire</t>
  </si>
  <si>
    <t>Indice IPC au 1er janvier 2010</t>
  </si>
  <si>
    <t>Montant à affecter ajusté à l'IPC</t>
  </si>
  <si>
    <t>Population selon FAO</t>
  </si>
  <si>
    <t>CHF</t>
  </si>
  <si>
    <t>Pts</t>
  </si>
  <si>
    <t>pour une capacité dépassant</t>
  </si>
  <si>
    <t>Montant à affecter par habitant</t>
  </si>
  <si>
    <t>Prise en charge maximale</t>
  </si>
  <si>
    <t>Impôts théoriques</t>
  </si>
  <si>
    <t>Ecrêtage</t>
  </si>
  <si>
    <t xml:space="preserve">J) Liste des communes A--&gt;Z </t>
  </si>
  <si>
    <t>Aide</t>
  </si>
  <si>
    <t>Taux</t>
  </si>
  <si>
    <t>Montant à charge de la commune</t>
  </si>
  <si>
    <t>Total à charge des communes</t>
  </si>
  <si>
    <t>Taux IFO</t>
  </si>
  <si>
    <t>P é r é q u a t i o n   d i r e c t e</t>
  </si>
  <si>
    <t>Treytorrens (Payerne)</t>
  </si>
  <si>
    <t>Jorat-Mézières</t>
  </si>
  <si>
    <t>Effort</t>
  </si>
  <si>
    <t>Total net</t>
  </si>
  <si>
    <t>S y n t h è s e   e n   C H F</t>
  </si>
  <si>
    <t>Taux maximum plafonné. Art. 6 DLPIC</t>
  </si>
  <si>
    <t>Seuil 4</t>
  </si>
  <si>
    <t>Seuil 5</t>
  </si>
  <si>
    <t>Point impôt</t>
  </si>
  <si>
    <t>Total de la participation à la cohésion sociale</t>
  </si>
  <si>
    <t xml:space="preserve">Charges de fonctionnement </t>
  </si>
  <si>
    <t xml:space="preserve">Investissements </t>
  </si>
  <si>
    <t>Investissements</t>
  </si>
  <si>
    <t>Transports</t>
  </si>
  <si>
    <t>Forêts</t>
  </si>
  <si>
    <t>Totaux</t>
  </si>
  <si>
    <t>Acomptes*</t>
  </si>
  <si>
    <t>(+ à payer / - à recevoir)</t>
  </si>
  <si>
    <t>Communes</t>
  </si>
  <si>
    <t>Péréquation horizontale</t>
  </si>
  <si>
    <t>Décompte</t>
  </si>
  <si>
    <t>Participation à la cohésion sociale</t>
  </si>
  <si>
    <t>Communes 
LDecTer</t>
  </si>
  <si>
    <t>Hautemorges</t>
  </si>
  <si>
    <t>Table des matières</t>
  </si>
  <si>
    <t>Cette couche alloue des montants à toutes les communes en fonction de leur population. Son but est de tenir compte du fait que certaines charges d’une commune tendent à augmenter avec l’augmentation de sa taille.</t>
  </si>
  <si>
    <t>Les dépenses thématique allouent des montants aux communes qui doivent faire face à des dépenses jugées excessives dans les domaines des transports (routes, transports publics et transports scolaires) et des forêts.</t>
  </si>
  <si>
    <t>Données saisies</t>
  </si>
  <si>
    <t>Plafond de l'effort</t>
  </si>
  <si>
    <t>Plafond de l'aide</t>
  </si>
  <si>
    <t>Plafond du taux</t>
  </si>
  <si>
    <t>Décompte vs acomptes</t>
  </si>
  <si>
    <t>← Précédent</t>
  </si>
  <si>
    <t>Suivant →</t>
  </si>
  <si>
    <t>Paramétrage du système</t>
  </si>
  <si>
    <t>Période de calcul</t>
  </si>
  <si>
    <t>Facture policière</t>
  </si>
  <si>
    <t>Valeur du point d'impôt péréquatif (VPI)</t>
  </si>
  <si>
    <t>Paramètrage de la feuille de calcul et références aux bases légales.</t>
  </si>
  <si>
    <t>Valeur du point d'impôt péréquatif</t>
  </si>
  <si>
    <t>Participation à charge des communes</t>
  </si>
  <si>
    <t>P a r t i c i p a t i o n   à   l a    c o h é s i o n    s o c i a l e</t>
  </si>
  <si>
    <t>T o t a l   p é r é q u a t i o n    e t    f a c t u r e s    c a n t o n a l e s</t>
  </si>
  <si>
    <t>Impôt à la
 source</t>
  </si>
  <si>
    <t>Compensation RFFA</t>
  </si>
  <si>
    <t>Impôt spécial
 affecté</t>
  </si>
  <si>
    <t>Impôt foncier
normalisé</t>
  </si>
  <si>
    <t>Impôt des frontaliers</t>
  </si>
  <si>
    <t>Montant de la PCS à répartir</t>
  </si>
  <si>
    <t>À répartir en points d'impôt</t>
  </si>
  <si>
    <t>Calcul de la capacité fiscale relative</t>
  </si>
  <si>
    <t>% du taux moyen</t>
  </si>
  <si>
    <t>Participation à la cohésion sociale (PCS)</t>
  </si>
  <si>
    <t>Prélèvement sur les impôts conjoncturels</t>
  </si>
  <si>
    <t>Synthèse</t>
  </si>
  <si>
    <t>Plafond
forêts</t>
  </si>
  <si>
    <t>Total
forêts</t>
  </si>
  <si>
    <t>Total
transports</t>
  </si>
  <si>
    <t>Plafonds</t>
  </si>
  <si>
    <t>Plafond en points</t>
  </si>
  <si>
    <t>Alimentation péréquation directe</t>
  </si>
  <si>
    <t>Effort péréquatif net</t>
  </si>
  <si>
    <t>Taux après déduction de l'ancien effort</t>
  </si>
  <si>
    <t>Restitution en CHF</t>
  </si>
  <si>
    <t>Total routes et infrastructures</t>
  </si>
  <si>
    <t>Avec police communale</t>
  </si>
  <si>
    <t>Communes avec police</t>
  </si>
  <si>
    <t>Cette couche alloue des montants aux communes avec une valeur du point d’impôt péréquatif par habitant inférieure à la moyenne. Elle cible de manière directe les disparités de capacité financière entre les communes.</t>
  </si>
  <si>
    <t xml:space="preserve"> Extraction synthétique des montants à recevoir ou à payer pour une commune au choix.</t>
  </si>
  <si>
    <t>Calcul de la valeur du point d'impôt péréquatif selon les dispositions légales en vigueur.</t>
  </si>
  <si>
    <t>Acomptes/décompte et année</t>
  </si>
  <si>
    <t>Impôt sur le revenu</t>
  </si>
  <si>
    <t>Impôt sur la fortune</t>
  </si>
  <si>
    <t>Impôt sur le bénéfice</t>
  </si>
  <si>
    <t>Impôt sur le capital</t>
  </si>
  <si>
    <t>Impôt sur les immeubles des sociétés</t>
  </si>
  <si>
    <t>Prélèvement sur les impôts conjoncturels (art. 3 LPIC)</t>
  </si>
  <si>
    <t>Droits de mutation, gains immobiliers, successions et donations</t>
  </si>
  <si>
    <t>Pourcentage prélevé</t>
  </si>
  <si>
    <t>Ecrêtage (art. 4 LPIC)</t>
  </si>
  <si>
    <t>Couche population (art. 8 LPIC et art. 2 DLPIC)</t>
  </si>
  <si>
    <t>Seuil de population (habitants)</t>
  </si>
  <si>
    <t>Couche solidarité (art. 8 LPIC et art. 3 DLPIC)</t>
  </si>
  <si>
    <t>Taux de compensation pour les communes à faible capacité financière</t>
  </si>
  <si>
    <t>Gestion du fond (art. 8 DLPIC)</t>
  </si>
  <si>
    <t>Montants affectés aux plafonnements et gestion du fond</t>
  </si>
  <si>
    <t>Dépenses thématiques (art. 8 LPIC et art. 4 DLPIC)</t>
  </si>
  <si>
    <t>Entretien des forêts</t>
  </si>
  <si>
    <t>Transports publics, transports routiers et transports scolaires</t>
  </si>
  <si>
    <t>Total des dépassements</t>
  </si>
  <si>
    <t>Compensation théorique</t>
  </si>
  <si>
    <t>Plafond global (art. 4 al. 2)</t>
  </si>
  <si>
    <t>Aide péréquatif maximal en points d'impôt (art. 5 DLPIC)</t>
  </si>
  <si>
    <t>Effort péréquatif maximal en points d'impôt (art. 9d DLPIC)</t>
  </si>
  <si>
    <t>Paramètres des plafonds</t>
  </si>
  <si>
    <t>Total plafonds</t>
  </si>
  <si>
    <t>Financement</t>
  </si>
  <si>
    <t>Indexation du taux maximum</t>
  </si>
  <si>
    <t>Taux plafonné de l'année précédente</t>
  </si>
  <si>
    <t>Valeur du point (année précédente)</t>
  </si>
  <si>
    <t>PCS (année précédente)</t>
  </si>
  <si>
    <t>Montant de la facture 2013</t>
  </si>
  <si>
    <t>Augmentation forfaitaire annuelle</t>
  </si>
  <si>
    <t>Année de la facture policière</t>
  </si>
  <si>
    <t>Budget/comptes et année pour la PCS</t>
  </si>
  <si>
    <t>Date de la population</t>
  </si>
  <si>
    <t>Année des données de référence (rendements, taux, DT, etc.)</t>
  </si>
  <si>
    <t>Acomptes T-1</t>
  </si>
  <si>
    <t>Table des
matières</t>
  </si>
  <si>
    <t>Solde en points d'impôt</t>
  </si>
  <si>
    <t>Valeur du point par habitant</t>
  </si>
  <si>
    <t>Compensation de base</t>
  </si>
  <si>
    <t>Total à financer (alimentation)</t>
  </si>
  <si>
    <t>Différence = 0</t>
  </si>
  <si>
    <t>Données concernant toutes les communes saisies pour être utilisées dans les calculs du système de péréquation.</t>
  </si>
  <si>
    <t>Déduction complémentaire au montant de la PCS selon art. 17b al. 3 LOF</t>
  </si>
  <si>
    <t>à ajouter</t>
  </si>
  <si>
    <t>à déduire</t>
  </si>
  <si>
    <t>Effort  péréquatif net avec plafonds</t>
  </si>
  <si>
    <t>Effort péréquatif net sans dép. thém. et avec plafonds</t>
  </si>
  <si>
    <t>Répartition par habitant de la facture policière</t>
  </si>
  <si>
    <t>Valeur du
point d'impôt péréquatif</t>
  </si>
  <si>
    <t>Valeur du point d'impôt péréquatif par habitant</t>
  </si>
  <si>
    <t>Financement du solde en points</t>
  </si>
  <si>
    <t>Alimentation de la péréquation directe</t>
  </si>
  <si>
    <t>Données -&gt; Analyse de scenario -&gt; Valeur cible. Définir C49, cibler 0, modifier B49.</t>
  </si>
  <si>
    <t>Compensation</t>
  </si>
  <si>
    <t>Compensation pondérée</t>
  </si>
  <si>
    <t>Compensation population</t>
  </si>
  <si>
    <t>Compensation solidarité</t>
  </si>
  <si>
    <t>Compensation dépenses thématiques</t>
  </si>
  <si>
    <t>Montants à financer</t>
  </si>
  <si>
    <t>Couches péréquatives</t>
  </si>
  <si>
    <t>Compensation plafonds</t>
  </si>
  <si>
    <t>Effet net de la péréquation directe</t>
  </si>
  <si>
    <t>Compensation transports</t>
  </si>
  <si>
    <t>Compensation forêts</t>
  </si>
  <si>
    <t>Total des compensations</t>
  </si>
  <si>
    <t>Total du financement</t>
  </si>
  <si>
    <t>Forfait pour la gestion du système</t>
  </si>
  <si>
    <t>Taux projeté</t>
  </si>
  <si>
    <t>Impôts sur le revenu et la fortune</t>
  </si>
  <si>
    <t>Impôts sur le bénéfice et le capital, y compris compensation RFFA</t>
  </si>
  <si>
    <t>Prise en charge</t>
  </si>
  <si>
    <t>Répartition solde après prélèvements conjoncturels et écrêtage</t>
  </si>
  <si>
    <t>Facturation aux communes délégatrices</t>
  </si>
  <si>
    <t>F a c t u r e   p o l i c i è r e</t>
  </si>
  <si>
    <t>Répartition du solde de la facture</t>
  </si>
  <si>
    <t>Total de la facture policière</t>
  </si>
  <si>
    <t>Recherche par commune</t>
  </si>
  <si>
    <t>Total net de la péréquation directe</t>
  </si>
  <si>
    <t>Facture
policière</t>
  </si>
  <si>
    <t>Solde</t>
  </si>
  <si>
    <t>Droits de mutation, gains immobiliers et successions</t>
  </si>
  <si>
    <t>Modifications de taxations antérieures</t>
  </si>
  <si>
    <t>Impôt sur la dépense</t>
  </si>
  <si>
    <t>PPR + PPF</t>
  </si>
  <si>
    <t>PMB + PMC</t>
  </si>
  <si>
    <t>PCS sans prélèvements conjoncturels</t>
  </si>
  <si>
    <t>Effort net sans dépenses thématiques et avec prélévements conjoncturels</t>
  </si>
  <si>
    <r>
      <t xml:space="preserve">Financement reçu pour les nouvelles tâches
</t>
    </r>
    <r>
      <rPr>
        <i/>
        <sz val="9"/>
        <color theme="0"/>
        <rFont val="Calibri"/>
        <family val="2"/>
        <scheme val="minor"/>
      </rPr>
      <t>(équivalent de 2 points d'impôt communaux)</t>
    </r>
  </si>
  <si>
    <r>
      <t xml:space="preserve">Facturation aux communes délégatrices 
</t>
    </r>
    <r>
      <rPr>
        <i/>
        <sz val="9"/>
        <color theme="0"/>
        <rFont val="Calibri"/>
        <family val="2"/>
        <scheme val="minor"/>
      </rPr>
      <t>(au maximum l'équivalent de 2 points d'impôt communaux)</t>
    </r>
  </si>
  <si>
    <t>Routes et infrastructures</t>
  </si>
  <si>
    <t>PCS - Détail écrêtage</t>
  </si>
  <si>
    <t>Détail écrêtage</t>
  </si>
  <si>
    <t>La participation à la cohésion sociale (PCS) est une facture cantonale faisant participer les communes au financement des dépenses engagées par le canton en faveur des couches les plus fragiles de la population. Elle est financée en trois étapes (prélèvements conjoncturels, écrêtage et répartition du solde en fonction de la valeur du point d'impôt).</t>
  </si>
  <si>
    <t>La méthode de calcul de l'écrêtage étant particulièrement élaborée, elle fait l'objet d'un onglet de calcul à part.</t>
  </si>
  <si>
    <t>Le fonds de péréquation intercommunal comprend trois couches de subventionnement et trois plafonds. Les montants versés sont financés par les communes proportionnellement à la valeur des leurs points d'impôt péréquatifs.</t>
  </si>
  <si>
    <t>Dépenses thématiques (DT)</t>
  </si>
  <si>
    <t>Solidarité</t>
  </si>
  <si>
    <t>Répartition entre les communes du coût des missions générales de police (MGP) accomplies par la police cantonale.</t>
  </si>
  <si>
    <t>Synthèse des transferts générés par chaque composante du système de péréquation.</t>
  </si>
  <si>
    <t>Compensation 
dépenses thématiques</t>
  </si>
  <si>
    <t>Fonds de péréquation intercommunal
(ou péréquation directe)</t>
  </si>
  <si>
    <t>Paramètres</t>
  </si>
  <si>
    <t>Différences entre le décompte et les acomptes déjà versés (pertinent uniquement dans le fichier avec le décompte).</t>
  </si>
  <si>
    <t>Plafonds (effort, aide et taux)</t>
  </si>
  <si>
    <t>Montant nécessaire pour financer le total des plafonnements</t>
  </si>
  <si>
    <t>Crans</t>
  </si>
  <si>
    <t>Régimes repris intégralement par le Canton dès 2022 selon art. 17b al. 2 let a LOF</t>
  </si>
  <si>
    <t>Montant brut de la PCS avant convention et déduction complémentaire</t>
  </si>
  <si>
    <t>Coût des agences d'assurances sociales reprise par l'Etat (hors PCS)</t>
  </si>
  <si>
    <t>Montant net de la PCS à la charge des communes communiqué par DSAS
Montant tenant compte de  :</t>
  </si>
  <si>
    <t>Montant prélevé</t>
  </si>
  <si>
    <t>Retenue en CHF</t>
  </si>
  <si>
    <t>Acomptes PCS</t>
  </si>
  <si>
    <t>Décompte PCS</t>
  </si>
  <si>
    <t>D-A PCS</t>
  </si>
  <si>
    <t>Acomptes PH</t>
  </si>
  <si>
    <t>Décompte PH</t>
  </si>
  <si>
    <t>D-A PH</t>
  </si>
  <si>
    <t>Acomptes FP</t>
  </si>
  <si>
    <t>Décompte FP</t>
  </si>
  <si>
    <t>D-A FP</t>
  </si>
  <si>
    <t>Péréquation directe - Dépenses thématiques</t>
  </si>
  <si>
    <t>Péréquation directe - Couche solidarité</t>
  </si>
  <si>
    <t>Péréquation directe - Couche population</t>
  </si>
  <si>
    <t>Indice IPC au 30 juin 2023</t>
  </si>
  <si>
    <t>Solde à déduire de la PCS selon convention</t>
  </si>
  <si>
    <r>
      <rPr>
        <b/>
        <sz val="8"/>
        <rFont val="Calibri"/>
        <family val="2"/>
        <scheme val="minor"/>
      </rPr>
      <t xml:space="preserve">Suivi des modifications législatives depuis 2017
</t>
    </r>
    <r>
      <rPr>
        <sz val="8"/>
        <rFont val="Calibri"/>
        <family val="2"/>
        <scheme val="minor"/>
      </rPr>
      <t xml:space="preserve">
</t>
    </r>
    <r>
      <rPr>
        <b/>
        <sz val="8"/>
        <rFont val="Calibri"/>
        <family val="2"/>
        <scheme val="minor"/>
      </rPr>
      <t>2017</t>
    </r>
    <r>
      <rPr>
        <sz val="8"/>
        <rFont val="Calibri"/>
        <family val="2"/>
        <scheme val="minor"/>
      </rPr>
      <t xml:space="preserve">: point d'impôt écrêté à 65% et plafond de l'aide augmenté de 5 à 6,5 points.
</t>
    </r>
    <r>
      <rPr>
        <b/>
        <sz val="8"/>
        <rFont val="Calibri"/>
        <family val="2"/>
        <scheme val="minor"/>
      </rPr>
      <t>2018</t>
    </r>
    <r>
      <rPr>
        <sz val="8"/>
        <rFont val="Calibri"/>
        <family val="2"/>
        <scheme val="minor"/>
      </rPr>
      <t xml:space="preserve">: point d'impôt écrêté à 50% et plafond de l'effort provisoirement fixé à 45 points (2018-2019)
</t>
    </r>
    <r>
      <rPr>
        <b/>
        <sz val="8"/>
        <rFont val="Calibri"/>
        <family val="2"/>
        <scheme val="minor"/>
      </rPr>
      <t>Dès 2019</t>
    </r>
    <r>
      <rPr>
        <sz val="8"/>
        <rFont val="Calibri"/>
        <family val="2"/>
        <scheme val="minor"/>
      </rPr>
      <t xml:space="preserve">: plafond de l'aide augmenté à 8 points, abandon du point d'impôt écrêté, nouveau palier d'écrêtage entre 100% et 120%, diminution de 6 points pour les autres paliers d'écrêtage, augmentation à CHF 125.- de la première tranche de la couche population, augmentation de 4 à 4,5 points du plafond global pour les dépenses thématiques.
</t>
    </r>
    <r>
      <rPr>
        <b/>
        <sz val="8"/>
        <rFont val="Calibri"/>
        <family val="2"/>
        <scheme val="minor"/>
      </rPr>
      <t xml:space="preserve">Dès 2020 </t>
    </r>
    <r>
      <rPr>
        <sz val="8"/>
        <rFont val="Calibri"/>
        <family val="2"/>
        <scheme val="minor"/>
      </rPr>
      <t xml:space="preserve">: compensation RFFA répartie en fonction du rendement des impôts PM. Exclusion du montant du prélèvement sur les impôts conjoncturels du calcul de l'effort péréquatif. Plafond de l'effort provisoirement fixé à 48 points (2020-2021).
</t>
    </r>
    <r>
      <rPr>
        <b/>
        <sz val="8"/>
        <rFont val="Calibri"/>
        <family val="2"/>
        <scheme val="minor"/>
      </rPr>
      <t>2021</t>
    </r>
    <r>
      <rPr>
        <sz val="8"/>
        <rFont val="Calibri"/>
        <family val="2"/>
        <scheme val="minor"/>
      </rPr>
      <t xml:space="preserve">: déduction forfaitaire de CHF 25 millions au montant de la PCS (art. 19a LOF)
</t>
    </r>
    <r>
      <rPr>
        <b/>
        <sz val="8"/>
        <rFont val="Calibri"/>
        <family val="2"/>
        <scheme val="minor"/>
      </rPr>
      <t>Dès 2022</t>
    </r>
    <r>
      <rPr>
        <sz val="8"/>
        <rFont val="Calibri"/>
        <family val="2"/>
        <scheme val="minor"/>
      </rPr>
      <t xml:space="preserve">: reconduction du plafond de l'effort provisoire à 48 points (2022-2023), reprise par l'Etat de certaines dépenses sociales incluses jusqu'ici dans la PCS et application de la déduction forfaitaire complémentaire à la PCS prévue par l'art. 19a LOF.
</t>
    </r>
    <r>
      <rPr>
        <b/>
        <sz val="8"/>
        <rFont val="Calibri"/>
        <family val="2"/>
        <scheme val="minor"/>
      </rPr>
      <t xml:space="preserve">Dès 2024 : </t>
    </r>
    <r>
      <rPr>
        <sz val="8"/>
        <rFont val="Calibri"/>
        <family val="2"/>
        <scheme val="minor"/>
      </rPr>
      <t>augmentation du plafond de l'aide à 10 points + maintent du plafond de l'effort à 48 points</t>
    </r>
  </si>
  <si>
    <t>Résumé par commune</t>
  </si>
  <si>
    <t xml:space="preserve">  I m p ô t s   c o m m u n a u x</t>
  </si>
  <si>
    <t>Remarques/corrections</t>
  </si>
  <si>
    <t>Impôt sur la fortune PP</t>
  </si>
  <si>
    <t>Impôt personnel fixe</t>
  </si>
  <si>
    <t>Impôt sur le bénéfice PM</t>
  </si>
  <si>
    <t>Impôt sur le capital PM</t>
  </si>
  <si>
    <t>Impôt sur la dépense (anc. Spécial étranger)</t>
  </si>
  <si>
    <t>Impôt complémentaire sur immeubles PM</t>
  </si>
  <si>
    <t>Impôt foncier (non normalisé)</t>
  </si>
  <si>
    <t>Sous-total impôts</t>
  </si>
  <si>
    <r>
      <t>4411</t>
    </r>
    <r>
      <rPr>
        <sz val="10"/>
        <color indexed="9"/>
        <rFont val="Calibri"/>
        <family val="2"/>
        <scheme val="minor"/>
      </rPr>
      <t xml:space="preserve"> (a)</t>
    </r>
  </si>
  <si>
    <t>Impôt sur les frontaliers</t>
  </si>
  <si>
    <t>Impôt sur les successions et donations</t>
  </si>
  <si>
    <t>Impôt sur les gains immobiliers</t>
  </si>
  <si>
    <t>Participation et remboursement du canton</t>
  </si>
  <si>
    <t>Total des impôts</t>
  </si>
  <si>
    <t>3301/319</t>
  </si>
  <si>
    <t>Pertes sur débiteurs (défalcations/remises)</t>
  </si>
  <si>
    <t xml:space="preserve">  A u t r e s   i n f o r m a t i o n s</t>
  </si>
  <si>
    <t>Signatures</t>
  </si>
  <si>
    <t>Décompte 2023</t>
  </si>
  <si>
    <t>Comptes 2023</t>
  </si>
  <si>
    <r>
      <t xml:space="preserve">Total accord
d'août 2020
</t>
    </r>
    <r>
      <rPr>
        <u/>
        <sz val="9"/>
        <rFont val="Calibri"/>
        <family val="2"/>
        <scheme val="minor"/>
      </rPr>
      <t xml:space="preserve">CHF 70 mios </t>
    </r>
  </si>
  <si>
    <t>Blonay - Saint-Légier</t>
  </si>
  <si>
    <t>Restitution en CHF (après examen du cas)</t>
  </si>
  <si>
    <t>OK</t>
  </si>
  <si>
    <t>Restitution en CHF (calculée)</t>
  </si>
  <si>
    <r>
      <t xml:space="preserve">
</t>
    </r>
    <r>
      <rPr>
        <sz val="8"/>
        <rFont val="Calibri"/>
        <family val="2"/>
        <scheme val="minor"/>
      </rPr>
      <t>*montants selon le fichier des acomptes initiaux adoptés par la COPAR. Ne tient pas compte des arrangements survenus en cours d'année. Les factures, respectivement les remboursements, seront gérés par les services concernés, à savoir :
- pour la participation à la cohésion sociale, par le Département de la santé et de l'action sociale (DSAS) ;
- pour la péréquation directe, par la Direction générale des affaires institutionnelles et des communes (DGAIC) ;
- pour la facture policière, par la police cantonale (PolCant).</t>
    </r>
  </si>
  <si>
    <t>Prénoms / Noms</t>
  </si>
  <si>
    <t>La Syndique / Le Syndic</t>
  </si>
  <si>
    <t>La Secrétaire Municipale / Le Secrétaire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</si>
</sst>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0.00\ _C_H_F_-;\-* #,##0.00\ _C_H_F_-;_-* &quot;-&quot;??\ _C_H_F_-;_-@_-"/>
    <numFmt numFmtId="165" formatCode="_ * #,##0.00_ ;_ * \-#,##0.00_ ;_ * &quot;-&quot;??_ ;_ @_ "/>
    <numFmt numFmtId="166" formatCode="#\ ###\ ###\ ##0"/>
    <numFmt numFmtId="167" formatCode="#,##0.0"/>
    <numFmt numFmtId="168" formatCode="0.0%"/>
    <numFmt numFmtId="169" formatCode="#\ ###\ ##0"/>
    <numFmt numFmtId="170" formatCode="0.000"/>
    <numFmt numFmtId="171" formatCode="#,##0.000"/>
    <numFmt numFmtId="172" formatCode="#,##0;\-#,##0;"/>
    <numFmt numFmtId="173" formatCode="#,##0.000000"/>
    <numFmt numFmtId="174" formatCode="0.0000"/>
    <numFmt numFmtId="175" formatCode="_-* #,##0_-;\-* #,##0_-;_-* &quot;-&quot;??_-;_-@_-"/>
    <numFmt numFmtId="176" formatCode="_ * #,##0_ ;_ * \-#,##0_ ;_ * &quot;-&quot;??_ ;_ @_ "/>
    <numFmt numFmtId="177" formatCode="_-* #,##0.0_-;\-* #,##0.0_-;_-* &quot;-&quot;??_-;_-@_-"/>
    <numFmt numFmtId="178" formatCode="_ * #,##0.000_ ;_ * \-#,##0.000_ ;_ * &quot;-&quot;??_ ;_ @_ "/>
    <numFmt numFmtId="179" formatCode="0_ ;\-0\ "/>
    <numFmt numFmtId="180" formatCode="#,##0_ ;\-#,##0\ "/>
    <numFmt numFmtId="181" formatCode="#,##0.00_ ;\-#,##0.00\ "/>
    <numFmt numFmtId="182" formatCode="_-* #,##0.000_-;\-* #,##0.000_-;_-* &quot;-&quot;??_-;_-@_-"/>
    <numFmt numFmtId="183" formatCode="0.0"/>
    <numFmt numFmtId="184" formatCode="_-* #,##0.00000_-;\-* #,##0.00000_-;_-* &quot;-&quot;??_-;_-@_-"/>
    <numFmt numFmtId="185" formatCode="_-* #,##0.00000000_-;\-* #,##0.00000000_-;_-* &quot;-&quot;??_-;_-@_-"/>
    <numFmt numFmtId="186" formatCode="_ * #,##0\ ;_ * \-#,##0\ ;_ * &quot;-&quot;??_ ;_ @_ "/>
    <numFmt numFmtId="187" formatCode="[$-F800]dddd\,\ mmmm\ dd\,\ yyyy"/>
    <numFmt numFmtId="188" formatCode="[$-100C]d\ mmm\ yy;@"/>
  </numFmts>
  <fonts count="91"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10"/>
      <name val="Arial Narrow"/>
      <family val="2"/>
    </font>
    <font>
      <sz val="10"/>
      <name val="Arial"/>
      <family val="2"/>
    </font>
    <font>
      <sz val="8"/>
      <name val="Verdana"/>
      <family val="2"/>
    </font>
    <font>
      <sz val="10"/>
      <color indexed="8"/>
      <name val="Arial"/>
      <family val="2"/>
    </font>
    <font>
      <sz val="10"/>
      <name val="Times New Roman"/>
      <family val="1"/>
    </font>
    <font>
      <sz val="14"/>
      <name val="Times New Roman"/>
      <family val="1"/>
    </font>
    <font>
      <sz val="10"/>
      <name val="MS Sans Serif"/>
      <family val="2"/>
    </font>
    <font>
      <sz val="11"/>
      <color theme="1"/>
      <name val="Calibri"/>
      <family val="2"/>
      <scheme val="minor"/>
    </font>
    <font>
      <sz val="11"/>
      <color theme="0"/>
      <name val="Calibri"/>
      <family val="2"/>
      <scheme val="minor"/>
    </font>
    <font>
      <sz val="11"/>
      <name val="Calibri"/>
      <family val="2"/>
      <scheme val="minor"/>
    </font>
    <font>
      <i/>
      <sz val="11"/>
      <name val="Calibri"/>
      <family val="2"/>
      <scheme val="minor"/>
    </font>
    <font>
      <sz val="16"/>
      <name val="Calibri"/>
      <family val="2"/>
      <scheme val="minor"/>
    </font>
    <font>
      <b/>
      <sz val="11"/>
      <name val="Calibri"/>
      <family val="2"/>
      <scheme val="minor"/>
    </font>
    <font>
      <sz val="11"/>
      <color indexed="10"/>
      <name val="Calibri"/>
      <family val="2"/>
      <scheme val="minor"/>
    </font>
    <font>
      <sz val="11"/>
      <color indexed="8"/>
      <name val="Calibri"/>
      <family val="2"/>
      <scheme val="minor"/>
    </font>
    <font>
      <sz val="20"/>
      <name val="Calibri"/>
      <family val="2"/>
      <scheme val="minor"/>
    </font>
    <font>
      <sz val="20"/>
      <color theme="0"/>
      <name val="Calibri"/>
      <family val="2"/>
      <scheme val="minor"/>
    </font>
    <font>
      <sz val="10"/>
      <name val="Arial"/>
      <family val="2"/>
    </font>
    <font>
      <sz val="10"/>
      <name val="Calibri"/>
      <family val="2"/>
      <scheme val="minor"/>
    </font>
    <font>
      <sz val="12"/>
      <color theme="0"/>
      <name val="Trebuchet MS"/>
      <family val="2"/>
    </font>
    <font>
      <b/>
      <sz val="10"/>
      <name val="Calibri"/>
      <family val="2"/>
      <scheme val="minor"/>
    </font>
    <font>
      <sz val="14"/>
      <name val="Trebuchet MS"/>
      <family val="2"/>
    </font>
    <font>
      <sz val="11"/>
      <color theme="0"/>
      <name val="Calibri"/>
      <family val="2"/>
    </font>
    <font>
      <sz val="11"/>
      <name val="Calibri"/>
      <family val="2"/>
    </font>
    <font>
      <sz val="8"/>
      <name val="Helvetica"/>
    </font>
    <font>
      <sz val="10"/>
      <name val="Arial"/>
      <family val="2"/>
    </font>
    <font>
      <sz val="10"/>
      <color indexed="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9"/>
      <name val="Calibri"/>
      <family val="2"/>
      <scheme val="minor"/>
    </font>
    <font>
      <b/>
      <sz val="9"/>
      <color theme="1"/>
      <name val="Calibri"/>
      <family val="2"/>
      <scheme val="minor"/>
    </font>
    <font>
      <b/>
      <sz val="9"/>
      <color indexed="81"/>
      <name val="Tahoma"/>
      <family val="2"/>
    </font>
    <font>
      <sz val="8"/>
      <name val="Calibri"/>
      <family val="2"/>
      <scheme val="minor"/>
    </font>
    <font>
      <sz val="9"/>
      <name val="Calibri"/>
      <family val="2"/>
      <scheme val="minor"/>
    </font>
    <font>
      <u/>
      <sz val="10"/>
      <color theme="10"/>
      <name val="Verdana"/>
      <family val="2"/>
    </font>
    <font>
      <b/>
      <sz val="10"/>
      <name val="Verdana"/>
      <family val="2"/>
    </font>
    <font>
      <b/>
      <sz val="16"/>
      <name val="Verdana"/>
      <family val="2"/>
    </font>
    <font>
      <b/>
      <sz val="20"/>
      <name val="Calibri"/>
      <family val="2"/>
      <scheme val="minor"/>
    </font>
    <font>
      <sz val="11"/>
      <color rgb="FF0070C0"/>
      <name val="Calibri"/>
      <family val="2"/>
      <scheme val="minor"/>
    </font>
    <font>
      <sz val="12"/>
      <name val="Calibri"/>
      <family val="2"/>
      <scheme val="minor"/>
    </font>
    <font>
      <sz val="9"/>
      <color indexed="81"/>
      <name val="Tahoma"/>
      <family val="2"/>
    </font>
    <font>
      <i/>
      <sz val="9"/>
      <name val="Calibri"/>
      <family val="2"/>
      <scheme val="minor"/>
    </font>
    <font>
      <u/>
      <sz val="9"/>
      <color indexed="81"/>
      <name val="Tahoma"/>
      <family val="2"/>
    </font>
    <font>
      <i/>
      <sz val="9"/>
      <color theme="0"/>
      <name val="Calibri"/>
      <family val="2"/>
      <scheme val="minor"/>
    </font>
    <font>
      <b/>
      <sz val="8"/>
      <name val="Calibri"/>
      <family val="2"/>
      <scheme val="minor"/>
    </font>
    <font>
      <u/>
      <sz val="8"/>
      <color theme="10"/>
      <name val="Verdana"/>
      <family val="2"/>
    </font>
    <font>
      <u/>
      <sz val="9"/>
      <name val="Calibri"/>
      <family val="2"/>
      <scheme val="minor"/>
    </font>
    <font>
      <sz val="11"/>
      <color rgb="FFFF0000"/>
      <name val="Calibri"/>
      <family val="2"/>
    </font>
    <font>
      <b/>
      <sz val="11"/>
      <color theme="0"/>
      <name val="Calibri"/>
      <family val="2"/>
      <scheme val="minor"/>
    </font>
    <font>
      <sz val="24"/>
      <name val="Calibri"/>
      <family val="2"/>
      <scheme val="minor"/>
    </font>
    <font>
      <b/>
      <sz val="18"/>
      <name val="Calibri"/>
      <family val="2"/>
      <scheme val="minor"/>
    </font>
    <font>
      <sz val="18"/>
      <name val="Calibri"/>
      <family val="2"/>
      <scheme val="minor"/>
    </font>
    <font>
      <sz val="10"/>
      <color indexed="8"/>
      <name val="Calibri"/>
      <family val="2"/>
      <scheme val="minor"/>
    </font>
    <font>
      <b/>
      <sz val="10"/>
      <color indexed="8"/>
      <name val="Calibri"/>
      <family val="2"/>
      <scheme val="minor"/>
    </font>
    <font>
      <sz val="10"/>
      <color theme="0"/>
      <name val="Calibri"/>
      <family val="2"/>
      <scheme val="minor"/>
    </font>
    <font>
      <sz val="10"/>
      <color indexed="9"/>
      <name val="Calibri"/>
      <family val="2"/>
      <scheme val="minor"/>
    </font>
    <font>
      <i/>
      <sz val="8"/>
      <name val="Calibri"/>
      <family val="2"/>
      <scheme val="minor"/>
    </font>
  </fonts>
  <fills count="4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0070C0"/>
        <bgColor indexed="64"/>
      </patternFill>
    </fill>
    <fill>
      <patternFill patternType="solid">
        <fgColor rgb="FFC00000"/>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9" tint="0.59999389629810485"/>
        <bgColor indexed="64"/>
      </patternFill>
    </fill>
  </fills>
  <borders count="35">
    <border>
      <left/>
      <right/>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indexed="8"/>
      </top>
      <bottom/>
      <diagonal/>
    </border>
    <border>
      <left style="hair">
        <color indexed="8"/>
      </left>
      <right style="hair">
        <color indexed="8"/>
      </right>
      <top style="hair">
        <color indexed="8"/>
      </top>
      <bottom style="hair">
        <color indexed="8"/>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bottom style="thin">
        <color indexed="64"/>
      </bottom>
      <diagonal/>
    </border>
    <border>
      <left/>
      <right style="thin">
        <color theme="0"/>
      </right>
      <top/>
      <bottom style="thin">
        <color indexed="64"/>
      </bottom>
      <diagonal/>
    </border>
    <border>
      <left style="thin">
        <color rgb="FFC00000"/>
      </left>
      <right style="thin">
        <color rgb="FFC00000"/>
      </right>
      <top style="thin">
        <color rgb="FFC00000"/>
      </top>
      <bottom/>
      <diagonal/>
    </border>
    <border>
      <left/>
      <right/>
      <top/>
      <bottom style="hair">
        <color indexed="64"/>
      </bottom>
      <diagonal/>
    </border>
  </borders>
  <cellStyleXfs count="670">
    <xf numFmtId="0" fontId="0" fillId="0" borderId="0"/>
    <xf numFmtId="0" fontId="23" fillId="0" borderId="1"/>
    <xf numFmtId="0" fontId="24" fillId="0" borderId="0"/>
    <xf numFmtId="0" fontId="23" fillId="0" borderId="2">
      <alignment vertical="top"/>
    </xf>
    <xf numFmtId="43" fontId="18" fillId="0" borderId="0" applyFont="0" applyFill="0" applyBorder="0" applyAlignment="0" applyProtection="0"/>
    <xf numFmtId="165" fontId="20" fillId="0" borderId="0" applyFont="0" applyFill="0" applyBorder="0" applyAlignment="0" applyProtection="0"/>
    <xf numFmtId="165" fontId="26" fillId="0" borderId="0" applyFont="0" applyFill="0" applyBorder="0" applyAlignment="0" applyProtection="0"/>
    <xf numFmtId="0" fontId="25" fillId="0" borderId="0"/>
    <xf numFmtId="0" fontId="22" fillId="0" borderId="0"/>
    <xf numFmtId="0" fontId="20" fillId="0" borderId="0"/>
    <xf numFmtId="0" fontId="26" fillId="0" borderId="0"/>
    <xf numFmtId="0" fontId="19" fillId="0" borderId="0"/>
    <xf numFmtId="9" fontId="18" fillId="0" borderId="0" applyFont="0" applyFill="0" applyBorder="0" applyAlignment="0" applyProtection="0"/>
    <xf numFmtId="9" fontId="20" fillId="0" borderId="0" applyFont="0" applyFill="0" applyBorder="0" applyAlignment="0" applyProtection="0"/>
    <xf numFmtId="165" fontId="36" fillId="0" borderId="0" applyFont="0" applyFill="0" applyBorder="0" applyAlignment="0" applyProtection="0"/>
    <xf numFmtId="0" fontId="36" fillId="0" borderId="0"/>
    <xf numFmtId="165" fontId="16" fillId="0" borderId="0" applyFont="0" applyFill="0" applyBorder="0" applyAlignment="0" applyProtection="0"/>
    <xf numFmtId="0" fontId="16" fillId="0" borderId="0"/>
    <xf numFmtId="0" fontId="18"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0" fillId="0" borderId="0" applyFont="0" applyFill="0" applyBorder="0" applyAlignment="0" applyProtection="0"/>
    <xf numFmtId="0" fontId="15" fillId="0" borderId="0"/>
    <xf numFmtId="0" fontId="15" fillId="0" borderId="0"/>
    <xf numFmtId="0" fontId="15" fillId="0" borderId="0"/>
    <xf numFmtId="0" fontId="15" fillId="0" borderId="0"/>
    <xf numFmtId="0" fontId="20"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165" fontId="13" fillId="0" borderId="0" applyFont="0" applyFill="0" applyBorder="0" applyAlignment="0" applyProtection="0"/>
    <xf numFmtId="0" fontId="13"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20" fillId="0" borderId="0"/>
    <xf numFmtId="0" fontId="20" fillId="0" borderId="0"/>
    <xf numFmtId="165" fontId="12"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20"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3" fillId="0" borderId="5" applyBorder="0">
      <alignment horizontal="center" textRotation="90"/>
    </xf>
    <xf numFmtId="0" fontId="44" fillId="0" borderId="0"/>
    <xf numFmtId="0" fontId="4"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165" fontId="4" fillId="0" borderId="0" applyFont="0" applyFill="0" applyBorder="0" applyAlignment="0" applyProtection="0"/>
    <xf numFmtId="0" fontId="4" fillId="0" borderId="0"/>
    <xf numFmtId="9" fontId="18"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18"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20" fillId="0" borderId="0"/>
    <xf numFmtId="0" fontId="45" fillId="0" borderId="0">
      <alignment vertical="top"/>
    </xf>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7" fillId="19"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6" borderId="0" applyNumberFormat="0" applyBorder="0" applyAlignment="0" applyProtection="0"/>
    <xf numFmtId="0" fontId="48" fillId="0" borderId="0" applyNumberFormat="0" applyFill="0" applyBorder="0" applyAlignment="0" applyProtection="0"/>
    <xf numFmtId="0" fontId="49" fillId="27" borderId="18" applyNumberFormat="0" applyAlignment="0" applyProtection="0"/>
    <xf numFmtId="0" fontId="50" fillId="0" borderId="19" applyNumberFormat="0" applyFill="0" applyAlignment="0" applyProtection="0"/>
    <xf numFmtId="0" fontId="51" fillId="14" borderId="18" applyNumberFormat="0" applyAlignment="0" applyProtection="0"/>
    <xf numFmtId="0" fontId="52" fillId="10" borderId="0" applyNumberFormat="0" applyBorder="0" applyAlignment="0" applyProtection="0"/>
    <xf numFmtId="165" fontId="22" fillId="0" borderId="0" applyFont="0" applyFill="0" applyBorder="0" applyAlignment="0" applyProtection="0">
      <alignment vertical="top"/>
    </xf>
    <xf numFmtId="0" fontId="53" fillId="28" borderId="0" applyNumberFormat="0" applyBorder="0" applyAlignment="0" applyProtection="0"/>
    <xf numFmtId="0" fontId="25" fillId="0" borderId="0"/>
    <xf numFmtId="0" fontId="54" fillId="11" borderId="0" applyNumberFormat="0" applyBorder="0" applyAlignment="0" applyProtection="0"/>
    <xf numFmtId="0" fontId="55" fillId="27" borderId="20"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0" borderId="24" applyNumberFormat="0" applyFill="0" applyAlignment="0" applyProtection="0"/>
    <xf numFmtId="0" fontId="62" fillId="29" borderId="25" applyNumberFormat="0" applyAlignment="0" applyProtection="0"/>
    <xf numFmtId="0" fontId="4" fillId="0" borderId="0"/>
    <xf numFmtId="165" fontId="4" fillId="0" borderId="0" applyFont="0" applyFill="0" applyBorder="0" applyAlignment="0" applyProtection="0"/>
    <xf numFmtId="0" fontId="23" fillId="0" borderId="26"/>
    <xf numFmtId="0" fontId="23" fillId="0" borderId="27">
      <alignment vertical="top"/>
    </xf>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68" fillId="0" borderId="0" applyNumberFormat="0" applyFill="0" applyBorder="0" applyAlignment="0" applyProtection="0"/>
    <xf numFmtId="0" fontId="22" fillId="0" borderId="0">
      <alignment vertical="top"/>
    </xf>
  </cellStyleXfs>
  <cellXfs count="794">
    <xf numFmtId="0" fontId="0" fillId="0" borderId="0" xfId="0"/>
    <xf numFmtId="175" fontId="28" fillId="0" borderId="0" xfId="4" applyNumberFormat="1" applyFont="1" applyFill="1" applyBorder="1"/>
    <xf numFmtId="0" fontId="28" fillId="3" borderId="0" xfId="0" applyNumberFormat="1" applyFont="1" applyFill="1" applyAlignment="1">
      <alignment horizontal="left"/>
    </xf>
    <xf numFmtId="0" fontId="28" fillId="3" borderId="0" xfId="0" applyNumberFormat="1" applyFont="1" applyFill="1" applyAlignment="1">
      <alignment horizontal="center"/>
    </xf>
    <xf numFmtId="175" fontId="28" fillId="3" borderId="0" xfId="4" applyNumberFormat="1" applyFont="1" applyFill="1" applyAlignment="1">
      <alignment horizontal="center"/>
    </xf>
    <xf numFmtId="175" fontId="28" fillId="3" borderId="0" xfId="4" applyNumberFormat="1" applyFont="1" applyFill="1"/>
    <xf numFmtId="0" fontId="28" fillId="3" borderId="14" xfId="0" applyNumberFormat="1" applyFont="1" applyFill="1" applyBorder="1" applyAlignment="1">
      <alignment horizontal="center"/>
    </xf>
    <xf numFmtId="0" fontId="28" fillId="3" borderId="5" xfId="0" applyNumberFormat="1" applyFont="1" applyFill="1" applyBorder="1" applyAlignment="1">
      <alignment horizontal="center"/>
    </xf>
    <xf numFmtId="175" fontId="28" fillId="3" borderId="5" xfId="4" applyNumberFormat="1" applyFont="1" applyFill="1" applyBorder="1"/>
    <xf numFmtId="175" fontId="28" fillId="3" borderId="14" xfId="4" applyNumberFormat="1" applyFont="1" applyFill="1" applyBorder="1"/>
    <xf numFmtId="3" fontId="28" fillId="3" borderId="0" xfId="0" applyNumberFormat="1" applyFont="1" applyFill="1"/>
    <xf numFmtId="0" fontId="28" fillId="3" borderId="0" xfId="0" applyFont="1" applyFill="1"/>
    <xf numFmtId="175" fontId="28" fillId="3" borderId="0" xfId="4" applyNumberFormat="1" applyFont="1" applyFill="1" applyBorder="1"/>
    <xf numFmtId="43" fontId="28" fillId="3" borderId="0" xfId="4" applyFont="1" applyFill="1"/>
    <xf numFmtId="0" fontId="28" fillId="3" borderId="0" xfId="0" applyFont="1" applyFill="1" applyAlignment="1">
      <alignment vertical="top" wrapText="1"/>
    </xf>
    <xf numFmtId="43" fontId="28" fillId="3" borderId="0" xfId="0" applyNumberFormat="1" applyFont="1" applyFill="1"/>
    <xf numFmtId="175" fontId="28" fillId="3" borderId="3" xfId="4" applyNumberFormat="1" applyFont="1" applyFill="1" applyBorder="1"/>
    <xf numFmtId="43" fontId="28" fillId="3" borderId="14" xfId="4" applyFont="1" applyFill="1" applyBorder="1"/>
    <xf numFmtId="0" fontId="28" fillId="3" borderId="0" xfId="0" applyFont="1" applyFill="1" applyAlignment="1">
      <alignment horizontal="center"/>
    </xf>
    <xf numFmtId="166" fontId="28" fillId="3" borderId="17" xfId="0" applyNumberFormat="1" applyFont="1" applyFill="1" applyBorder="1" applyAlignment="1">
      <alignment horizontal="center"/>
    </xf>
    <xf numFmtId="0" fontId="30" fillId="3" borderId="0" xfId="0" applyNumberFormat="1" applyFont="1" applyFill="1" applyAlignment="1">
      <alignment horizontal="left"/>
    </xf>
    <xf numFmtId="0" fontId="30" fillId="3" borderId="0" xfId="0" applyNumberFormat="1" applyFont="1" applyFill="1" applyAlignment="1">
      <alignment horizontal="center"/>
    </xf>
    <xf numFmtId="0" fontId="29" fillId="3" borderId="0" xfId="0" applyFont="1" applyFill="1"/>
    <xf numFmtId="4" fontId="28" fillId="3" borderId="0" xfId="0" applyNumberFormat="1" applyFont="1" applyFill="1"/>
    <xf numFmtId="166" fontId="28" fillId="3" borderId="0" xfId="0" applyNumberFormat="1" applyFont="1" applyFill="1" applyAlignment="1">
      <alignment horizontal="left"/>
    </xf>
    <xf numFmtId="0" fontId="28" fillId="3" borderId="14" xfId="0" applyFont="1" applyFill="1" applyBorder="1"/>
    <xf numFmtId="175" fontId="28" fillId="3" borderId="11" xfId="4" applyNumberFormat="1" applyFont="1" applyFill="1" applyBorder="1"/>
    <xf numFmtId="3" fontId="28" fillId="3" borderId="5" xfId="0" applyNumberFormat="1" applyFont="1" applyFill="1" applyBorder="1"/>
    <xf numFmtId="43" fontId="28" fillId="3" borderId="5" xfId="4" applyFont="1" applyFill="1" applyBorder="1"/>
    <xf numFmtId="175" fontId="28" fillId="3" borderId="0" xfId="0" applyNumberFormat="1" applyFont="1" applyFill="1"/>
    <xf numFmtId="175" fontId="28" fillId="4" borderId="14" xfId="4" applyNumberFormat="1" applyFont="1" applyFill="1" applyBorder="1"/>
    <xf numFmtId="175" fontId="28" fillId="3" borderId="9" xfId="4" applyNumberFormat="1" applyFont="1" applyFill="1" applyBorder="1"/>
    <xf numFmtId="3" fontId="28" fillId="3" borderId="0" xfId="11" applyNumberFormat="1" applyFont="1" applyFill="1" applyAlignment="1">
      <alignment vertical="center"/>
    </xf>
    <xf numFmtId="0" fontId="28" fillId="3" borderId="0" xfId="11" applyFont="1" applyFill="1" applyAlignment="1">
      <alignment vertical="center"/>
    </xf>
    <xf numFmtId="175" fontId="28" fillId="3" borderId="0" xfId="4" applyNumberFormat="1" applyFont="1" applyFill="1" applyAlignment="1">
      <alignment vertical="center"/>
    </xf>
    <xf numFmtId="0" fontId="28" fillId="3" borderId="0" xfId="0" applyFont="1" applyFill="1" applyBorder="1"/>
    <xf numFmtId="0" fontId="28" fillId="3" borderId="4" xfId="0" applyFont="1" applyFill="1" applyBorder="1" applyAlignment="1">
      <alignment horizontal="center"/>
    </xf>
    <xf numFmtId="0" fontId="28" fillId="3" borderId="0" xfId="0" quotePrefix="1" applyFont="1" applyFill="1"/>
    <xf numFmtId="0" fontId="28" fillId="3" borderId="5" xfId="0" applyFont="1" applyFill="1" applyBorder="1" applyAlignment="1">
      <alignment horizontal="center"/>
    </xf>
    <xf numFmtId="0" fontId="28" fillId="3" borderId="3" xfId="0" applyFont="1" applyFill="1" applyBorder="1" applyAlignment="1">
      <alignment horizontal="center"/>
    </xf>
    <xf numFmtId="0" fontId="29" fillId="3" borderId="0" xfId="11" applyFont="1" applyFill="1"/>
    <xf numFmtId="175" fontId="28" fillId="3" borderId="4" xfId="4" applyNumberFormat="1" applyFont="1" applyFill="1" applyBorder="1"/>
    <xf numFmtId="175" fontId="28" fillId="4" borderId="5" xfId="4" applyNumberFormat="1" applyFont="1" applyFill="1" applyBorder="1"/>
    <xf numFmtId="0" fontId="28" fillId="3" borderId="0" xfId="11" applyFont="1" applyFill="1" applyBorder="1" applyAlignment="1">
      <alignment vertical="center"/>
    </xf>
    <xf numFmtId="10" fontId="28" fillId="3" borderId="0" xfId="12" applyNumberFormat="1" applyFont="1" applyFill="1" applyAlignment="1">
      <alignment vertical="center"/>
    </xf>
    <xf numFmtId="10" fontId="28" fillId="3" borderId="0" xfId="12" applyNumberFormat="1" applyFont="1" applyFill="1"/>
    <xf numFmtId="4" fontId="28" fillId="3" borderId="14" xfId="0" applyNumberFormat="1" applyFont="1" applyFill="1" applyBorder="1"/>
    <xf numFmtId="10" fontId="28" fillId="3" borderId="14" xfId="12" applyNumberFormat="1" applyFont="1" applyFill="1" applyBorder="1"/>
    <xf numFmtId="0" fontId="27" fillId="5" borderId="14" xfId="0" applyFont="1" applyFill="1" applyBorder="1" applyAlignment="1">
      <alignment horizontal="center" vertical="center" wrapText="1"/>
    </xf>
    <xf numFmtId="169" fontId="28" fillId="3" borderId="0" xfId="11" applyNumberFormat="1" applyFont="1" applyFill="1" applyAlignment="1">
      <alignment vertical="center"/>
    </xf>
    <xf numFmtId="175" fontId="28" fillId="3" borderId="15" xfId="4" applyNumberFormat="1" applyFont="1" applyFill="1" applyBorder="1"/>
    <xf numFmtId="175" fontId="28" fillId="3" borderId="16" xfId="4" applyNumberFormat="1" applyFont="1" applyFill="1" applyBorder="1"/>
    <xf numFmtId="170" fontId="28" fillId="3" borderId="0" xfId="0" applyNumberFormat="1" applyFont="1" applyFill="1"/>
    <xf numFmtId="0" fontId="28" fillId="3" borderId="0" xfId="0" applyFont="1" applyFill="1" applyAlignment="1">
      <alignment vertical="top"/>
    </xf>
    <xf numFmtId="3" fontId="28" fillId="3" borderId="0" xfId="0" applyNumberFormat="1" applyFont="1" applyFill="1" applyAlignment="1">
      <alignment vertical="top"/>
    </xf>
    <xf numFmtId="3" fontId="28" fillId="3" borderId="0" xfId="0" applyNumberFormat="1" applyFont="1" applyFill="1" applyBorder="1" applyAlignment="1">
      <alignment vertical="top" wrapText="1"/>
    </xf>
    <xf numFmtId="0" fontId="28" fillId="3" borderId="14" xfId="0" applyFont="1" applyFill="1" applyBorder="1" applyAlignment="1">
      <alignment horizontal="center"/>
    </xf>
    <xf numFmtId="173" fontId="28" fillId="3" borderId="0" xfId="0" applyNumberFormat="1" applyFont="1" applyFill="1" applyAlignment="1">
      <alignment vertical="top"/>
    </xf>
    <xf numFmtId="175" fontId="28" fillId="3" borderId="12" xfId="4" applyNumberFormat="1" applyFont="1" applyFill="1" applyBorder="1"/>
    <xf numFmtId="43" fontId="28" fillId="3" borderId="4" xfId="4" applyFont="1" applyFill="1" applyBorder="1"/>
    <xf numFmtId="169" fontId="28" fillId="3" borderId="0" xfId="0" applyNumberFormat="1" applyFont="1" applyFill="1"/>
    <xf numFmtId="3" fontId="28" fillId="3" borderId="14" xfId="12" applyNumberFormat="1" applyFont="1" applyFill="1" applyBorder="1"/>
    <xf numFmtId="43" fontId="28" fillId="3" borderId="14" xfId="4" applyNumberFormat="1" applyFont="1" applyFill="1" applyBorder="1"/>
    <xf numFmtId="175" fontId="28" fillId="4" borderId="4" xfId="4" applyNumberFormat="1" applyFont="1" applyFill="1" applyBorder="1"/>
    <xf numFmtId="175" fontId="28" fillId="4" borderId="3" xfId="4" applyNumberFormat="1" applyFont="1" applyFill="1" applyBorder="1"/>
    <xf numFmtId="3" fontId="27" fillId="5" borderId="4" xfId="0" applyNumberFormat="1" applyFont="1" applyFill="1" applyBorder="1"/>
    <xf numFmtId="0" fontId="27" fillId="5" borderId="0" xfId="0" applyFont="1" applyFill="1"/>
    <xf numFmtId="0" fontId="28" fillId="3" borderId="8" xfId="0" applyFont="1" applyFill="1" applyBorder="1" applyAlignment="1">
      <alignment horizontal="center"/>
    </xf>
    <xf numFmtId="0" fontId="27" fillId="5" borderId="3" xfId="0" applyFont="1" applyFill="1" applyBorder="1" applyAlignment="1">
      <alignment horizontal="center"/>
    </xf>
    <xf numFmtId="175" fontId="28" fillId="3" borderId="13" xfId="4" applyNumberFormat="1" applyFont="1" applyFill="1" applyBorder="1"/>
    <xf numFmtId="2" fontId="28" fillId="3" borderId="0" xfId="0" applyNumberFormat="1" applyFont="1" applyFill="1"/>
    <xf numFmtId="175" fontId="28" fillId="4" borderId="11" xfId="4" applyNumberFormat="1" applyFont="1" applyFill="1" applyBorder="1"/>
    <xf numFmtId="171" fontId="28" fillId="3" borderId="0" xfId="0" applyNumberFormat="1" applyFont="1" applyFill="1"/>
    <xf numFmtId="166" fontId="28" fillId="3" borderId="14" xfId="0" applyNumberFormat="1" applyFont="1" applyFill="1" applyBorder="1" applyAlignment="1">
      <alignment horizontal="center"/>
    </xf>
    <xf numFmtId="175" fontId="28" fillId="3" borderId="7" xfId="4" applyNumberFormat="1" applyFont="1" applyFill="1" applyBorder="1"/>
    <xf numFmtId="0" fontId="27" fillId="5" borderId="17" xfId="0" applyFont="1" applyFill="1" applyBorder="1"/>
    <xf numFmtId="0" fontId="27" fillId="5" borderId="6" xfId="0" applyFont="1" applyFill="1" applyBorder="1"/>
    <xf numFmtId="0" fontId="27" fillId="5" borderId="14" xfId="0" applyFont="1" applyFill="1" applyBorder="1" applyAlignment="1">
      <alignment horizontal="center"/>
    </xf>
    <xf numFmtId="43" fontId="28" fillId="3" borderId="0" xfId="4" applyFont="1" applyFill="1" applyBorder="1" applyAlignment="1">
      <alignment vertical="center"/>
    </xf>
    <xf numFmtId="43" fontId="28" fillId="3" borderId="0" xfId="4" applyFont="1" applyFill="1" applyAlignment="1">
      <alignment vertical="center"/>
    </xf>
    <xf numFmtId="172" fontId="28" fillId="3" borderId="0" xfId="0" applyNumberFormat="1" applyFont="1" applyFill="1"/>
    <xf numFmtId="167" fontId="28" fillId="3" borderId="12" xfId="0" applyNumberFormat="1" applyFont="1" applyFill="1" applyBorder="1"/>
    <xf numFmtId="167" fontId="28" fillId="3" borderId="11" xfId="0" applyNumberFormat="1" applyFont="1" applyFill="1" applyBorder="1"/>
    <xf numFmtId="167" fontId="28" fillId="3" borderId="13" xfId="0" applyNumberFormat="1" applyFont="1" applyFill="1" applyBorder="1"/>
    <xf numFmtId="0" fontId="32" fillId="3" borderId="0" xfId="0" applyFont="1" applyFill="1"/>
    <xf numFmtId="0" fontId="33" fillId="3" borderId="5" xfId="0" applyFont="1" applyFill="1" applyBorder="1" applyAlignment="1">
      <alignment horizontal="center"/>
    </xf>
    <xf numFmtId="0" fontId="33" fillId="3" borderId="0" xfId="0" applyFont="1" applyFill="1"/>
    <xf numFmtId="0" fontId="28" fillId="7" borderId="0" xfId="0" applyFont="1" applyFill="1"/>
    <xf numFmtId="4" fontId="28" fillId="3" borderId="0" xfId="0" applyNumberFormat="1" applyFont="1" applyFill="1" applyBorder="1"/>
    <xf numFmtId="175" fontId="28" fillId="7" borderId="0" xfId="4" applyNumberFormat="1" applyFont="1" applyFill="1"/>
    <xf numFmtId="0" fontId="34" fillId="7" borderId="0" xfId="0" applyFont="1" applyFill="1"/>
    <xf numFmtId="175" fontId="34" fillId="7" borderId="0" xfId="4" applyNumberFormat="1" applyFont="1" applyFill="1"/>
    <xf numFmtId="175" fontId="27" fillId="5" borderId="0" xfId="4" applyNumberFormat="1" applyFont="1" applyFill="1"/>
    <xf numFmtId="0" fontId="34" fillId="7" borderId="0" xfId="0" applyFont="1" applyFill="1" applyAlignment="1">
      <alignment horizontal="right"/>
    </xf>
    <xf numFmtId="169" fontId="31" fillId="3" borderId="0" xfId="11" applyNumberFormat="1" applyFont="1" applyFill="1" applyBorder="1" applyAlignment="1">
      <alignment vertical="center"/>
    </xf>
    <xf numFmtId="176" fontId="28" fillId="3" borderId="0" xfId="14" applyNumberFormat="1" applyFont="1" applyFill="1" applyBorder="1" applyAlignment="1">
      <alignment vertical="center"/>
    </xf>
    <xf numFmtId="0" fontId="29" fillId="3" borderId="0" xfId="11" applyFont="1" applyFill="1" applyBorder="1"/>
    <xf numFmtId="176" fontId="29" fillId="3" borderId="0" xfId="14" applyNumberFormat="1" applyFont="1" applyFill="1" applyBorder="1"/>
    <xf numFmtId="0" fontId="28" fillId="3" borderId="0" xfId="15" applyFont="1" applyFill="1"/>
    <xf numFmtId="0" fontId="28" fillId="3" borderId="0" xfId="15" applyFont="1" applyFill="1" applyBorder="1"/>
    <xf numFmtId="176" fontId="28" fillId="3" borderId="0" xfId="14" applyNumberFormat="1" applyFont="1" applyFill="1" applyBorder="1"/>
    <xf numFmtId="165" fontId="28" fillId="3" borderId="5" xfId="14" applyFont="1" applyFill="1" applyBorder="1"/>
    <xf numFmtId="176" fontId="17" fillId="3" borderId="0" xfId="14" applyNumberFormat="1" applyFont="1" applyFill="1" applyBorder="1" applyAlignment="1">
      <alignment horizontal="left"/>
    </xf>
    <xf numFmtId="3" fontId="17" fillId="3" borderId="0" xfId="15" applyNumberFormat="1" applyFont="1" applyFill="1" applyBorder="1" applyAlignment="1">
      <alignment horizontal="right"/>
    </xf>
    <xf numFmtId="176" fontId="28" fillId="3" borderId="0" xfId="15" applyNumberFormat="1" applyFont="1" applyFill="1" applyBorder="1"/>
    <xf numFmtId="3" fontId="28" fillId="3" borderId="0" xfId="15" applyNumberFormat="1" applyFont="1" applyFill="1"/>
    <xf numFmtId="0" fontId="27" fillId="3" borderId="0" xfId="15" applyFont="1" applyFill="1" applyBorder="1" applyAlignment="1">
      <alignment vertical="center"/>
    </xf>
    <xf numFmtId="176" fontId="27" fillId="3" borderId="0" xfId="14" applyNumberFormat="1" applyFont="1" applyFill="1" applyBorder="1" applyAlignment="1">
      <alignment horizontal="center" vertical="center" wrapText="1"/>
    </xf>
    <xf numFmtId="176" fontId="27" fillId="3" borderId="0" xfId="14" applyNumberFormat="1" applyFont="1" applyFill="1" applyBorder="1" applyAlignment="1">
      <alignment vertical="center"/>
    </xf>
    <xf numFmtId="0" fontId="27" fillId="3" borderId="0" xfId="15" applyFont="1" applyFill="1" applyAlignment="1">
      <alignment vertical="center"/>
    </xf>
    <xf numFmtId="175" fontId="28" fillId="3" borderId="14" xfId="4" applyNumberFormat="1" applyFont="1" applyFill="1" applyBorder="1" applyAlignment="1">
      <alignment horizontal="center"/>
    </xf>
    <xf numFmtId="0" fontId="38" fillId="5" borderId="0" xfId="0" applyFont="1" applyFill="1"/>
    <xf numFmtId="175" fontId="28" fillId="3" borderId="0" xfId="15" applyNumberFormat="1" applyFont="1" applyFill="1"/>
    <xf numFmtId="175" fontId="28" fillId="3" borderId="3" xfId="4" applyNumberFormat="1" applyFont="1" applyFill="1" applyBorder="1" applyAlignment="1">
      <alignment horizontal="center"/>
    </xf>
    <xf numFmtId="0" fontId="37" fillId="3" borderId="0" xfId="0" applyFont="1" applyFill="1"/>
    <xf numFmtId="175" fontId="37" fillId="3" borderId="0" xfId="4" applyNumberFormat="1" applyFont="1" applyFill="1"/>
    <xf numFmtId="0" fontId="37" fillId="7" borderId="0" xfId="0" applyFont="1" applyFill="1"/>
    <xf numFmtId="43" fontId="37" fillId="3" borderId="0" xfId="4" applyFont="1" applyFill="1"/>
    <xf numFmtId="0" fontId="39" fillId="3" borderId="0" xfId="0" applyFont="1" applyFill="1"/>
    <xf numFmtId="0" fontId="28" fillId="0" borderId="0" xfId="0" applyFont="1" applyFill="1"/>
    <xf numFmtId="3" fontId="28" fillId="3" borderId="14" xfId="0" applyNumberFormat="1" applyFont="1" applyFill="1" applyBorder="1"/>
    <xf numFmtId="43" fontId="27" fillId="5" borderId="14" xfId="4" applyNumberFormat="1" applyFont="1" applyFill="1" applyBorder="1"/>
    <xf numFmtId="10" fontId="28" fillId="3" borderId="0" xfId="0" applyNumberFormat="1" applyFont="1" applyFill="1" applyBorder="1"/>
    <xf numFmtId="43" fontId="28" fillId="6" borderId="14" xfId="4" applyNumberFormat="1" applyFont="1" applyFill="1" applyBorder="1"/>
    <xf numFmtId="43" fontId="28" fillId="3" borderId="0" xfId="4" applyNumberFormat="1" applyFont="1" applyFill="1"/>
    <xf numFmtId="0" fontId="28" fillId="3" borderId="0" xfId="0" applyFont="1" applyFill="1" applyAlignment="1">
      <alignment vertical="center"/>
    </xf>
    <xf numFmtId="175" fontId="28" fillId="3" borderId="0" xfId="4" applyNumberFormat="1" applyFont="1" applyFill="1" applyBorder="1" applyAlignment="1">
      <alignment horizontal="center"/>
    </xf>
    <xf numFmtId="175" fontId="28" fillId="3" borderId="0" xfId="4" applyNumberFormat="1" applyFont="1" applyFill="1" applyBorder="1" applyAlignment="1">
      <alignment vertical="center"/>
    </xf>
    <xf numFmtId="0" fontId="28" fillId="3" borderId="0" xfId="0" applyFont="1" applyFill="1" applyBorder="1" applyAlignment="1">
      <alignment horizontal="left"/>
    </xf>
    <xf numFmtId="3" fontId="28" fillId="3" borderId="0" xfId="0" applyNumberFormat="1" applyFont="1" applyFill="1" applyBorder="1"/>
    <xf numFmtId="0" fontId="28" fillId="3" borderId="9" xfId="0" applyFont="1" applyFill="1" applyBorder="1" applyAlignment="1">
      <alignment horizontal="center"/>
    </xf>
    <xf numFmtId="3" fontId="28" fillId="3" borderId="4" xfId="0" applyNumberFormat="1" applyFont="1" applyFill="1" applyBorder="1"/>
    <xf numFmtId="166" fontId="28" fillId="3" borderId="6" xfId="0" applyNumberFormat="1" applyFont="1" applyFill="1" applyBorder="1" applyAlignment="1">
      <alignment horizontal="center"/>
    </xf>
    <xf numFmtId="175" fontId="28" fillId="3" borderId="6" xfId="4" applyNumberFormat="1" applyFont="1" applyFill="1" applyBorder="1"/>
    <xf numFmtId="0" fontId="28" fillId="3" borderId="4" xfId="15" applyFont="1" applyFill="1" applyBorder="1" applyAlignment="1">
      <alignment horizontal="center"/>
    </xf>
    <xf numFmtId="0" fontId="28" fillId="3" borderId="5" xfId="15" applyFont="1" applyFill="1" applyBorder="1" applyAlignment="1">
      <alignment horizontal="center"/>
    </xf>
    <xf numFmtId="0" fontId="28" fillId="3" borderId="3" xfId="15" applyFont="1" applyFill="1" applyBorder="1" applyAlignment="1">
      <alignment horizontal="center"/>
    </xf>
    <xf numFmtId="3" fontId="33" fillId="3" borderId="0" xfId="12" applyNumberFormat="1" applyFont="1" applyFill="1" applyBorder="1"/>
    <xf numFmtId="3" fontId="33" fillId="3" borderId="0" xfId="0" applyNumberFormat="1" applyFont="1" applyFill="1"/>
    <xf numFmtId="175" fontId="37" fillId="3" borderId="0" xfId="4" applyNumberFormat="1" applyFont="1" applyFill="1" applyAlignment="1">
      <alignment horizontal="right"/>
    </xf>
    <xf numFmtId="43" fontId="28" fillId="3" borderId="0" xfId="4" applyFont="1" applyFill="1" applyAlignment="1">
      <alignment horizontal="center"/>
    </xf>
    <xf numFmtId="175" fontId="37" fillId="7" borderId="0" xfId="0" applyNumberFormat="1" applyFont="1" applyFill="1"/>
    <xf numFmtId="0" fontId="28" fillId="3" borderId="9" xfId="0" applyFont="1" applyFill="1" applyBorder="1" applyAlignment="1">
      <alignment horizontal="left"/>
    </xf>
    <xf numFmtId="0" fontId="28" fillId="3" borderId="10" xfId="0" applyFont="1" applyFill="1" applyBorder="1" applyAlignment="1">
      <alignment horizontal="left"/>
    </xf>
    <xf numFmtId="0" fontId="28" fillId="3" borderId="8" xfId="0" applyFont="1" applyFill="1" applyBorder="1" applyAlignment="1">
      <alignment horizontal="left"/>
    </xf>
    <xf numFmtId="10" fontId="28" fillId="3" borderId="9" xfId="12" applyNumberFormat="1" applyFont="1" applyFill="1" applyBorder="1"/>
    <xf numFmtId="43" fontId="28" fillId="3" borderId="0" xfId="4" applyFont="1" applyFill="1"/>
    <xf numFmtId="0" fontId="28" fillId="3" borderId="3" xfId="0" applyFont="1" applyFill="1" applyBorder="1"/>
    <xf numFmtId="43" fontId="28" fillId="3" borderId="5" xfId="4" applyNumberFormat="1" applyFont="1" applyFill="1" applyBorder="1"/>
    <xf numFmtId="43" fontId="28" fillId="3" borderId="4" xfId="4" applyNumberFormat="1" applyFont="1" applyFill="1" applyBorder="1"/>
    <xf numFmtId="43" fontId="28" fillId="3" borderId="3" xfId="4" applyNumberFormat="1" applyFont="1" applyFill="1" applyBorder="1"/>
    <xf numFmtId="2" fontId="27" fillId="5" borderId="14" xfId="0" applyNumberFormat="1" applyFont="1" applyFill="1" applyBorder="1" applyAlignment="1">
      <alignment horizontal="center" vertical="top" wrapText="1"/>
    </xf>
    <xf numFmtId="175" fontId="28" fillId="3" borderId="11" xfId="4" applyNumberFormat="1" applyFont="1" applyFill="1" applyBorder="1"/>
    <xf numFmtId="175" fontId="28" fillId="3" borderId="12" xfId="4" applyNumberFormat="1" applyFont="1" applyFill="1" applyBorder="1"/>
    <xf numFmtId="175" fontId="28" fillId="3" borderId="13" xfId="4" applyNumberFormat="1" applyFont="1" applyFill="1" applyBorder="1"/>
    <xf numFmtId="164" fontId="28" fillId="3" borderId="0" xfId="0" applyNumberFormat="1" applyFont="1" applyFill="1"/>
    <xf numFmtId="0" fontId="28" fillId="3" borderId="0" xfId="0" applyFont="1" applyFill="1"/>
    <xf numFmtId="4" fontId="28" fillId="3" borderId="0" xfId="0" applyNumberFormat="1" applyFont="1" applyFill="1"/>
    <xf numFmtId="169" fontId="28" fillId="3" borderId="0" xfId="11" applyNumberFormat="1" applyFont="1" applyFill="1" applyAlignment="1">
      <alignment vertical="center"/>
    </xf>
    <xf numFmtId="177" fontId="28" fillId="3" borderId="0" xfId="4" applyNumberFormat="1" applyFont="1" applyFill="1" applyBorder="1"/>
    <xf numFmtId="175" fontId="28" fillId="3" borderId="0" xfId="4" applyNumberFormat="1" applyFont="1" applyFill="1" applyBorder="1"/>
    <xf numFmtId="175" fontId="28" fillId="3" borderId="3" xfId="4" applyNumberFormat="1" applyFont="1" applyFill="1" applyBorder="1"/>
    <xf numFmtId="175" fontId="28" fillId="3" borderId="0" xfId="0" applyNumberFormat="1" applyFont="1" applyFill="1"/>
    <xf numFmtId="175" fontId="37" fillId="7" borderId="0" xfId="0" applyNumberFormat="1" applyFont="1" applyFill="1"/>
    <xf numFmtId="43" fontId="37" fillId="7" borderId="0" xfId="4" applyFont="1" applyFill="1"/>
    <xf numFmtId="43" fontId="28" fillId="3" borderId="0" xfId="15" applyNumberFormat="1" applyFont="1" applyFill="1"/>
    <xf numFmtId="176" fontId="7" fillId="3" borderId="0" xfId="14" applyNumberFormat="1" applyFont="1" applyFill="1" applyBorder="1" applyAlignment="1">
      <alignment horizontal="left"/>
    </xf>
    <xf numFmtId="164" fontId="17" fillId="3" borderId="0" xfId="14" applyNumberFormat="1" applyFont="1" applyFill="1" applyBorder="1" applyAlignment="1">
      <alignment horizontal="left"/>
    </xf>
    <xf numFmtId="175" fontId="28" fillId="3" borderId="0" xfId="4" applyNumberFormat="1" applyFont="1" applyFill="1" applyBorder="1" applyAlignment="1">
      <alignment horizontal="center"/>
    </xf>
    <xf numFmtId="175" fontId="28" fillId="3" borderId="4" xfId="4" applyNumberFormat="1" applyFont="1" applyFill="1" applyBorder="1" applyAlignment="1">
      <alignment horizontal="center"/>
    </xf>
    <xf numFmtId="175" fontId="28" fillId="3" borderId="5" xfId="4" applyNumberFormat="1" applyFont="1" applyFill="1" applyBorder="1" applyAlignment="1">
      <alignment horizontal="center"/>
    </xf>
    <xf numFmtId="175" fontId="28" fillId="3" borderId="0" xfId="4" applyNumberFormat="1" applyFont="1" applyFill="1" applyBorder="1"/>
    <xf numFmtId="43" fontId="28" fillId="3" borderId="0" xfId="4" applyFont="1" applyFill="1"/>
    <xf numFmtId="43" fontId="28" fillId="3" borderId="5" xfId="4" applyFont="1" applyFill="1" applyBorder="1"/>
    <xf numFmtId="43" fontId="28" fillId="3" borderId="3" xfId="4" applyFont="1" applyFill="1" applyBorder="1"/>
    <xf numFmtId="43" fontId="28" fillId="3" borderId="0" xfId="4" applyFont="1" applyFill="1" applyBorder="1"/>
    <xf numFmtId="43" fontId="28" fillId="3" borderId="9" xfId="4" applyFont="1" applyFill="1" applyBorder="1"/>
    <xf numFmtId="43" fontId="28" fillId="3" borderId="8" xfId="4" applyFont="1" applyFill="1" applyBorder="1"/>
    <xf numFmtId="43" fontId="28" fillId="3" borderId="10" xfId="4" applyFont="1" applyFill="1" applyBorder="1"/>
    <xf numFmtId="0" fontId="31" fillId="7" borderId="0" xfId="0" applyFont="1" applyFill="1" applyAlignment="1">
      <alignment vertical="center" wrapText="1"/>
    </xf>
    <xf numFmtId="9" fontId="27" fillId="5" borderId="14" xfId="0" applyNumberFormat="1" applyFont="1" applyFill="1" applyBorder="1" applyAlignment="1">
      <alignment horizontal="center"/>
    </xf>
    <xf numFmtId="0" fontId="28" fillId="30" borderId="0" xfId="0" applyFont="1" applyFill="1" applyBorder="1" applyAlignment="1">
      <alignment horizontal="left"/>
    </xf>
    <xf numFmtId="0" fontId="39" fillId="3" borderId="0" xfId="0" applyFont="1" applyFill="1" applyAlignment="1">
      <alignment wrapText="1"/>
    </xf>
    <xf numFmtId="0" fontId="37" fillId="3" borderId="0" xfId="0" applyFont="1" applyFill="1" applyAlignment="1">
      <alignment wrapText="1"/>
    </xf>
    <xf numFmtId="0" fontId="39" fillId="2" borderId="28"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37" fillId="2" borderId="30" xfId="0" applyFont="1" applyFill="1" applyBorder="1"/>
    <xf numFmtId="0" fontId="66" fillId="3" borderId="0" xfId="0" applyFont="1" applyFill="1" applyAlignment="1">
      <alignment horizontal="right"/>
    </xf>
    <xf numFmtId="175" fontId="30" fillId="3" borderId="0" xfId="4" applyNumberFormat="1" applyFont="1" applyFill="1" applyAlignment="1">
      <alignment vertical="center"/>
    </xf>
    <xf numFmtId="175" fontId="33" fillId="3" borderId="0" xfId="4" applyNumberFormat="1" applyFont="1" applyFill="1"/>
    <xf numFmtId="175" fontId="33" fillId="3" borderId="5" xfId="4" applyNumberFormat="1" applyFont="1" applyFill="1" applyBorder="1"/>
    <xf numFmtId="175" fontId="33" fillId="3" borderId="14" xfId="4" applyNumberFormat="1" applyFont="1" applyFill="1" applyBorder="1"/>
    <xf numFmtId="175" fontId="33" fillId="3" borderId="0" xfId="4" applyNumberFormat="1" applyFont="1" applyFill="1" applyBorder="1"/>
    <xf numFmtId="175" fontId="0" fillId="3" borderId="0" xfId="4" applyNumberFormat="1" applyFont="1" applyFill="1"/>
    <xf numFmtId="0" fontId="0" fillId="3" borderId="0" xfId="0" applyFill="1"/>
    <xf numFmtId="3" fontId="28" fillId="3" borderId="0" xfId="15" applyNumberFormat="1" applyFont="1" applyFill="1" applyBorder="1"/>
    <xf numFmtId="176" fontId="64" fillId="3" borderId="0" xfId="4" applyNumberFormat="1" applyFont="1" applyFill="1"/>
    <xf numFmtId="0" fontId="17" fillId="3" borderId="0" xfId="15" applyNumberFormat="1" applyFont="1" applyFill="1" applyBorder="1" applyAlignment="1">
      <alignment horizontal="right"/>
    </xf>
    <xf numFmtId="0" fontId="18" fillId="3" borderId="0" xfId="260" applyFill="1"/>
    <xf numFmtId="0" fontId="18" fillId="3" borderId="0" xfId="260" applyFill="1" applyAlignment="1">
      <alignment vertical="center"/>
    </xf>
    <xf numFmtId="0" fontId="18" fillId="3" borderId="0" xfId="260" applyFill="1" applyAlignment="1">
      <alignment horizontal="center" vertical="center"/>
    </xf>
    <xf numFmtId="0" fontId="71" fillId="7" borderId="0" xfId="0" applyFont="1" applyFill="1"/>
    <xf numFmtId="0" fontId="71" fillId="3" borderId="0" xfId="0" applyNumberFormat="1" applyFont="1" applyFill="1" applyAlignment="1">
      <alignment horizontal="left"/>
    </xf>
    <xf numFmtId="1" fontId="71" fillId="3" borderId="0" xfId="11" applyNumberFormat="1" applyFont="1" applyFill="1" applyAlignment="1">
      <alignment horizontal="left" vertical="center"/>
    </xf>
    <xf numFmtId="3" fontId="34" fillId="3" borderId="0" xfId="11" applyNumberFormat="1" applyFont="1" applyFill="1" applyAlignment="1">
      <alignment vertical="center"/>
    </xf>
    <xf numFmtId="0" fontId="34" fillId="3" borderId="0" xfId="0" applyFont="1" applyFill="1"/>
    <xf numFmtId="43" fontId="34" fillId="3" borderId="0" xfId="4" applyFont="1" applyFill="1"/>
    <xf numFmtId="169" fontId="34" fillId="3" borderId="0" xfId="11" applyNumberFormat="1" applyFont="1" applyFill="1" applyAlignment="1">
      <alignment vertical="center"/>
    </xf>
    <xf numFmtId="3" fontId="71" fillId="3" borderId="0" xfId="11" applyNumberFormat="1" applyFont="1" applyFill="1" applyAlignment="1">
      <alignment vertical="center"/>
    </xf>
    <xf numFmtId="169" fontId="71" fillId="3" borderId="0" xfId="0" applyNumberFormat="1" applyFont="1" applyFill="1"/>
    <xf numFmtId="0" fontId="71" fillId="3" borderId="0" xfId="0" applyFont="1" applyFill="1"/>
    <xf numFmtId="175" fontId="71" fillId="3" borderId="0" xfId="4" applyNumberFormat="1" applyFont="1" applyFill="1"/>
    <xf numFmtId="169" fontId="71" fillId="3" borderId="0" xfId="11" applyNumberFormat="1" applyFont="1" applyFill="1" applyAlignment="1">
      <alignment vertical="center"/>
    </xf>
    <xf numFmtId="175" fontId="71" fillId="3" borderId="0" xfId="4" applyNumberFormat="1" applyFont="1" applyFill="1" applyAlignment="1">
      <alignment vertical="center"/>
    </xf>
    <xf numFmtId="175" fontId="71" fillId="3" borderId="0" xfId="4" applyNumberFormat="1" applyFont="1" applyFill="1" applyBorder="1" applyAlignment="1">
      <alignment vertical="center"/>
    </xf>
    <xf numFmtId="43" fontId="71" fillId="3" borderId="0" xfId="4" applyFont="1" applyFill="1" applyAlignment="1">
      <alignment vertical="center"/>
    </xf>
    <xf numFmtId="0" fontId="71" fillId="3" borderId="0" xfId="11" applyFont="1" applyFill="1" applyAlignment="1">
      <alignment vertical="center"/>
    </xf>
    <xf numFmtId="177" fontId="71" fillId="3" borderId="0" xfId="11" applyNumberFormat="1" applyFont="1" applyFill="1" applyAlignment="1">
      <alignment vertical="center"/>
    </xf>
    <xf numFmtId="43" fontId="71" fillId="3" borderId="0" xfId="4" applyFont="1" applyFill="1" applyBorder="1" applyAlignment="1">
      <alignment vertical="center"/>
    </xf>
    <xf numFmtId="0" fontId="71" fillId="3" borderId="0" xfId="11" applyFont="1" applyFill="1" applyBorder="1" applyAlignment="1">
      <alignment vertical="center"/>
    </xf>
    <xf numFmtId="1" fontId="71" fillId="3" borderId="0" xfId="11" applyNumberFormat="1" applyFont="1" applyFill="1" applyAlignment="1">
      <alignment vertical="center"/>
    </xf>
    <xf numFmtId="0" fontId="71" fillId="3" borderId="0" xfId="0" applyFont="1" applyFill="1" applyAlignment="1">
      <alignment vertical="center"/>
    </xf>
    <xf numFmtId="43" fontId="28" fillId="3" borderId="0" xfId="4" applyFont="1" applyFill="1" applyBorder="1" applyAlignment="1">
      <alignment horizontal="center" vertical="center"/>
    </xf>
    <xf numFmtId="43" fontId="68" fillId="3" borderId="0" xfId="668" applyNumberFormat="1" applyFill="1" applyBorder="1" applyAlignment="1">
      <alignment horizontal="center" vertical="center"/>
    </xf>
    <xf numFmtId="43" fontId="68" fillId="3" borderId="0" xfId="668" applyNumberFormat="1" applyFill="1" applyAlignment="1">
      <alignment horizontal="center" vertical="center" wrapText="1"/>
    </xf>
    <xf numFmtId="43" fontId="68" fillId="3" borderId="0" xfId="668" applyNumberFormat="1" applyFill="1" applyBorder="1" applyAlignment="1">
      <alignment horizontal="left" vertical="center"/>
    </xf>
    <xf numFmtId="175" fontId="27" fillId="5" borderId="4" xfId="4" applyNumberFormat="1" applyFont="1" applyFill="1" applyBorder="1" applyAlignment="1">
      <alignment horizontal="center" vertical="center" wrapText="1"/>
    </xf>
    <xf numFmtId="43" fontId="68" fillId="3" borderId="0" xfId="668" applyNumberFormat="1" applyFill="1" applyAlignment="1">
      <alignment horizontal="center" vertical="center" wrapText="1"/>
    </xf>
    <xf numFmtId="0" fontId="27" fillId="5" borderId="14" xfId="0" applyFont="1" applyFill="1" applyBorder="1" applyAlignment="1">
      <alignment horizontal="center" vertical="center" wrapText="1"/>
    </xf>
    <xf numFmtId="43" fontId="68" fillId="3" borderId="0" xfId="668" applyNumberFormat="1" applyFill="1" applyAlignment="1">
      <alignment horizontal="left" vertical="center"/>
    </xf>
    <xf numFmtId="43" fontId="68" fillId="3" borderId="0" xfId="668" applyNumberFormat="1" applyFill="1" applyBorder="1" applyAlignment="1">
      <alignment horizontal="center" vertical="center" wrapText="1"/>
    </xf>
    <xf numFmtId="0" fontId="28" fillId="3" borderId="0" xfId="0" applyFont="1" applyFill="1" applyAlignment="1">
      <alignment vertical="center"/>
    </xf>
    <xf numFmtId="0" fontId="27" fillId="5" borderId="4" xfId="0" applyFont="1" applyFill="1" applyBorder="1" applyAlignment="1">
      <alignment horizontal="center" vertical="center" wrapText="1"/>
    </xf>
    <xf numFmtId="43" fontId="68" fillId="3" borderId="0" xfId="668" applyNumberFormat="1" applyFill="1" applyAlignment="1">
      <alignment horizontal="center" vertical="center" wrapText="1"/>
    </xf>
    <xf numFmtId="175" fontId="28" fillId="36" borderId="5" xfId="4" applyNumberFormat="1" applyFont="1" applyFill="1" applyBorder="1"/>
    <xf numFmtId="175" fontId="28" fillId="36" borderId="14" xfId="4" applyNumberFormat="1" applyFont="1" applyFill="1" applyBorder="1"/>
    <xf numFmtId="175" fontId="27" fillId="39" borderId="14" xfId="4" applyNumberFormat="1" applyFont="1" applyFill="1" applyBorder="1" applyAlignment="1">
      <alignment horizontal="center" vertical="center" wrapText="1"/>
    </xf>
    <xf numFmtId="9" fontId="27" fillId="39" borderId="5" xfId="12" applyFont="1" applyFill="1" applyBorder="1" applyAlignment="1">
      <alignment horizontal="center"/>
    </xf>
    <xf numFmtId="9" fontId="27" fillId="39" borderId="14" xfId="12" applyFont="1" applyFill="1" applyBorder="1" applyAlignment="1">
      <alignment horizontal="center"/>
    </xf>
    <xf numFmtId="175" fontId="28" fillId="35" borderId="5" xfId="4" applyNumberFormat="1" applyFont="1" applyFill="1" applyBorder="1"/>
    <xf numFmtId="9" fontId="27" fillId="39" borderId="14" xfId="12" applyNumberFormat="1" applyFont="1" applyFill="1" applyBorder="1" applyAlignment="1">
      <alignment horizontal="center" vertical="center" wrapText="1"/>
    </xf>
    <xf numFmtId="0" fontId="27" fillId="39" borderId="14" xfId="0" applyFont="1" applyFill="1" applyBorder="1" applyAlignment="1">
      <alignment horizontal="center" vertical="center" wrapText="1"/>
    </xf>
    <xf numFmtId="9" fontId="27" fillId="39" borderId="14" xfId="12" applyNumberFormat="1" applyFont="1" applyFill="1" applyBorder="1" applyAlignment="1">
      <alignment horizontal="center" vertical="center"/>
    </xf>
    <xf numFmtId="43" fontId="27" fillId="39" borderId="14" xfId="4" applyFont="1" applyFill="1" applyBorder="1" applyAlignment="1">
      <alignment vertical="center" wrapText="1"/>
    </xf>
    <xf numFmtId="175" fontId="28" fillId="35" borderId="11" xfId="4" applyNumberFormat="1" applyFont="1" applyFill="1" applyBorder="1"/>
    <xf numFmtId="175" fontId="28" fillId="35" borderId="14" xfId="4" applyNumberFormat="1" applyFont="1" applyFill="1" applyBorder="1"/>
    <xf numFmtId="0" fontId="27" fillId="39" borderId="4" xfId="0" applyFont="1" applyFill="1" applyBorder="1" applyAlignment="1">
      <alignment horizontal="center" vertical="center" wrapText="1"/>
    </xf>
    <xf numFmtId="175" fontId="28" fillId="3" borderId="8" xfId="4" applyNumberFormat="1" applyFont="1" applyFill="1" applyBorder="1"/>
    <xf numFmtId="0" fontId="27" fillId="39" borderId="12" xfId="0" applyFont="1" applyFill="1" applyBorder="1" applyAlignment="1">
      <alignment horizontal="center" vertical="center" wrapText="1"/>
    </xf>
    <xf numFmtId="175" fontId="28" fillId="36" borderId="4" xfId="4" applyNumberFormat="1" applyFont="1" applyFill="1" applyBorder="1"/>
    <xf numFmtId="175" fontId="28" fillId="36" borderId="3" xfId="4" applyNumberFormat="1" applyFont="1" applyFill="1" applyBorder="1"/>
    <xf numFmtId="180" fontId="27" fillId="5" borderId="14" xfId="4" applyNumberFormat="1" applyFont="1" applyFill="1" applyBorder="1" applyAlignment="1">
      <alignment horizontal="center" vertical="center" wrapText="1"/>
    </xf>
    <xf numFmtId="10" fontId="27" fillId="5" borderId="14" xfId="12" applyNumberFormat="1" applyFont="1" applyFill="1" applyBorder="1" applyAlignment="1">
      <alignment horizontal="center" vertical="center"/>
    </xf>
    <xf numFmtId="175" fontId="28" fillId="0" borderId="11" xfId="4" applyNumberFormat="1" applyFont="1" applyFill="1" applyBorder="1"/>
    <xf numFmtId="10" fontId="27" fillId="5" borderId="4" xfId="12" applyNumberFormat="1" applyFont="1" applyFill="1" applyBorder="1" applyAlignment="1">
      <alignment horizontal="center" vertical="center"/>
    </xf>
    <xf numFmtId="175" fontId="27" fillId="3" borderId="0" xfId="4" applyNumberFormat="1" applyFont="1" applyFill="1" applyBorder="1" applyAlignment="1">
      <alignment horizontal="center" vertical="center" wrapText="1"/>
    </xf>
    <xf numFmtId="10" fontId="27" fillId="3" borderId="0" xfId="12" applyNumberFormat="1" applyFont="1" applyFill="1" applyBorder="1" applyAlignment="1">
      <alignment horizontal="center" vertical="center"/>
    </xf>
    <xf numFmtId="0" fontId="27" fillId="40" borderId="4" xfId="15" applyFont="1" applyFill="1" applyBorder="1" applyAlignment="1">
      <alignment horizontal="center" vertical="center" wrapText="1"/>
    </xf>
    <xf numFmtId="43" fontId="27" fillId="40" borderId="14" xfId="4" quotePrefix="1" applyFont="1" applyFill="1" applyBorder="1" applyAlignment="1">
      <alignment horizontal="center" vertical="center" wrapText="1"/>
    </xf>
    <xf numFmtId="175" fontId="28" fillId="41" borderId="4" xfId="4" applyNumberFormat="1" applyFont="1" applyFill="1" applyBorder="1"/>
    <xf numFmtId="175" fontId="28" fillId="41" borderId="5" xfId="4" applyNumberFormat="1" applyFont="1" applyFill="1" applyBorder="1"/>
    <xf numFmtId="175" fontId="28" fillId="41" borderId="3" xfId="4" applyNumberFormat="1" applyFont="1" applyFill="1" applyBorder="1"/>
    <xf numFmtId="0" fontId="28" fillId="36" borderId="17" xfId="0" applyFont="1" applyFill="1" applyBorder="1"/>
    <xf numFmtId="0" fontId="28" fillId="36" borderId="7" xfId="0" applyFont="1" applyFill="1" applyBorder="1"/>
    <xf numFmtId="43" fontId="28" fillId="36" borderId="14" xfId="4" applyNumberFormat="1" applyFont="1" applyFill="1" applyBorder="1"/>
    <xf numFmtId="3" fontId="28" fillId="3" borderId="8" xfId="12" applyNumberFormat="1" applyFont="1" applyFill="1" applyBorder="1"/>
    <xf numFmtId="3" fontId="28" fillId="3" borderId="9" xfId="12" applyNumberFormat="1" applyFont="1" applyFill="1" applyBorder="1"/>
    <xf numFmtId="3" fontId="28" fillId="36" borderId="17" xfId="12" applyNumberFormat="1" applyFont="1" applyFill="1" applyBorder="1"/>
    <xf numFmtId="0" fontId="27" fillId="37" borderId="12" xfId="0" applyFont="1" applyFill="1" applyBorder="1" applyAlignment="1">
      <alignment horizontal="center" vertical="center" wrapText="1"/>
    </xf>
    <xf numFmtId="0" fontId="28" fillId="3" borderId="8" xfId="15" applyFont="1" applyFill="1" applyBorder="1"/>
    <xf numFmtId="0" fontId="28" fillId="3" borderId="9" xfId="15" applyFont="1" applyFill="1" applyBorder="1"/>
    <xf numFmtId="3" fontId="17" fillId="3" borderId="11" xfId="15" applyNumberFormat="1" applyFont="1" applyFill="1" applyBorder="1" applyAlignment="1">
      <alignment horizontal="right"/>
    </xf>
    <xf numFmtId="1" fontId="73" fillId="3" borderId="0" xfId="11" applyNumberFormat="1" applyFont="1" applyFill="1" applyAlignment="1">
      <alignment horizontal="left" vertical="center"/>
    </xf>
    <xf numFmtId="0" fontId="73" fillId="3" borderId="0" xfId="0" applyFont="1" applyFill="1" applyAlignment="1">
      <alignment horizontal="left" vertical="center"/>
    </xf>
    <xf numFmtId="0" fontId="73" fillId="3" borderId="0" xfId="0" applyNumberFormat="1" applyFont="1" applyFill="1" applyAlignment="1">
      <alignment horizontal="left"/>
    </xf>
    <xf numFmtId="0" fontId="28" fillId="3" borderId="0" xfId="0" applyNumberFormat="1" applyFont="1" applyFill="1" applyAlignment="1">
      <alignment horizontal="center" vertical="center"/>
    </xf>
    <xf numFmtId="0" fontId="27" fillId="5" borderId="4" xfId="0" applyFont="1" applyFill="1" applyBorder="1" applyAlignment="1">
      <alignment horizontal="center" vertical="center" wrapText="1"/>
    </xf>
    <xf numFmtId="14" fontId="27" fillId="40" borderId="3" xfId="15" applyNumberFormat="1" applyFont="1" applyFill="1" applyBorder="1" applyAlignment="1">
      <alignment horizontal="center" vertical="center" wrapText="1"/>
    </xf>
    <xf numFmtId="0" fontId="67" fillId="3" borderId="0" xfId="0" applyNumberFormat="1" applyFont="1" applyFill="1" applyBorder="1" applyAlignment="1">
      <alignment wrapText="1"/>
    </xf>
    <xf numFmtId="43" fontId="28" fillId="36" borderId="5" xfId="4" applyNumberFormat="1" applyFont="1" applyFill="1" applyBorder="1"/>
    <xf numFmtId="49" fontId="67" fillId="3" borderId="0" xfId="4" applyNumberFormat="1" applyFont="1" applyFill="1" applyBorder="1" applyAlignment="1">
      <alignment vertical="center" wrapText="1"/>
    </xf>
    <xf numFmtId="0" fontId="29" fillId="3" borderId="0" xfId="11" applyFont="1" applyFill="1" applyAlignment="1"/>
    <xf numFmtId="0" fontId="34" fillId="3" borderId="0" xfId="0" applyFont="1" applyFill="1" applyBorder="1"/>
    <xf numFmtId="0" fontId="28" fillId="3" borderId="0" xfId="11" applyFont="1" applyFill="1" applyBorder="1" applyAlignment="1">
      <alignment horizontal="right" vertical="center"/>
    </xf>
    <xf numFmtId="0" fontId="28" fillId="3" borderId="0" xfId="0" applyFont="1" applyFill="1" applyAlignment="1">
      <alignment horizontal="right"/>
    </xf>
    <xf numFmtId="3" fontId="28" fillId="3" borderId="0" xfId="0" applyNumberFormat="1" applyFont="1" applyFill="1" applyBorder="1" applyAlignment="1">
      <alignment horizontal="right"/>
    </xf>
    <xf numFmtId="3" fontId="28" fillId="3" borderId="7" xfId="0" applyNumberFormat="1" applyFont="1" applyFill="1" applyBorder="1" applyAlignment="1">
      <alignment horizontal="right"/>
    </xf>
    <xf numFmtId="0" fontId="71" fillId="3" borderId="0" xfId="0" applyFont="1" applyFill="1" applyAlignment="1"/>
    <xf numFmtId="10" fontId="28" fillId="3" borderId="7" xfId="0" applyNumberFormat="1" applyFont="1" applyFill="1" applyBorder="1"/>
    <xf numFmtId="175" fontId="28" fillId="36" borderId="4" xfId="4" quotePrefix="1" applyNumberFormat="1" applyFont="1" applyFill="1" applyBorder="1"/>
    <xf numFmtId="175" fontId="28" fillId="36" borderId="5" xfId="4" quotePrefix="1" applyNumberFormat="1" applyFont="1" applyFill="1" applyBorder="1"/>
    <xf numFmtId="0" fontId="67" fillId="3" borderId="0" xfId="0" applyFont="1" applyFill="1" applyBorder="1" applyAlignment="1">
      <alignment vertical="center" wrapText="1"/>
    </xf>
    <xf numFmtId="0" fontId="67" fillId="3" borderId="0" xfId="11" applyFont="1" applyFill="1" applyBorder="1" applyAlignment="1">
      <alignment vertical="center" wrapText="1"/>
    </xf>
    <xf numFmtId="0" fontId="67" fillId="3" borderId="0" xfId="0" applyFont="1" applyFill="1" applyBorder="1" applyAlignment="1"/>
    <xf numFmtId="175" fontId="28" fillId="36" borderId="11" xfId="4" applyNumberFormat="1" applyFont="1" applyFill="1" applyBorder="1"/>
    <xf numFmtId="2" fontId="27" fillId="5" borderId="4" xfId="0" applyNumberFormat="1" applyFont="1" applyFill="1" applyBorder="1" applyAlignment="1">
      <alignment horizontal="center" vertical="top" wrapText="1"/>
    </xf>
    <xf numFmtId="0" fontId="33" fillId="3" borderId="4" xfId="0" applyFont="1" applyFill="1" applyBorder="1" applyAlignment="1">
      <alignment horizontal="left"/>
    </xf>
    <xf numFmtId="0" fontId="33" fillId="3" borderId="8" xfId="0" applyFont="1" applyFill="1" applyBorder="1" applyAlignment="1">
      <alignment horizontal="center"/>
    </xf>
    <xf numFmtId="0" fontId="33" fillId="3" borderId="9" xfId="0" applyFont="1" applyFill="1" applyBorder="1" applyAlignment="1">
      <alignment horizontal="center"/>
    </xf>
    <xf numFmtId="0" fontId="33" fillId="3" borderId="10" xfId="0" applyFont="1" applyFill="1" applyBorder="1" applyAlignment="1">
      <alignment horizontal="center"/>
    </xf>
    <xf numFmtId="43" fontId="33" fillId="3" borderId="0" xfId="4" applyFont="1" applyFill="1" applyBorder="1"/>
    <xf numFmtId="166" fontId="28" fillId="3" borderId="10" xfId="0" applyNumberFormat="1" applyFont="1" applyFill="1" applyBorder="1" applyAlignment="1">
      <alignment horizontal="center"/>
    </xf>
    <xf numFmtId="0" fontId="33" fillId="3" borderId="5" xfId="0" applyFont="1" applyFill="1" applyBorder="1" applyAlignment="1">
      <alignment horizontal="left"/>
    </xf>
    <xf numFmtId="0" fontId="33" fillId="3" borderId="3" xfId="0" applyFont="1" applyFill="1" applyBorder="1" applyAlignment="1">
      <alignment horizontal="left"/>
    </xf>
    <xf numFmtId="180" fontId="33" fillId="3" borderId="4" xfId="4" applyNumberFormat="1" applyFont="1" applyFill="1" applyBorder="1"/>
    <xf numFmtId="180" fontId="33" fillId="3" borderId="5" xfId="4" applyNumberFormat="1" applyFont="1" applyFill="1" applyBorder="1"/>
    <xf numFmtId="180" fontId="33" fillId="3" borderId="3" xfId="4" applyNumberFormat="1" applyFont="1" applyFill="1" applyBorder="1"/>
    <xf numFmtId="43" fontId="68" fillId="3" borderId="0" xfId="668" applyNumberFormat="1" applyFill="1" applyAlignment="1">
      <alignment horizontal="left" vertical="center"/>
    </xf>
    <xf numFmtId="43" fontId="68" fillId="3" borderId="0" xfId="668" applyNumberFormat="1" applyFill="1" applyBorder="1" applyAlignment="1">
      <alignment horizontal="right" vertical="center"/>
    </xf>
    <xf numFmtId="175" fontId="28" fillId="41" borderId="3" xfId="4" applyNumberFormat="1" applyFont="1" applyFill="1" applyBorder="1" applyAlignment="1">
      <alignment horizontal="center"/>
    </xf>
    <xf numFmtId="43" fontId="33" fillId="5" borderId="14" xfId="4" applyFont="1" applyFill="1" applyBorder="1"/>
    <xf numFmtId="172" fontId="28" fillId="5" borderId="14" xfId="12" applyNumberFormat="1" applyFont="1" applyFill="1" applyBorder="1"/>
    <xf numFmtId="3" fontId="28" fillId="3" borderId="10" xfId="12" applyNumberFormat="1" applyFont="1" applyFill="1" applyBorder="1"/>
    <xf numFmtId="43" fontId="28" fillId="3" borderId="12" xfId="4" applyFont="1" applyFill="1" applyBorder="1"/>
    <xf numFmtId="43" fontId="28" fillId="3" borderId="11" xfId="4" applyFont="1" applyFill="1" applyBorder="1"/>
    <xf numFmtId="43" fontId="28" fillId="3" borderId="13" xfId="4" applyFont="1" applyFill="1" applyBorder="1"/>
    <xf numFmtId="43" fontId="28" fillId="3" borderId="7" xfId="4" applyFont="1" applyFill="1" applyBorder="1"/>
    <xf numFmtId="175" fontId="28" fillId="36" borderId="3" xfId="4" quotePrefix="1" applyNumberFormat="1" applyFont="1" applyFill="1" applyBorder="1"/>
    <xf numFmtId="43" fontId="28" fillId="3" borderId="0" xfId="4" applyNumberFormat="1" applyFont="1" applyFill="1" applyBorder="1"/>
    <xf numFmtId="3" fontId="28" fillId="3" borderId="17" xfId="12" applyNumberFormat="1" applyFont="1" applyFill="1" applyBorder="1"/>
    <xf numFmtId="177" fontId="28" fillId="3" borderId="7" xfId="4" applyNumberFormat="1" applyFont="1" applyFill="1" applyBorder="1"/>
    <xf numFmtId="43" fontId="28" fillId="36" borderId="4" xfId="4" applyNumberFormat="1" applyFont="1" applyFill="1" applyBorder="1"/>
    <xf numFmtId="0" fontId="69" fillId="3" borderId="0" xfId="260" applyFont="1" applyFill="1" applyAlignment="1">
      <alignment horizontal="left" vertical="center" indent="1"/>
    </xf>
    <xf numFmtId="0" fontId="68" fillId="7" borderId="8" xfId="668" applyFill="1" applyBorder="1" applyAlignment="1">
      <alignment horizontal="left" vertical="center" indent="1"/>
    </xf>
    <xf numFmtId="0" fontId="68" fillId="7" borderId="9" xfId="668" applyFill="1" applyBorder="1" applyAlignment="1">
      <alignment horizontal="left" vertical="center" indent="1"/>
    </xf>
    <xf numFmtId="0" fontId="68" fillId="7" borderId="10" xfId="668" applyFill="1" applyBorder="1" applyAlignment="1">
      <alignment horizontal="left" vertical="center" indent="1"/>
    </xf>
    <xf numFmtId="0" fontId="68" fillId="35" borderId="10" xfId="668" applyFill="1" applyBorder="1" applyAlignment="1">
      <alignment horizontal="left" vertical="center" indent="1"/>
    </xf>
    <xf numFmtId="0" fontId="68" fillId="32" borderId="17" xfId="668" applyFill="1" applyBorder="1" applyAlignment="1">
      <alignment horizontal="left" vertical="center" indent="1"/>
    </xf>
    <xf numFmtId="175" fontId="28" fillId="3" borderId="14" xfId="4" applyNumberFormat="1" applyFont="1" applyFill="1" applyBorder="1" applyProtection="1"/>
    <xf numFmtId="43" fontId="28" fillId="3" borderId="14" xfId="4" applyNumberFormat="1" applyFont="1" applyFill="1" applyBorder="1" applyProtection="1"/>
    <xf numFmtId="43" fontId="28" fillId="36" borderId="5" xfId="4" applyNumberFormat="1" applyFont="1" applyFill="1" applyBorder="1" applyProtection="1"/>
    <xf numFmtId="43" fontId="28" fillId="36" borderId="14" xfId="4" applyNumberFormat="1" applyFont="1" applyFill="1" applyBorder="1" applyProtection="1"/>
    <xf numFmtId="175" fontId="28" fillId="36" borderId="5" xfId="4" applyNumberFormat="1" applyFont="1" applyFill="1" applyBorder="1" applyProtection="1"/>
    <xf numFmtId="175" fontId="28" fillId="36" borderId="14" xfId="4" applyNumberFormat="1" applyFont="1" applyFill="1" applyBorder="1" applyProtection="1"/>
    <xf numFmtId="3" fontId="27" fillId="38" borderId="4" xfId="0" applyNumberFormat="1" applyFont="1" applyFill="1" applyBorder="1" applyAlignment="1">
      <alignment horizontal="center" vertical="center" wrapText="1"/>
    </xf>
    <xf numFmtId="175" fontId="27" fillId="38" borderId="4" xfId="4" applyNumberFormat="1" applyFont="1" applyFill="1" applyBorder="1" applyAlignment="1">
      <alignment horizontal="center" vertical="center" wrapText="1"/>
    </xf>
    <xf numFmtId="43" fontId="27" fillId="38" borderId="4" xfId="4" applyFont="1" applyFill="1" applyBorder="1" applyAlignment="1">
      <alignment horizontal="center" vertical="center" wrapText="1"/>
    </xf>
    <xf numFmtId="3" fontId="27" fillId="38" borderId="14" xfId="0" applyNumberFormat="1" applyFont="1" applyFill="1" applyBorder="1" applyAlignment="1">
      <alignment horizontal="center"/>
    </xf>
    <xf numFmtId="166" fontId="27" fillId="38" borderId="14" xfId="0" applyNumberFormat="1" applyFont="1" applyFill="1" applyBorder="1" applyAlignment="1">
      <alignment horizontal="center"/>
    </xf>
    <xf numFmtId="175" fontId="27" fillId="38" borderId="14" xfId="4" applyNumberFormat="1" applyFont="1" applyFill="1" applyBorder="1" applyAlignment="1">
      <alignment horizontal="center"/>
    </xf>
    <xf numFmtId="0" fontId="27" fillId="38" borderId="14" xfId="0" applyNumberFormat="1" applyFont="1" applyFill="1" applyBorder="1" applyAlignment="1">
      <alignment horizontal="center"/>
    </xf>
    <xf numFmtId="0" fontId="27" fillId="8" borderId="4" xfId="0" applyFont="1" applyFill="1" applyBorder="1" applyAlignment="1">
      <alignment horizontal="center" vertical="center" wrapText="1"/>
    </xf>
    <xf numFmtId="0" fontId="27" fillId="8" borderId="14" xfId="0" applyFont="1" applyFill="1" applyBorder="1" applyAlignment="1">
      <alignment horizontal="center" vertical="center" wrapText="1"/>
    </xf>
    <xf numFmtId="175" fontId="28" fillId="42" borderId="5" xfId="4" applyNumberFormat="1" applyFont="1" applyFill="1" applyBorder="1"/>
    <xf numFmtId="175" fontId="28" fillId="42" borderId="14" xfId="4" applyNumberFormat="1" applyFont="1" applyFill="1" applyBorder="1"/>
    <xf numFmtId="0" fontId="70" fillId="3" borderId="0" xfId="260" applyFont="1" applyFill="1" applyAlignment="1">
      <alignment horizontal="left" vertical="center" indent="1"/>
    </xf>
    <xf numFmtId="175" fontId="28" fillId="3" borderId="6" xfId="4" applyNumberFormat="1" applyFont="1" applyFill="1" applyBorder="1" applyAlignment="1">
      <alignment vertical="center"/>
    </xf>
    <xf numFmtId="43" fontId="28" fillId="3" borderId="14" xfId="4" applyNumberFormat="1" applyFont="1" applyFill="1" applyBorder="1" applyAlignment="1">
      <alignment vertical="center"/>
    </xf>
    <xf numFmtId="175" fontId="28" fillId="3" borderId="7" xfId="4" applyNumberFormat="1" applyFont="1" applyFill="1" applyBorder="1" applyAlignment="1">
      <alignment vertical="center"/>
    </xf>
    <xf numFmtId="0" fontId="29" fillId="3" borderId="0" xfId="11" applyFont="1" applyFill="1" applyAlignment="1">
      <alignment vertical="center"/>
    </xf>
    <xf numFmtId="175" fontId="28" fillId="3" borderId="8" xfId="4" applyNumberFormat="1" applyFont="1" applyFill="1" applyBorder="1" applyAlignment="1">
      <alignment vertical="center"/>
    </xf>
    <xf numFmtId="43" fontId="28" fillId="3" borderId="4" xfId="4" applyNumberFormat="1" applyFont="1" applyFill="1" applyBorder="1" applyAlignment="1">
      <alignment vertical="center"/>
    </xf>
    <xf numFmtId="175" fontId="28" fillId="3" borderId="0" xfId="0" applyNumberFormat="1" applyFont="1" applyFill="1" applyAlignment="1">
      <alignment vertical="center"/>
    </xf>
    <xf numFmtId="175" fontId="28" fillId="3" borderId="9" xfId="4" applyNumberFormat="1" applyFont="1" applyFill="1" applyBorder="1" applyAlignment="1">
      <alignment vertical="center"/>
    </xf>
    <xf numFmtId="43" fontId="28" fillId="3" borderId="5" xfId="4" applyNumberFormat="1" applyFont="1" applyFill="1" applyBorder="1" applyAlignment="1">
      <alignment vertical="center"/>
    </xf>
    <xf numFmtId="181" fontId="27" fillId="39" borderId="14" xfId="4" applyNumberFormat="1" applyFont="1" applyFill="1" applyBorder="1" applyAlignment="1">
      <alignment horizontal="center" vertical="center"/>
    </xf>
    <xf numFmtId="0" fontId="28" fillId="36" borderId="14" xfId="0" applyFont="1" applyFill="1" applyBorder="1" applyAlignment="1">
      <alignment horizontal="center" vertical="center" wrapText="1"/>
    </xf>
    <xf numFmtId="175" fontId="33" fillId="33" borderId="3" xfId="0" applyNumberFormat="1" applyFont="1" applyFill="1" applyBorder="1"/>
    <xf numFmtId="175" fontId="33" fillId="33" borderId="14" xfId="0" applyNumberFormat="1" applyFont="1" applyFill="1" applyBorder="1"/>
    <xf numFmtId="175" fontId="28" fillId="33" borderId="7" xfId="0" applyNumberFormat="1" applyFont="1" applyFill="1" applyBorder="1"/>
    <xf numFmtId="175" fontId="28" fillId="5" borderId="3" xfId="0" applyNumberFormat="1" applyFont="1" applyFill="1" applyBorder="1"/>
    <xf numFmtId="175" fontId="28" fillId="42" borderId="4" xfId="4" applyNumberFormat="1" applyFont="1" applyFill="1" applyBorder="1"/>
    <xf numFmtId="175" fontId="28" fillId="42" borderId="3" xfId="4" applyNumberFormat="1" applyFont="1" applyFill="1" applyBorder="1"/>
    <xf numFmtId="175" fontId="27" fillId="5" borderId="14" xfId="4" applyNumberFormat="1" applyFont="1" applyFill="1" applyBorder="1" applyAlignment="1">
      <alignment horizontal="center" vertical="center" wrapText="1"/>
    </xf>
    <xf numFmtId="175" fontId="27" fillId="40" borderId="14" xfId="4" applyNumberFormat="1" applyFont="1" applyFill="1" applyBorder="1" applyAlignment="1">
      <alignment horizontal="center" vertical="center" wrapText="1"/>
    </xf>
    <xf numFmtId="0" fontId="68" fillId="43" borderId="8" xfId="668" applyFill="1" applyBorder="1" applyAlignment="1">
      <alignment horizontal="left" vertical="center" indent="1"/>
    </xf>
    <xf numFmtId="0" fontId="68" fillId="43" borderId="9" xfId="668" applyFill="1" applyBorder="1" applyAlignment="1">
      <alignment horizontal="left" vertical="center" indent="1"/>
    </xf>
    <xf numFmtId="175" fontId="28" fillId="42" borderId="5" xfId="4" applyNumberFormat="1" applyFont="1" applyFill="1" applyBorder="1" applyProtection="1"/>
    <xf numFmtId="175" fontId="28" fillId="42" borderId="14" xfId="4" applyNumberFormat="1" applyFont="1" applyFill="1" applyBorder="1" applyProtection="1"/>
    <xf numFmtId="0" fontId="27" fillId="5" borderId="4" xfId="0" applyFont="1" applyFill="1" applyBorder="1" applyAlignment="1">
      <alignment horizontal="center" vertical="center" wrapText="1"/>
    </xf>
    <xf numFmtId="0" fontId="27" fillId="5" borderId="14" xfId="0" applyFont="1" applyFill="1" applyBorder="1" applyAlignment="1">
      <alignment horizontal="center" vertical="center" wrapText="1"/>
    </xf>
    <xf numFmtId="43" fontId="27" fillId="5" borderId="4" xfId="4" applyFont="1" applyFill="1" applyBorder="1" applyAlignment="1">
      <alignment horizontal="center" vertical="center" wrapText="1"/>
    </xf>
    <xf numFmtId="43" fontId="68" fillId="3" borderId="0" xfId="668" applyNumberFormat="1" applyFill="1" applyAlignment="1">
      <alignment horizontal="left" vertical="center"/>
    </xf>
    <xf numFmtId="175" fontId="28" fillId="44" borderId="5" xfId="4" applyNumberFormat="1" applyFont="1" applyFill="1" applyBorder="1"/>
    <xf numFmtId="175" fontId="28" fillId="44" borderId="0" xfId="4" applyNumberFormat="1" applyFont="1" applyFill="1" applyBorder="1"/>
    <xf numFmtId="0" fontId="68" fillId="34" borderId="17" xfId="668" applyFill="1" applyBorder="1" applyAlignment="1">
      <alignment horizontal="left" vertical="center" wrapText="1" indent="1"/>
    </xf>
    <xf numFmtId="177" fontId="28" fillId="3" borderId="5" xfId="4" applyNumberFormat="1" applyFont="1" applyFill="1" applyBorder="1"/>
    <xf numFmtId="177" fontId="28" fillId="44" borderId="4" xfId="4" applyNumberFormat="1" applyFont="1" applyFill="1" applyBorder="1"/>
    <xf numFmtId="177" fontId="28" fillId="44" borderId="5" xfId="4" applyNumberFormat="1" applyFont="1" applyFill="1" applyBorder="1"/>
    <xf numFmtId="177" fontId="28" fillId="44" borderId="3" xfId="4" applyNumberFormat="1" applyFont="1" applyFill="1" applyBorder="1"/>
    <xf numFmtId="43" fontId="28" fillId="3" borderId="12" xfId="4" applyNumberFormat="1" applyFont="1" applyFill="1" applyBorder="1"/>
    <xf numFmtId="43" fontId="28" fillId="3" borderId="11" xfId="4" applyNumberFormat="1" applyFont="1" applyFill="1" applyBorder="1"/>
    <xf numFmtId="0" fontId="28" fillId="36" borderId="4" xfId="0" applyFont="1" applyFill="1" applyBorder="1" applyAlignment="1">
      <alignment horizontal="center" vertical="center" wrapText="1"/>
    </xf>
    <xf numFmtId="175" fontId="28" fillId="35" borderId="12" xfId="4" applyNumberFormat="1" applyFont="1" applyFill="1" applyBorder="1"/>
    <xf numFmtId="175" fontId="28" fillId="35" borderId="13" xfId="4" applyNumberFormat="1" applyFont="1" applyFill="1" applyBorder="1"/>
    <xf numFmtId="0" fontId="68" fillId="5" borderId="17" xfId="668" applyFill="1" applyBorder="1" applyAlignment="1">
      <alignment horizontal="left" vertical="center" wrapText="1" indent="1"/>
    </xf>
    <xf numFmtId="177" fontId="27" fillId="5" borderId="4" xfId="0" applyNumberFormat="1" applyFont="1" applyFill="1" applyBorder="1" applyAlignment="1">
      <alignment horizontal="center" vertical="center" wrapText="1"/>
    </xf>
    <xf numFmtId="179" fontId="27" fillId="5" borderId="4" xfId="4" applyNumberFormat="1" applyFont="1" applyFill="1" applyBorder="1" applyAlignment="1">
      <alignment horizontal="center" vertical="center" wrapText="1"/>
    </xf>
    <xf numFmtId="175" fontId="28" fillId="4" borderId="4" xfId="0" applyNumberFormat="1" applyFont="1" applyFill="1" applyBorder="1"/>
    <xf numFmtId="175" fontId="28" fillId="4" borderId="5" xfId="0" applyNumberFormat="1" applyFont="1" applyFill="1" applyBorder="1"/>
    <xf numFmtId="175" fontId="28" fillId="4" borderId="3" xfId="0" applyNumberFormat="1" applyFont="1" applyFill="1" applyBorder="1"/>
    <xf numFmtId="175" fontId="28" fillId="4" borderId="14" xfId="0" applyNumberFormat="1" applyFont="1" applyFill="1" applyBorder="1"/>
    <xf numFmtId="183" fontId="27" fillId="5" borderId="14" xfId="0" applyNumberFormat="1" applyFont="1" applyFill="1" applyBorder="1" applyAlignment="1">
      <alignment horizontal="center" vertical="top" wrapText="1"/>
    </xf>
    <xf numFmtId="16" fontId="79" fillId="36" borderId="17" xfId="668" applyNumberFormat="1" applyFont="1" applyFill="1" applyBorder="1" applyAlignment="1">
      <alignment horizontal="center" vertical="center"/>
    </xf>
    <xf numFmtId="0" fontId="79" fillId="36" borderId="6" xfId="668" applyFont="1" applyFill="1" applyBorder="1" applyAlignment="1">
      <alignment horizontal="center" vertical="center"/>
    </xf>
    <xf numFmtId="0" fontId="79" fillId="36" borderId="7" xfId="668" applyFont="1" applyFill="1" applyBorder="1" applyAlignment="1">
      <alignment horizontal="center" vertical="center"/>
    </xf>
    <xf numFmtId="43" fontId="1" fillId="31" borderId="4" xfId="4" applyFont="1" applyFill="1" applyBorder="1"/>
    <xf numFmtId="43" fontId="1" fillId="31" borderId="5" xfId="4" applyFont="1" applyFill="1" applyBorder="1"/>
    <xf numFmtId="43" fontId="1" fillId="31" borderId="3" xfId="4" applyFont="1" applyFill="1" applyBorder="1"/>
    <xf numFmtId="43" fontId="28" fillId="36" borderId="5" xfId="4" applyFont="1" applyFill="1" applyBorder="1"/>
    <xf numFmtId="184" fontId="28" fillId="3" borderId="0" xfId="4" applyNumberFormat="1" applyFont="1" applyFill="1"/>
    <xf numFmtId="175" fontId="28" fillId="44" borderId="14" xfId="4" applyNumberFormat="1" applyFont="1" applyFill="1" applyBorder="1"/>
    <xf numFmtId="175" fontId="28" fillId="44" borderId="6" xfId="4" applyNumberFormat="1" applyFont="1" applyFill="1" applyBorder="1"/>
    <xf numFmtId="0" fontId="28" fillId="3" borderId="4" xfId="0" applyFont="1" applyFill="1" applyBorder="1" applyAlignment="1">
      <alignment horizontal="left"/>
    </xf>
    <xf numFmtId="0" fontId="28" fillId="3" borderId="5" xfId="0" applyFont="1" applyFill="1" applyBorder="1" applyAlignment="1">
      <alignment horizontal="left"/>
    </xf>
    <xf numFmtId="0" fontId="28" fillId="3" borderId="3" xfId="0" applyFont="1" applyFill="1" applyBorder="1" applyAlignment="1">
      <alignment horizontal="left"/>
    </xf>
    <xf numFmtId="175" fontId="28" fillId="4" borderId="7" xfId="4" applyNumberFormat="1" applyFont="1" applyFill="1" applyBorder="1"/>
    <xf numFmtId="0" fontId="27" fillId="33" borderId="4" xfId="0" applyFont="1" applyFill="1" applyBorder="1" applyAlignment="1">
      <alignment horizontal="center" vertical="center" wrapText="1"/>
    </xf>
    <xf numFmtId="43" fontId="28" fillId="3" borderId="0" xfId="4" applyFont="1" applyFill="1" applyAlignment="1">
      <alignment vertical="top"/>
    </xf>
    <xf numFmtId="43" fontId="28" fillId="36" borderId="14" xfId="4" applyFont="1" applyFill="1" applyBorder="1"/>
    <xf numFmtId="164" fontId="37" fillId="7" borderId="0" xfId="0" applyNumberFormat="1" applyFont="1" applyFill="1"/>
    <xf numFmtId="43" fontId="27" fillId="38" borderId="4" xfId="4" applyFont="1" applyFill="1" applyBorder="1" applyAlignment="1">
      <alignment horizontal="center" vertical="center" wrapText="1"/>
    </xf>
    <xf numFmtId="0" fontId="27" fillId="38" borderId="4" xfId="0" applyFont="1" applyFill="1" applyBorder="1" applyAlignment="1">
      <alignment horizontal="center" vertical="center" wrapText="1"/>
    </xf>
    <xf numFmtId="167" fontId="27" fillId="40" borderId="4" xfId="12" applyNumberFormat="1" applyFont="1" applyFill="1" applyBorder="1" applyAlignment="1">
      <alignment horizontal="center" vertical="center" wrapText="1"/>
    </xf>
    <xf numFmtId="167" fontId="27" fillId="38" borderId="4" xfId="12" applyNumberFormat="1" applyFont="1" applyFill="1" applyBorder="1" applyAlignment="1">
      <alignment horizontal="center" vertical="center" wrapText="1"/>
    </xf>
    <xf numFmtId="167" fontId="27" fillId="5" borderId="4" xfId="12" applyNumberFormat="1" applyFont="1" applyFill="1" applyBorder="1" applyAlignment="1">
      <alignment horizontal="center" vertical="center" wrapText="1"/>
    </xf>
    <xf numFmtId="167" fontId="27" fillId="39" borderId="4" xfId="12" applyNumberFormat="1" applyFont="1" applyFill="1" applyBorder="1" applyAlignment="1">
      <alignment horizontal="center" vertical="center" wrapText="1"/>
    </xf>
    <xf numFmtId="0" fontId="71" fillId="7" borderId="0" xfId="0" applyFont="1" applyFill="1" applyProtection="1"/>
    <xf numFmtId="0" fontId="68" fillId="7" borderId="0" xfId="668" applyFill="1" applyAlignment="1" applyProtection="1">
      <alignment horizontal="center" vertical="center"/>
    </xf>
    <xf numFmtId="0" fontId="68" fillId="7" borderId="0" xfId="668" applyFill="1" applyAlignment="1" applyProtection="1">
      <alignment horizontal="center" vertical="center" wrapText="1"/>
    </xf>
    <xf numFmtId="0" fontId="42" fillId="7" borderId="0" xfId="0" applyFont="1" applyFill="1" applyAlignment="1" applyProtection="1">
      <alignment horizontal="center" vertical="center"/>
    </xf>
    <xf numFmtId="0" fontId="28" fillId="7" borderId="0" xfId="0" applyFont="1" applyFill="1" applyProtection="1"/>
    <xf numFmtId="0" fontId="30" fillId="7" borderId="0" xfId="0" applyFont="1" applyFill="1" applyProtection="1"/>
    <xf numFmtId="0" fontId="28" fillId="6" borderId="33" xfId="0" applyFont="1" applyFill="1" applyBorder="1" applyAlignment="1" applyProtection="1">
      <alignment horizontal="center"/>
    </xf>
    <xf numFmtId="0" fontId="67" fillId="7" borderId="0" xfId="0" applyFont="1" applyFill="1" applyBorder="1" applyAlignment="1" applyProtection="1">
      <alignment vertical="center" wrapText="1"/>
    </xf>
    <xf numFmtId="0" fontId="28" fillId="6" borderId="14" xfId="0" applyFont="1" applyFill="1" applyBorder="1" applyAlignment="1" applyProtection="1">
      <alignment horizontal="center"/>
    </xf>
    <xf numFmtId="14" fontId="28" fillId="6" borderId="14" xfId="0" applyNumberFormat="1" applyFont="1" applyFill="1" applyBorder="1" applyAlignment="1" applyProtection="1">
      <alignment horizontal="center"/>
    </xf>
    <xf numFmtId="0" fontId="30" fillId="7" borderId="0" xfId="0" applyFont="1" applyFill="1" applyBorder="1" applyProtection="1"/>
    <xf numFmtId="0" fontId="28" fillId="7" borderId="0" xfId="0" applyFont="1" applyFill="1" applyBorder="1" applyProtection="1"/>
    <xf numFmtId="0" fontId="28" fillId="7" borderId="0" xfId="0" applyFont="1" applyFill="1" applyBorder="1" applyAlignment="1" applyProtection="1">
      <alignment wrapText="1"/>
    </xf>
    <xf numFmtId="3" fontId="28" fillId="6" borderId="14" xfId="0" applyNumberFormat="1" applyFont="1" applyFill="1" applyBorder="1" applyProtection="1"/>
    <xf numFmtId="0" fontId="75" fillId="7" borderId="0" xfId="0" applyFont="1" applyFill="1" applyBorder="1" applyAlignment="1" applyProtection="1">
      <alignment horizontal="left" indent="8"/>
    </xf>
    <xf numFmtId="3" fontId="28" fillId="46" borderId="14" xfId="0" applyNumberFormat="1" applyFont="1" applyFill="1" applyBorder="1" applyProtection="1"/>
    <xf numFmtId="3" fontId="28" fillId="7" borderId="14" xfId="0" applyNumberFormat="1" applyFont="1" applyFill="1" applyBorder="1" applyAlignment="1" applyProtection="1">
      <alignment horizontal="right"/>
    </xf>
    <xf numFmtId="9" fontId="28" fillId="6" borderId="14" xfId="0" applyNumberFormat="1" applyFont="1" applyFill="1" applyBorder="1" applyAlignment="1" applyProtection="1">
      <alignment horizontal="center" vertical="top" wrapText="1"/>
    </xf>
    <xf numFmtId="9" fontId="28" fillId="7" borderId="0" xfId="0" applyNumberFormat="1" applyFont="1" applyFill="1" applyBorder="1" applyAlignment="1" applyProtection="1">
      <alignment horizontal="center" vertical="top" wrapText="1"/>
    </xf>
    <xf numFmtId="2" fontId="28" fillId="7" borderId="0" xfId="0" applyNumberFormat="1" applyFont="1" applyFill="1" applyBorder="1" applyAlignment="1" applyProtection="1">
      <alignment horizontal="center"/>
    </xf>
    <xf numFmtId="10" fontId="28" fillId="7" borderId="14" xfId="0" applyNumberFormat="1" applyFont="1" applyFill="1" applyBorder="1" applyAlignment="1" applyProtection="1">
      <alignment horizontal="center" vertical="top" wrapText="1"/>
    </xf>
    <xf numFmtId="10" fontId="28" fillId="6" borderId="14" xfId="0" applyNumberFormat="1" applyFont="1" applyFill="1" applyBorder="1" applyAlignment="1" applyProtection="1">
      <alignment horizontal="center"/>
    </xf>
    <xf numFmtId="0" fontId="28" fillId="7" borderId="0" xfId="0" quotePrefix="1" applyFont="1" applyFill="1" applyBorder="1" applyAlignment="1" applyProtection="1"/>
    <xf numFmtId="10" fontId="28" fillId="6" borderId="17" xfId="0" applyNumberFormat="1" applyFont="1" applyFill="1" applyBorder="1" applyAlignment="1" applyProtection="1">
      <alignment horizontal="center"/>
    </xf>
    <xf numFmtId="170" fontId="28" fillId="7" borderId="0" xfId="0" applyNumberFormat="1" applyFont="1" applyFill="1" applyBorder="1" applyProtection="1"/>
    <xf numFmtId="0" fontId="29" fillId="7" borderId="0" xfId="0" applyFont="1" applyFill="1" applyProtection="1"/>
    <xf numFmtId="174" fontId="28" fillId="7" borderId="0" xfId="0" applyNumberFormat="1" applyFont="1" applyFill="1" applyBorder="1" applyProtection="1"/>
    <xf numFmtId="0" fontId="28" fillId="7" borderId="0" xfId="0" applyFont="1" applyFill="1" applyBorder="1" applyAlignment="1" applyProtection="1">
      <alignment horizontal="left" vertical="top"/>
    </xf>
    <xf numFmtId="3" fontId="28" fillId="7" borderId="14" xfId="0" applyNumberFormat="1" applyFont="1" applyFill="1" applyBorder="1" applyAlignment="1" applyProtection="1">
      <alignment horizontal="center"/>
    </xf>
    <xf numFmtId="3" fontId="28" fillId="7" borderId="0" xfId="0" applyNumberFormat="1" applyFont="1" applyFill="1" applyBorder="1" applyProtection="1"/>
    <xf numFmtId="0" fontId="28" fillId="7" borderId="0" xfId="0" applyFont="1" applyFill="1" applyBorder="1" applyAlignment="1" applyProtection="1">
      <alignment horizontal="left"/>
    </xf>
    <xf numFmtId="43" fontId="28" fillId="6" borderId="14" xfId="4" applyFont="1" applyFill="1" applyBorder="1" applyAlignment="1" applyProtection="1">
      <alignment horizontal="center"/>
    </xf>
    <xf numFmtId="43" fontId="28" fillId="7" borderId="0" xfId="4" applyFont="1" applyFill="1" applyBorder="1" applyProtection="1"/>
    <xf numFmtId="2" fontId="28" fillId="7" borderId="14" xfId="0" applyNumberFormat="1" applyFont="1" applyFill="1" applyBorder="1" applyAlignment="1" applyProtection="1"/>
    <xf numFmtId="0" fontId="28" fillId="7" borderId="0" xfId="0" applyFont="1" applyFill="1" applyBorder="1" applyAlignment="1" applyProtection="1"/>
    <xf numFmtId="0" fontId="28" fillId="7" borderId="0" xfId="0" applyFont="1" applyFill="1" applyBorder="1" applyAlignment="1" applyProtection="1">
      <alignment vertical="center" wrapText="1"/>
    </xf>
    <xf numFmtId="2" fontId="28" fillId="7" borderId="0" xfId="0" applyNumberFormat="1" applyFont="1" applyFill="1" applyBorder="1" applyAlignment="1" applyProtection="1">
      <alignment vertical="center"/>
    </xf>
    <xf numFmtId="0" fontId="28" fillId="7" borderId="0" xfId="0" applyFont="1" applyFill="1" applyBorder="1" applyAlignment="1" applyProtection="1">
      <alignment vertical="center"/>
    </xf>
    <xf numFmtId="0" fontId="28" fillId="7" borderId="0" xfId="0" applyFont="1" applyFill="1" applyAlignment="1" applyProtection="1">
      <alignment vertical="center"/>
    </xf>
    <xf numFmtId="2" fontId="28" fillId="7" borderId="14" xfId="4" applyNumberFormat="1" applyFont="1" applyFill="1" applyBorder="1" applyProtection="1"/>
    <xf numFmtId="43" fontId="28" fillId="7" borderId="14" xfId="4" applyFont="1" applyFill="1" applyBorder="1" applyProtection="1"/>
    <xf numFmtId="9" fontId="28" fillId="6" borderId="14" xfId="0" applyNumberFormat="1" applyFont="1" applyFill="1" applyBorder="1" applyAlignment="1" applyProtection="1">
      <alignment horizontal="center"/>
    </xf>
    <xf numFmtId="3" fontId="28" fillId="7" borderId="0" xfId="0" applyNumberFormat="1" applyFont="1" applyFill="1" applyProtection="1"/>
    <xf numFmtId="2" fontId="28" fillId="7" borderId="0" xfId="0" applyNumberFormat="1" applyFont="1" applyFill="1" applyProtection="1"/>
    <xf numFmtId="0" fontId="28" fillId="7" borderId="0" xfId="0" applyFont="1" applyFill="1" applyAlignment="1" applyProtection="1">
      <alignment vertical="top"/>
    </xf>
    <xf numFmtId="0" fontId="28" fillId="7" borderId="4" xfId="0" applyFont="1" applyFill="1" applyBorder="1" applyAlignment="1" applyProtection="1">
      <alignment horizontal="center" vertical="center" wrapText="1"/>
    </xf>
    <xf numFmtId="0" fontId="28" fillId="7" borderId="14" xfId="0" applyFont="1" applyFill="1" applyBorder="1" applyProtection="1"/>
    <xf numFmtId="43" fontId="28" fillId="6" borderId="17" xfId="4" applyFont="1" applyFill="1" applyBorder="1" applyProtection="1"/>
    <xf numFmtId="9" fontId="28" fillId="6" borderId="14" xfId="12" applyFont="1" applyFill="1" applyBorder="1" applyProtection="1"/>
    <xf numFmtId="175" fontId="28" fillId="7" borderId="14" xfId="4" applyNumberFormat="1" applyFont="1" applyFill="1" applyBorder="1" applyProtection="1"/>
    <xf numFmtId="0" fontId="28" fillId="6" borderId="14" xfId="0" applyFont="1" applyFill="1" applyBorder="1" applyAlignment="1" applyProtection="1">
      <alignment horizontal="center" vertical="top" wrapText="1"/>
    </xf>
    <xf numFmtId="176" fontId="28" fillId="7" borderId="14" xfId="4" applyNumberFormat="1" applyFont="1" applyFill="1" applyBorder="1" applyProtection="1"/>
    <xf numFmtId="10" fontId="28" fillId="7" borderId="3" xfId="12" applyNumberFormat="1" applyFont="1" applyFill="1" applyBorder="1" applyProtection="1"/>
    <xf numFmtId="164" fontId="28" fillId="7" borderId="0" xfId="0" applyNumberFormat="1" applyFont="1" applyFill="1" applyProtection="1"/>
    <xf numFmtId="171" fontId="28" fillId="7" borderId="0" xfId="0" applyNumberFormat="1" applyFont="1" applyFill="1" applyProtection="1"/>
    <xf numFmtId="177" fontId="28" fillId="6" borderId="14" xfId="4" applyNumberFormat="1" applyFont="1" applyFill="1" applyBorder="1" applyAlignment="1" applyProtection="1">
      <alignment horizontal="center" vertical="center" wrapText="1"/>
    </xf>
    <xf numFmtId="0" fontId="75" fillId="7" borderId="0" xfId="0" applyFont="1" applyFill="1" applyProtection="1"/>
    <xf numFmtId="0" fontId="28" fillId="7" borderId="0" xfId="0" applyFont="1" applyFill="1" applyBorder="1" applyAlignment="1" applyProtection="1">
      <alignment horizontal="right"/>
    </xf>
    <xf numFmtId="182" fontId="28" fillId="6" borderId="14" xfId="4" applyNumberFormat="1" applyFont="1" applyFill="1" applyBorder="1" applyAlignment="1" applyProtection="1">
      <alignment horizontal="center" vertical="center" wrapText="1"/>
    </xf>
    <xf numFmtId="175" fontId="28" fillId="6" borderId="14" xfId="4" applyNumberFormat="1" applyFont="1" applyFill="1" applyBorder="1" applyProtection="1"/>
    <xf numFmtId="182" fontId="28" fillId="7" borderId="14" xfId="4" applyNumberFormat="1" applyFont="1" applyFill="1" applyBorder="1" applyProtection="1"/>
    <xf numFmtId="0" fontId="67" fillId="7" borderId="0" xfId="0" applyFont="1" applyFill="1" applyAlignment="1" applyProtection="1">
      <alignment horizontal="right"/>
    </xf>
    <xf numFmtId="0" fontId="67" fillId="7" borderId="0" xfId="0" applyFont="1" applyFill="1" applyAlignment="1" applyProtection="1">
      <alignment horizontal="center"/>
    </xf>
    <xf numFmtId="175" fontId="28" fillId="33" borderId="14" xfId="4" applyNumberFormat="1" applyFont="1" applyFill="1" applyBorder="1" applyProtection="1"/>
    <xf numFmtId="43" fontId="75" fillId="7" borderId="0" xfId="4" applyFont="1" applyFill="1" applyProtection="1"/>
    <xf numFmtId="171" fontId="28" fillId="7" borderId="0" xfId="0" applyNumberFormat="1" applyFont="1" applyFill="1" applyBorder="1" applyProtection="1"/>
    <xf numFmtId="175" fontId="28" fillId="7" borderId="0" xfId="4" applyNumberFormat="1" applyFont="1" applyFill="1" applyBorder="1" applyProtection="1"/>
    <xf numFmtId="178" fontId="28" fillId="7" borderId="0" xfId="0" quotePrefix="1" applyNumberFormat="1" applyFont="1" applyFill="1" applyAlignment="1" applyProtection="1">
      <alignment horizontal="right"/>
    </xf>
    <xf numFmtId="175" fontId="28" fillId="7" borderId="0" xfId="4" applyNumberFormat="1" applyFont="1" applyFill="1" applyProtection="1"/>
    <xf numFmtId="168" fontId="28" fillId="6" borderId="14" xfId="12" applyNumberFormat="1" applyFont="1" applyFill="1" applyBorder="1" applyProtection="1"/>
    <xf numFmtId="164" fontId="28" fillId="7" borderId="0" xfId="0" applyNumberFormat="1" applyFont="1" applyFill="1" applyBorder="1" applyProtection="1"/>
    <xf numFmtId="43" fontId="42" fillId="3" borderId="5" xfId="4" applyFont="1" applyFill="1" applyBorder="1" applyProtection="1"/>
    <xf numFmtId="43" fontId="42" fillId="3" borderId="5" xfId="4" applyFont="1" applyFill="1" applyBorder="1" applyAlignment="1" applyProtection="1">
      <alignment horizontal="center"/>
    </xf>
    <xf numFmtId="43" fontId="28" fillId="3" borderId="0" xfId="4" applyFont="1" applyFill="1" applyProtection="1"/>
    <xf numFmtId="43" fontId="28" fillId="3" borderId="5" xfId="4" applyFont="1" applyFill="1" applyBorder="1" applyProtection="1"/>
    <xf numFmtId="43" fontId="28" fillId="3" borderId="9" xfId="4" applyFont="1" applyFill="1" applyBorder="1" applyProtection="1"/>
    <xf numFmtId="43" fontId="28" fillId="3" borderId="8" xfId="4" applyFont="1" applyFill="1" applyBorder="1" applyProtection="1"/>
    <xf numFmtId="43" fontId="28" fillId="3" borderId="4" xfId="4" applyFont="1" applyFill="1" applyBorder="1" applyAlignment="1" applyProtection="1">
      <alignment horizontal="center"/>
    </xf>
    <xf numFmtId="175" fontId="28" fillId="3" borderId="4" xfId="4" applyNumberFormat="1" applyFont="1" applyFill="1" applyBorder="1" applyProtection="1"/>
    <xf numFmtId="43" fontId="28" fillId="3" borderId="5" xfId="4" applyFont="1" applyFill="1" applyBorder="1" applyAlignment="1" applyProtection="1">
      <alignment horizontal="center"/>
    </xf>
    <xf numFmtId="43" fontId="28" fillId="3" borderId="9" xfId="4" applyFont="1" applyFill="1" applyBorder="1" applyAlignment="1" applyProtection="1">
      <alignment horizontal="center" vertical="top" wrapText="1"/>
    </xf>
    <xf numFmtId="175" fontId="28" fillId="3" borderId="5" xfId="4" applyNumberFormat="1" applyFont="1" applyFill="1" applyBorder="1" applyProtection="1"/>
    <xf numFmtId="43" fontId="42" fillId="3" borderId="9" xfId="4" applyFont="1" applyFill="1" applyBorder="1" applyProtection="1"/>
    <xf numFmtId="43" fontId="28" fillId="3" borderId="10" xfId="4" applyFont="1" applyFill="1" applyBorder="1" applyProtection="1"/>
    <xf numFmtId="43" fontId="28" fillId="3" borderId="3" xfId="4" applyFont="1" applyFill="1" applyBorder="1" applyAlignment="1" applyProtection="1">
      <alignment horizontal="center"/>
    </xf>
    <xf numFmtId="43" fontId="28" fillId="3" borderId="10" xfId="4" applyFont="1" applyFill="1" applyBorder="1" applyAlignment="1" applyProtection="1">
      <alignment horizontal="center" vertical="top" wrapText="1"/>
    </xf>
    <xf numFmtId="175" fontId="28" fillId="3" borderId="5" xfId="4" applyNumberFormat="1" applyFont="1" applyFill="1" applyBorder="1" applyAlignment="1" applyProtection="1">
      <alignment horizontal="center"/>
    </xf>
    <xf numFmtId="175" fontId="42" fillId="3" borderId="5" xfId="4" applyNumberFormat="1" applyFont="1" applyFill="1" applyBorder="1" applyProtection="1"/>
    <xf numFmtId="175" fontId="28" fillId="3" borderId="4" xfId="4" applyNumberFormat="1" applyFont="1" applyFill="1" applyBorder="1" applyAlignment="1" applyProtection="1">
      <alignment horizontal="center"/>
    </xf>
    <xf numFmtId="175" fontId="28" fillId="3" borderId="3" xfId="4" applyNumberFormat="1" applyFont="1" applyFill="1" applyBorder="1" applyAlignment="1" applyProtection="1">
      <alignment horizontal="center"/>
    </xf>
    <xf numFmtId="175" fontId="31" fillId="3" borderId="5" xfId="4" applyNumberFormat="1" applyFont="1" applyFill="1" applyBorder="1" applyProtection="1"/>
    <xf numFmtId="175" fontId="81" fillId="3" borderId="5" xfId="4" applyNumberFormat="1" applyFont="1" applyFill="1" applyBorder="1" applyProtection="1"/>
    <xf numFmtId="175" fontId="28" fillId="3" borderId="3" xfId="4" applyNumberFormat="1" applyFont="1" applyFill="1" applyBorder="1" applyProtection="1"/>
    <xf numFmtId="43" fontId="72" fillId="3" borderId="4" xfId="4" applyFont="1" applyFill="1" applyBorder="1" applyProtection="1"/>
    <xf numFmtId="43" fontId="72" fillId="3" borderId="5" xfId="4" applyFont="1" applyFill="1" applyBorder="1" applyProtection="1"/>
    <xf numFmtId="3" fontId="75" fillId="7" borderId="0" xfId="0" applyNumberFormat="1" applyFont="1" applyFill="1" applyAlignment="1" applyProtection="1">
      <alignment horizontal="center" vertical="center"/>
    </xf>
    <xf numFmtId="185" fontId="28" fillId="3" borderId="0" xfId="4" applyNumberFormat="1" applyFont="1" applyFill="1"/>
    <xf numFmtId="43" fontId="42" fillId="0" borderId="5" xfId="4" applyFont="1" applyFill="1" applyBorder="1" applyProtection="1"/>
    <xf numFmtId="3" fontId="37" fillId="3" borderId="0" xfId="4" applyNumberFormat="1" applyFont="1" applyFill="1"/>
    <xf numFmtId="3" fontId="27" fillId="5" borderId="0" xfId="4" applyNumberFormat="1" applyFont="1" applyFill="1"/>
    <xf numFmtId="3" fontId="37" fillId="2" borderId="28" xfId="0" applyNumberFormat="1" applyFont="1" applyFill="1" applyBorder="1" applyAlignment="1">
      <alignment horizontal="center" vertical="center" wrapText="1"/>
    </xf>
    <xf numFmtId="3" fontId="37" fillId="2" borderId="29" xfId="4" applyNumberFormat="1" applyFont="1" applyFill="1" applyBorder="1" applyAlignment="1">
      <alignment horizontal="center" vertical="center" wrapText="1"/>
    </xf>
    <xf numFmtId="186" fontId="37" fillId="3" borderId="0" xfId="4" applyNumberFormat="1" applyFont="1" applyFill="1"/>
    <xf numFmtId="186" fontId="37" fillId="2" borderId="0" xfId="4" applyNumberFormat="1" applyFont="1" applyFill="1"/>
    <xf numFmtId="186" fontId="27" fillId="5" borderId="0" xfId="4" applyNumberFormat="1" applyFont="1" applyFill="1"/>
    <xf numFmtId="186" fontId="37" fillId="2" borderId="0" xfId="4" applyNumberFormat="1" applyFont="1" applyFill="1" applyAlignment="1">
      <alignment wrapText="1"/>
    </xf>
    <xf numFmtId="186" fontId="39" fillId="3" borderId="0" xfId="0" applyNumberFormat="1" applyFont="1" applyFill="1" applyAlignment="1">
      <alignment wrapText="1"/>
    </xf>
    <xf numFmtId="186" fontId="37" fillId="3" borderId="0" xfId="0" applyNumberFormat="1" applyFont="1" applyFill="1"/>
    <xf numFmtId="3" fontId="37" fillId="31" borderId="30" xfId="0" applyNumberFormat="1" applyFont="1" applyFill="1" applyBorder="1" applyAlignment="1">
      <alignment horizontal="right"/>
    </xf>
    <xf numFmtId="3" fontId="37" fillId="31" borderId="30" xfId="4" applyNumberFormat="1" applyFont="1" applyFill="1" applyBorder="1" applyAlignment="1">
      <alignment horizontal="right"/>
    </xf>
    <xf numFmtId="3" fontId="37" fillId="31" borderId="0" xfId="4" applyNumberFormat="1" applyFont="1" applyFill="1" applyAlignment="1">
      <alignment horizontal="right"/>
    </xf>
    <xf numFmtId="3" fontId="37" fillId="31" borderId="31" xfId="0" applyNumberFormat="1" applyFont="1" applyFill="1" applyBorder="1" applyAlignment="1">
      <alignment horizontal="right"/>
    </xf>
    <xf numFmtId="3" fontId="37" fillId="31" borderId="32" xfId="4" applyNumberFormat="1" applyFont="1" applyFill="1" applyBorder="1" applyAlignment="1">
      <alignment horizontal="right"/>
    </xf>
    <xf numFmtId="3" fontId="37" fillId="31" borderId="16" xfId="4" applyNumberFormat="1" applyFont="1" applyFill="1" applyBorder="1" applyAlignment="1">
      <alignment horizontal="right"/>
    </xf>
    <xf numFmtId="179" fontId="71" fillId="3" borderId="0" xfId="4" applyNumberFormat="1" applyFont="1" applyFill="1" applyAlignment="1" applyProtection="1">
      <alignment horizontal="left"/>
    </xf>
    <xf numFmtId="43" fontId="28" fillId="3" borderId="0" xfId="4" applyFont="1" applyFill="1" applyAlignment="1" applyProtection="1">
      <alignment horizontal="center"/>
    </xf>
    <xf numFmtId="43" fontId="68" fillId="3" borderId="0" xfId="668" applyNumberFormat="1" applyFill="1" applyBorder="1" applyAlignment="1" applyProtection="1">
      <alignment horizontal="right" vertical="center"/>
    </xf>
    <xf numFmtId="43" fontId="68" fillId="3" borderId="0" xfId="668" applyNumberFormat="1" applyFill="1" applyAlignment="1" applyProtection="1">
      <alignment horizontal="center" vertical="center" wrapText="1"/>
    </xf>
    <xf numFmtId="43" fontId="68" fillId="3" borderId="0" xfId="668" applyNumberFormat="1" applyFill="1" applyAlignment="1" applyProtection="1">
      <alignment horizontal="left" vertical="center"/>
    </xf>
    <xf numFmtId="175" fontId="28" fillId="3" borderId="0" xfId="4" applyNumberFormat="1" applyFont="1" applyFill="1" applyProtection="1"/>
    <xf numFmtId="175" fontId="28" fillId="3" borderId="0" xfId="4" applyNumberFormat="1" applyFont="1" applyFill="1" applyAlignment="1" applyProtection="1">
      <alignment horizontal="center"/>
    </xf>
    <xf numFmtId="175" fontId="42" fillId="3" borderId="0" xfId="4" applyNumberFormat="1" applyFont="1" applyFill="1" applyProtection="1"/>
    <xf numFmtId="179" fontId="73" fillId="3" borderId="0" xfId="4" applyNumberFormat="1" applyFont="1" applyFill="1" applyAlignment="1" applyProtection="1">
      <alignment horizontal="left"/>
    </xf>
    <xf numFmtId="43" fontId="28" fillId="3" borderId="0" xfId="4" applyFont="1" applyFill="1" applyBorder="1" applyAlignment="1" applyProtection="1">
      <alignment horizontal="left"/>
    </xf>
    <xf numFmtId="175" fontId="28" fillId="3" borderId="0" xfId="4" applyNumberFormat="1" applyFont="1" applyFill="1" applyBorder="1" applyAlignment="1" applyProtection="1">
      <alignment horizontal="left"/>
    </xf>
    <xf numFmtId="179" fontId="28" fillId="3" borderId="0" xfId="4" applyNumberFormat="1" applyFont="1" applyFill="1" applyAlignment="1" applyProtection="1">
      <alignment horizontal="left"/>
    </xf>
    <xf numFmtId="43" fontId="28" fillId="3" borderId="0" xfId="4" applyFont="1" applyFill="1" applyBorder="1" applyAlignment="1" applyProtection="1">
      <alignment horizontal="center"/>
    </xf>
    <xf numFmtId="43" fontId="29" fillId="3" borderId="0" xfId="4" applyFont="1" applyFill="1" applyProtection="1"/>
    <xf numFmtId="43" fontId="41" fillId="38" borderId="4" xfId="4" applyFont="1" applyFill="1" applyBorder="1" applyAlignment="1" applyProtection="1">
      <alignment horizontal="center" vertical="center" wrapText="1"/>
    </xf>
    <xf numFmtId="43" fontId="27" fillId="38" borderId="4" xfId="4" applyFont="1" applyFill="1" applyBorder="1" applyAlignment="1" applyProtection="1">
      <alignment horizontal="center" vertical="center" wrapText="1"/>
    </xf>
    <xf numFmtId="175" fontId="27" fillId="38" borderId="4" xfId="4" applyNumberFormat="1" applyFont="1" applyFill="1" applyBorder="1" applyAlignment="1" applyProtection="1">
      <alignment horizontal="center" vertical="center" wrapText="1"/>
    </xf>
    <xf numFmtId="3" fontId="41" fillId="38" borderId="4" xfId="0" applyNumberFormat="1" applyFont="1" applyFill="1" applyBorder="1" applyAlignment="1" applyProtection="1">
      <alignment horizontal="center" vertical="center" wrapText="1"/>
    </xf>
    <xf numFmtId="43" fontId="27" fillId="3" borderId="0" xfId="4" applyFont="1" applyFill="1" applyBorder="1" applyAlignment="1" applyProtection="1">
      <alignment horizontal="center" vertical="center" textRotation="90" wrapText="1"/>
    </xf>
    <xf numFmtId="43" fontId="28" fillId="3" borderId="0" xfId="4" applyFont="1" applyFill="1" applyAlignment="1" applyProtection="1">
      <alignment horizontal="center" vertical="top" wrapText="1"/>
    </xf>
    <xf numFmtId="0" fontId="27" fillId="38" borderId="4" xfId="0" applyFont="1" applyFill="1" applyBorder="1" applyAlignment="1" applyProtection="1">
      <alignment horizontal="center" vertical="center" wrapText="1"/>
    </xf>
    <xf numFmtId="43" fontId="41" fillId="38" borderId="4" xfId="4" applyFont="1" applyFill="1" applyBorder="1" applyAlignment="1" applyProtection="1">
      <alignment horizontal="center"/>
    </xf>
    <xf numFmtId="43" fontId="27" fillId="38" borderId="12" xfId="4" applyFont="1" applyFill="1" applyBorder="1" applyAlignment="1" applyProtection="1">
      <alignment horizontal="center"/>
    </xf>
    <xf numFmtId="43" fontId="27" fillId="38" borderId="14" xfId="4" applyFont="1" applyFill="1" applyBorder="1" applyAlignment="1" applyProtection="1">
      <alignment horizontal="center"/>
    </xf>
    <xf numFmtId="175" fontId="27" fillId="38" borderId="14" xfId="4" applyNumberFormat="1" applyFont="1" applyFill="1" applyBorder="1" applyAlignment="1" applyProtection="1">
      <alignment horizontal="center"/>
    </xf>
    <xf numFmtId="0" fontId="41" fillId="38" borderId="4" xfId="4" quotePrefix="1" applyNumberFormat="1" applyFont="1" applyFill="1" applyBorder="1" applyAlignment="1" applyProtection="1">
      <alignment horizontal="center"/>
    </xf>
    <xf numFmtId="14" fontId="41" fillId="38" borderId="4" xfId="0" applyNumberFormat="1" applyFont="1" applyFill="1" applyBorder="1" applyAlignment="1" applyProtection="1">
      <alignment horizontal="center"/>
    </xf>
    <xf numFmtId="175" fontId="2" fillId="36" borderId="14" xfId="4" applyNumberFormat="1" applyFont="1" applyFill="1" applyBorder="1" applyAlignment="1" applyProtection="1">
      <alignment horizontal="center" vertical="center" wrapText="1"/>
    </xf>
    <xf numFmtId="179" fontId="28" fillId="3" borderId="5" xfId="4" applyNumberFormat="1" applyFont="1" applyFill="1" applyBorder="1" applyAlignment="1" applyProtection="1">
      <alignment horizontal="center"/>
    </xf>
    <xf numFmtId="43" fontId="28" fillId="42" borderId="9" xfId="4" applyFont="1" applyFill="1" applyBorder="1" applyProtection="1"/>
    <xf numFmtId="43" fontId="28" fillId="3" borderId="0" xfId="4" applyFont="1" applyFill="1" applyBorder="1" applyAlignment="1" applyProtection="1">
      <alignment horizontal="center" vertical="top" wrapText="1"/>
    </xf>
    <xf numFmtId="43" fontId="63" fillId="3" borderId="0" xfId="4" applyFont="1" applyFill="1" applyProtection="1"/>
    <xf numFmtId="0" fontId="28" fillId="3" borderId="4" xfId="28" applyFont="1" applyFill="1" applyBorder="1" applyAlignment="1" applyProtection="1">
      <alignment horizontal="center"/>
    </xf>
    <xf numFmtId="0" fontId="28" fillId="3" borderId="5" xfId="28" applyFont="1" applyFill="1" applyBorder="1" applyAlignment="1" applyProtection="1">
      <alignment horizontal="center"/>
    </xf>
    <xf numFmtId="43" fontId="42" fillId="3" borderId="11" xfId="4" applyFont="1" applyFill="1" applyBorder="1" applyProtection="1"/>
    <xf numFmtId="43" fontId="28" fillId="0" borderId="0" xfId="4" applyFont="1" applyFill="1" applyProtection="1"/>
    <xf numFmtId="179" fontId="28" fillId="0" borderId="5" xfId="4" applyNumberFormat="1" applyFont="1" applyFill="1" applyBorder="1" applyAlignment="1" applyProtection="1">
      <alignment horizontal="center"/>
    </xf>
    <xf numFmtId="43" fontId="64" fillId="3" borderId="0" xfId="4" applyFont="1" applyFill="1" applyProtection="1"/>
    <xf numFmtId="179" fontId="28" fillId="3" borderId="14" xfId="4" applyNumberFormat="1" applyFont="1" applyFill="1" applyBorder="1" applyAlignment="1" applyProtection="1">
      <alignment horizontal="center"/>
    </xf>
    <xf numFmtId="175" fontId="28" fillId="3" borderId="17" xfId="4" applyNumberFormat="1" applyFont="1" applyFill="1" applyBorder="1" applyAlignment="1" applyProtection="1">
      <alignment horizontal="center"/>
    </xf>
    <xf numFmtId="43" fontId="28" fillId="3" borderId="0" xfId="4" applyFont="1" applyFill="1" applyBorder="1" applyProtection="1"/>
    <xf numFmtId="43" fontId="28" fillId="3" borderId="14" xfId="4" applyFont="1" applyFill="1" applyBorder="1" applyProtection="1"/>
    <xf numFmtId="180" fontId="28" fillId="3" borderId="14" xfId="4" applyNumberFormat="1" applyFont="1" applyFill="1" applyBorder="1" applyAlignment="1" applyProtection="1">
      <alignment horizontal="center"/>
    </xf>
    <xf numFmtId="175" fontId="28" fillId="3" borderId="0" xfId="4" applyNumberFormat="1" applyFont="1" applyFill="1" applyBorder="1" applyProtection="1"/>
    <xf numFmtId="179" fontId="28" fillId="3" borderId="0" xfId="4" applyNumberFormat="1" applyFont="1" applyFill="1" applyAlignment="1" applyProtection="1">
      <alignment horizontal="center"/>
    </xf>
    <xf numFmtId="43" fontId="28" fillId="3" borderId="0" xfId="4" quotePrefix="1" applyFont="1" applyFill="1" applyProtection="1"/>
    <xf numFmtId="0" fontId="83" fillId="43" borderId="0" xfId="18" applyFont="1" applyFill="1"/>
    <xf numFmtId="0" fontId="28" fillId="43" borderId="0" xfId="18" applyFont="1" applyFill="1"/>
    <xf numFmtId="0" fontId="37" fillId="43" borderId="0" xfId="18" applyFont="1" applyFill="1" applyAlignment="1">
      <alignment horizontal="right"/>
    </xf>
    <xf numFmtId="0" fontId="34" fillId="43" borderId="0" xfId="18" applyFont="1" applyFill="1" applyAlignment="1">
      <alignment horizontal="right"/>
    </xf>
    <xf numFmtId="0" fontId="34" fillId="43" borderId="0" xfId="18" applyFont="1" applyFill="1"/>
    <xf numFmtId="0" fontId="86" fillId="3" borderId="0" xfId="669" applyFont="1" applyFill="1" applyAlignment="1">
      <alignment horizontal="left" vertical="top" wrapText="1"/>
    </xf>
    <xf numFmtId="0" fontId="86" fillId="3" borderId="0" xfId="669" applyFont="1" applyFill="1" applyAlignment="1">
      <alignment horizontal="left" vertical="top"/>
    </xf>
    <xf numFmtId="0" fontId="37" fillId="3" borderId="0" xfId="18" applyFont="1" applyFill="1"/>
    <xf numFmtId="0" fontId="37" fillId="43" borderId="0" xfId="18" applyFont="1" applyFill="1"/>
    <xf numFmtId="0" fontId="38" fillId="5" borderId="17" xfId="18" applyFont="1" applyFill="1" applyBorder="1"/>
    <xf numFmtId="0" fontId="27" fillId="5" borderId="6" xfId="18" applyFont="1" applyFill="1" applyBorder="1"/>
    <xf numFmtId="0" fontId="82" fillId="5" borderId="6" xfId="18" applyFont="1" applyFill="1" applyBorder="1" applyAlignment="1">
      <alignment horizontal="center"/>
    </xf>
    <xf numFmtId="0" fontId="82" fillId="5" borderId="7" xfId="18" applyFont="1" applyFill="1" applyBorder="1" applyAlignment="1">
      <alignment horizontal="center"/>
    </xf>
    <xf numFmtId="0" fontId="86" fillId="3" borderId="0" xfId="669" applyFont="1" applyFill="1" applyAlignment="1">
      <alignment horizontal="left" vertical="center" wrapText="1"/>
    </xf>
    <xf numFmtId="0" fontId="86" fillId="3" borderId="0" xfId="669" applyFont="1" applyFill="1" applyAlignment="1">
      <alignment horizontal="left" vertical="center"/>
    </xf>
    <xf numFmtId="43" fontId="37" fillId="3" borderId="0" xfId="4" applyFont="1" applyFill="1" applyBorder="1" applyAlignment="1" applyProtection="1">
      <alignment vertical="center"/>
    </xf>
    <xf numFmtId="43" fontId="37" fillId="31" borderId="0" xfId="4" applyFont="1" applyFill="1" applyBorder="1" applyAlignment="1" applyProtection="1">
      <alignment vertical="center"/>
      <protection locked="0"/>
    </xf>
    <xf numFmtId="0" fontId="37" fillId="43" borderId="0" xfId="18" applyFont="1" applyFill="1" applyAlignment="1">
      <alignment vertical="center"/>
    </xf>
    <xf numFmtId="43" fontId="37" fillId="31" borderId="0" xfId="4" applyFont="1" applyFill="1" applyBorder="1" applyAlignment="1" applyProtection="1">
      <alignment vertical="center" wrapText="1"/>
      <protection locked="0"/>
    </xf>
    <xf numFmtId="0" fontId="87" fillId="3" borderId="0" xfId="669" applyFont="1" applyFill="1" applyAlignment="1">
      <alignment horizontal="left" vertical="center"/>
    </xf>
    <xf numFmtId="43" fontId="39" fillId="3" borderId="0" xfId="4" applyFont="1" applyFill="1" applyBorder="1" applyAlignment="1" applyProtection="1">
      <alignment vertical="center"/>
    </xf>
    <xf numFmtId="43" fontId="88" fillId="3" borderId="0" xfId="4" applyFont="1" applyFill="1" applyBorder="1" applyAlignment="1" applyProtection="1">
      <alignment vertical="center"/>
    </xf>
    <xf numFmtId="0" fontId="38" fillId="5" borderId="17" xfId="18" applyFont="1" applyFill="1" applyBorder="1" applyAlignment="1">
      <alignment vertical="center"/>
    </xf>
    <xf numFmtId="0" fontId="27" fillId="5" borderId="6" xfId="18" applyFont="1" applyFill="1" applyBorder="1" applyAlignment="1">
      <alignment vertical="center"/>
    </xf>
    <xf numFmtId="43" fontId="27" fillId="5" borderId="6" xfId="4" applyFont="1" applyFill="1" applyBorder="1" applyAlignment="1" applyProtection="1">
      <alignment vertical="center"/>
    </xf>
    <xf numFmtId="43" fontId="27" fillId="5" borderId="7" xfId="4" applyFont="1" applyFill="1" applyBorder="1" applyAlignment="1" applyProtection="1">
      <alignment vertical="center"/>
    </xf>
    <xf numFmtId="0" fontId="28" fillId="43" borderId="0" xfId="18" applyFont="1" applyFill="1" applyAlignment="1">
      <alignment vertical="center"/>
    </xf>
    <xf numFmtId="0" fontId="37" fillId="3" borderId="0" xfId="669" applyFont="1" applyFill="1" applyAlignment="1">
      <alignment horizontal="left" vertical="center" wrapText="1"/>
    </xf>
    <xf numFmtId="0" fontId="37" fillId="3" borderId="0" xfId="669" applyFont="1" applyFill="1" applyAlignment="1">
      <alignment horizontal="left" vertical="center"/>
    </xf>
    <xf numFmtId="0" fontId="37" fillId="3" borderId="0" xfId="18" applyFont="1" applyFill="1" applyAlignment="1">
      <alignment vertical="center"/>
    </xf>
    <xf numFmtId="175" fontId="37" fillId="3" borderId="0" xfId="4" applyNumberFormat="1" applyFont="1" applyFill="1" applyBorder="1" applyAlignment="1" applyProtection="1">
      <alignment vertical="center"/>
    </xf>
    <xf numFmtId="43" fontId="27" fillId="5" borderId="6" xfId="4" applyFont="1" applyFill="1" applyBorder="1" applyProtection="1"/>
    <xf numFmtId="43" fontId="27" fillId="5" borderId="7" xfId="4" applyFont="1" applyFill="1" applyBorder="1" applyProtection="1"/>
    <xf numFmtId="43" fontId="37" fillId="3" borderId="0" xfId="4" applyFont="1" applyFill="1" applyBorder="1" applyProtection="1"/>
    <xf numFmtId="188" fontId="37" fillId="3" borderId="0" xfId="669" applyNumberFormat="1" applyFont="1" applyFill="1" applyAlignment="1">
      <alignment horizontal="left" vertical="top" wrapText="1"/>
    </xf>
    <xf numFmtId="0" fontId="37" fillId="3" borderId="0" xfId="669" applyFont="1" applyFill="1" applyAlignment="1">
      <alignment horizontal="left" vertical="top"/>
    </xf>
    <xf numFmtId="0" fontId="37" fillId="3" borderId="0" xfId="669" applyFont="1" applyFill="1" applyAlignment="1" applyProtection="1">
      <alignment horizontal="left" vertical="top"/>
      <protection locked="0"/>
    </xf>
    <xf numFmtId="43" fontId="37" fillId="3" borderId="0" xfId="4" applyFont="1" applyFill="1" applyBorder="1" applyAlignment="1" applyProtection="1">
      <alignment horizontal="right"/>
      <protection locked="0"/>
    </xf>
    <xf numFmtId="0" fontId="37" fillId="3" borderId="0" xfId="669" applyFont="1" applyFill="1" applyAlignment="1">
      <alignment horizontal="left" vertical="top" wrapText="1"/>
    </xf>
    <xf numFmtId="0" fontId="90" fillId="3" borderId="0" xfId="669" applyFont="1" applyFill="1" applyAlignment="1">
      <alignment horizontal="left" vertical="top"/>
    </xf>
    <xf numFmtId="43" fontId="28" fillId="0" borderId="9" xfId="4" applyFont="1" applyFill="1" applyBorder="1" applyProtection="1"/>
    <xf numFmtId="43" fontId="28" fillId="3" borderId="8" xfId="4" applyFont="1" applyFill="1" applyBorder="1" applyAlignment="1" applyProtection="1">
      <alignment horizontal="center" vertical="top" wrapText="1"/>
    </xf>
    <xf numFmtId="43" fontId="42" fillId="0" borderId="5" xfId="4" applyFont="1" applyFill="1" applyBorder="1" applyAlignment="1" applyProtection="1">
      <alignment horizontal="center"/>
    </xf>
    <xf numFmtId="43" fontId="42" fillId="0" borderId="0" xfId="4" applyFont="1" applyFill="1" applyBorder="1" applyProtection="1"/>
    <xf numFmtId="186" fontId="28" fillId="7" borderId="0" xfId="0" applyNumberFormat="1" applyFont="1" applyFill="1"/>
    <xf numFmtId="175" fontId="68" fillId="3" borderId="0" xfId="4" applyNumberFormat="1" applyFont="1" applyFill="1" applyAlignment="1">
      <alignment vertical="center" wrapText="1"/>
    </xf>
    <xf numFmtId="175" fontId="33" fillId="35" borderId="5" xfId="4" applyNumberFormat="1" applyFont="1" applyFill="1" applyBorder="1" applyAlignment="1">
      <alignment horizontal="center"/>
    </xf>
    <xf numFmtId="175" fontId="33" fillId="35" borderId="14" xfId="4" applyNumberFormat="1" applyFont="1" applyFill="1" applyBorder="1" applyAlignment="1">
      <alignment horizontal="center"/>
    </xf>
    <xf numFmtId="175" fontId="68" fillId="3" borderId="0" xfId="4" applyNumberFormat="1" applyFont="1" applyFill="1" applyAlignment="1">
      <alignment horizontal="center" vertical="center" wrapText="1"/>
    </xf>
    <xf numFmtId="175" fontId="33" fillId="35" borderId="11" xfId="4" applyNumberFormat="1" applyFont="1" applyFill="1" applyBorder="1" applyAlignment="1">
      <alignment horizontal="center"/>
    </xf>
    <xf numFmtId="175" fontId="33" fillId="36" borderId="5" xfId="4" applyNumberFormat="1" applyFont="1" applyFill="1" applyBorder="1" applyAlignment="1">
      <alignment horizontal="center"/>
    </xf>
    <xf numFmtId="175" fontId="33" fillId="36" borderId="14" xfId="4" applyNumberFormat="1" applyFont="1" applyFill="1" applyBorder="1" applyAlignment="1">
      <alignment horizontal="center"/>
    </xf>
    <xf numFmtId="175" fontId="33" fillId="41" borderId="5" xfId="4" applyNumberFormat="1" applyFont="1" applyFill="1" applyBorder="1" applyAlignment="1">
      <alignment horizontal="center"/>
    </xf>
    <xf numFmtId="175" fontId="33" fillId="41" borderId="14" xfId="4" applyNumberFormat="1" applyFont="1" applyFill="1" applyBorder="1" applyAlignment="1">
      <alignment horizontal="center"/>
    </xf>
    <xf numFmtId="177" fontId="28" fillId="3" borderId="3" xfId="4" applyNumberFormat="1" applyFont="1" applyFill="1" applyBorder="1"/>
    <xf numFmtId="177" fontId="28" fillId="3" borderId="8" xfId="4" applyNumberFormat="1" applyFont="1" applyFill="1" applyBorder="1"/>
    <xf numFmtId="177" fontId="28" fillId="3" borderId="9" xfId="4" applyNumberFormat="1" applyFont="1" applyFill="1" applyBorder="1"/>
    <xf numFmtId="177" fontId="28" fillId="3" borderId="10" xfId="4" applyNumberFormat="1" applyFont="1" applyFill="1" applyBorder="1"/>
    <xf numFmtId="175" fontId="28" fillId="4" borderId="4" xfId="4" applyNumberFormat="1" applyFont="1" applyFill="1" applyBorder="1" applyProtection="1">
      <protection locked="0"/>
    </xf>
    <xf numFmtId="175" fontId="28" fillId="4" borderId="5" xfId="4" applyNumberFormat="1" applyFont="1" applyFill="1" applyBorder="1" applyProtection="1">
      <protection locked="0"/>
    </xf>
    <xf numFmtId="175" fontId="28" fillId="4" borderId="3" xfId="4" applyNumberFormat="1" applyFont="1" applyFill="1" applyBorder="1" applyProtection="1">
      <protection locked="0"/>
    </xf>
    <xf numFmtId="186" fontId="37" fillId="3" borderId="0" xfId="4" applyNumberFormat="1" applyFont="1" applyFill="1" applyAlignment="1">
      <alignment horizontal="right"/>
    </xf>
    <xf numFmtId="186" fontId="37" fillId="3" borderId="16" xfId="4" applyNumberFormat="1" applyFont="1" applyFill="1" applyBorder="1" applyAlignment="1">
      <alignment horizontal="right"/>
    </xf>
    <xf numFmtId="186" fontId="39" fillId="3" borderId="0" xfId="4" applyNumberFormat="1" applyFont="1" applyFill="1" applyAlignment="1">
      <alignment horizontal="right"/>
    </xf>
    <xf numFmtId="186" fontId="27" fillId="5" borderId="0" xfId="4" applyNumberFormat="1" applyFont="1" applyFill="1" applyAlignment="1">
      <alignment horizontal="right"/>
    </xf>
    <xf numFmtId="186" fontId="39" fillId="3" borderId="0" xfId="0" applyNumberFormat="1" applyFont="1" applyFill="1" applyAlignment="1">
      <alignment horizontal="right" wrapText="1"/>
    </xf>
    <xf numFmtId="186" fontId="37" fillId="3" borderId="0" xfId="0" applyNumberFormat="1" applyFont="1" applyFill="1" applyAlignment="1">
      <alignment horizontal="right"/>
    </xf>
    <xf numFmtId="0" fontId="28" fillId="3" borderId="4" xfId="15" applyFont="1" applyFill="1" applyBorder="1" applyAlignment="1" applyProtection="1">
      <alignment horizontal="center"/>
    </xf>
    <xf numFmtId="0" fontId="28" fillId="3" borderId="5" xfId="15" applyFont="1" applyFill="1" applyBorder="1" applyAlignment="1" applyProtection="1">
      <alignment horizontal="center"/>
    </xf>
    <xf numFmtId="0" fontId="28" fillId="3" borderId="3" xfId="15" applyFont="1" applyFill="1" applyBorder="1" applyAlignment="1" applyProtection="1">
      <alignment horizontal="center"/>
    </xf>
    <xf numFmtId="43" fontId="68" fillId="7" borderId="0" xfId="4" applyFont="1" applyFill="1" applyAlignment="1" applyProtection="1">
      <alignment horizontal="center" vertical="center"/>
    </xf>
    <xf numFmtId="43" fontId="34" fillId="7" borderId="0" xfId="4" applyFont="1" applyFill="1"/>
    <xf numFmtId="43" fontId="28" fillId="7" borderId="0" xfId="4" applyFont="1" applyFill="1"/>
    <xf numFmtId="164" fontId="28" fillId="7" borderId="0" xfId="0" applyNumberFormat="1" applyFont="1" applyFill="1"/>
    <xf numFmtId="43" fontId="27" fillId="38" borderId="4" xfId="4" applyFont="1" applyFill="1" applyBorder="1" applyAlignment="1" applyProtection="1">
      <alignment horizontal="center" vertical="center" wrapText="1"/>
    </xf>
    <xf numFmtId="43" fontId="28" fillId="33" borderId="0" xfId="4" applyFont="1" applyFill="1" applyProtection="1"/>
    <xf numFmtId="0" fontId="37" fillId="3" borderId="0" xfId="0" applyFont="1" applyFill="1" applyAlignment="1">
      <alignment horizontal="left"/>
    </xf>
    <xf numFmtId="0" fontId="37" fillId="3" borderId="0" xfId="0" applyFont="1" applyFill="1" applyAlignment="1">
      <alignment horizontal="right"/>
    </xf>
    <xf numFmtId="0" fontId="37" fillId="3" borderId="0" xfId="18" applyFont="1" applyFill="1" applyAlignment="1">
      <alignment horizontal="right"/>
    </xf>
    <xf numFmtId="0" fontId="37" fillId="3" borderId="34" xfId="669" applyFont="1" applyFill="1" applyBorder="1" applyAlignment="1" applyProtection="1">
      <alignment horizontal="left" vertical="top" wrapText="1"/>
      <protection locked="0"/>
    </xf>
    <xf numFmtId="43" fontId="37" fillId="3" borderId="34" xfId="4" applyFont="1" applyFill="1" applyBorder="1" applyAlignment="1" applyProtection="1">
      <alignment horizontal="left"/>
      <protection locked="0"/>
    </xf>
    <xf numFmtId="0" fontId="34" fillId="30" borderId="0" xfId="18" applyFont="1" applyFill="1" applyAlignment="1" applyProtection="1">
      <alignment horizontal="center"/>
      <protection locked="0"/>
    </xf>
    <xf numFmtId="0" fontId="84" fillId="3" borderId="0" xfId="18" applyFont="1" applyFill="1" applyAlignment="1">
      <alignment horizontal="center" vertical="center"/>
    </xf>
    <xf numFmtId="0" fontId="85" fillId="3" borderId="0" xfId="18" applyFont="1" applyFill="1" applyAlignment="1">
      <alignment horizontal="center"/>
    </xf>
    <xf numFmtId="0" fontId="37" fillId="3" borderId="0" xfId="669" applyFont="1" applyFill="1" applyAlignment="1">
      <alignment horizontal="left" vertical="top" wrapText="1"/>
    </xf>
    <xf numFmtId="187" fontId="37" fillId="3" borderId="0" xfId="669" applyNumberFormat="1" applyFont="1" applyFill="1" applyAlignment="1">
      <alignment horizontal="left" vertical="top" wrapText="1"/>
    </xf>
    <xf numFmtId="0" fontId="21" fillId="7" borderId="16" xfId="260" applyFont="1" applyFill="1" applyBorder="1" applyAlignment="1">
      <alignment horizontal="center" vertical="center"/>
    </xf>
    <xf numFmtId="0" fontId="21" fillId="7" borderId="13" xfId="260" applyFont="1" applyFill="1" applyBorder="1" applyAlignment="1">
      <alignment horizontal="center" vertical="center"/>
    </xf>
    <xf numFmtId="0" fontId="21" fillId="5" borderId="6" xfId="260" applyFont="1" applyFill="1" applyBorder="1" applyAlignment="1">
      <alignment horizontal="center" vertical="center" wrapText="1"/>
    </xf>
    <xf numFmtId="0" fontId="21" fillId="5" borderId="7" xfId="260" applyFont="1" applyFill="1" applyBorder="1" applyAlignment="1">
      <alignment horizontal="center" vertical="center" wrapText="1"/>
    </xf>
    <xf numFmtId="0" fontId="21" fillId="43" borderId="15" xfId="260" applyFont="1" applyFill="1" applyBorder="1" applyAlignment="1">
      <alignment horizontal="center" vertical="center" wrapText="1"/>
    </xf>
    <xf numFmtId="0" fontId="21" fillId="43" borderId="12" xfId="260" applyFont="1" applyFill="1" applyBorder="1" applyAlignment="1">
      <alignment horizontal="center" vertical="center" wrapText="1"/>
    </xf>
    <xf numFmtId="0" fontId="21" fillId="43" borderId="11" xfId="260" applyFont="1" applyFill="1" applyBorder="1" applyAlignment="1">
      <alignment horizontal="center" vertical="center" wrapText="1"/>
    </xf>
    <xf numFmtId="0" fontId="21" fillId="43" borderId="0" xfId="260" applyFont="1" applyFill="1" applyBorder="1" applyAlignment="1">
      <alignment horizontal="center" vertical="center" wrapText="1"/>
    </xf>
    <xf numFmtId="0" fontId="21" fillId="32" borderId="6" xfId="260" applyFont="1" applyFill="1" applyBorder="1" applyAlignment="1">
      <alignment horizontal="center" vertical="center" wrapText="1"/>
    </xf>
    <xf numFmtId="0" fontId="21" fillId="32" borderId="7" xfId="260" applyFont="1" applyFill="1" applyBorder="1" applyAlignment="1">
      <alignment horizontal="center" vertical="center" wrapText="1"/>
    </xf>
    <xf numFmtId="0" fontId="21" fillId="7" borderId="15" xfId="260" applyFont="1" applyFill="1" applyBorder="1" applyAlignment="1">
      <alignment horizontal="center" vertical="center"/>
    </xf>
    <xf numFmtId="0" fontId="21" fillId="7" borderId="12" xfId="260" applyFont="1" applyFill="1" applyBorder="1" applyAlignment="1">
      <alignment horizontal="center" vertical="center"/>
    </xf>
    <xf numFmtId="0" fontId="21" fillId="35" borderId="16" xfId="260" applyFont="1" applyFill="1" applyBorder="1" applyAlignment="1">
      <alignment horizontal="center" vertical="center" wrapText="1"/>
    </xf>
    <xf numFmtId="0" fontId="21" fillId="35" borderId="13" xfId="260" applyFont="1" applyFill="1" applyBorder="1" applyAlignment="1">
      <alignment horizontal="center" vertical="center" wrapText="1"/>
    </xf>
    <xf numFmtId="0" fontId="21" fillId="7" borderId="15" xfId="260" applyFont="1" applyFill="1" applyBorder="1" applyAlignment="1">
      <alignment horizontal="center" vertical="center" wrapText="1"/>
    </xf>
    <xf numFmtId="0" fontId="21" fillId="7" borderId="12" xfId="260" applyFont="1" applyFill="1" applyBorder="1" applyAlignment="1">
      <alignment horizontal="center" vertical="center" wrapText="1"/>
    </xf>
    <xf numFmtId="0" fontId="21" fillId="7" borderId="11" xfId="260" applyFont="1" applyFill="1" applyBorder="1" applyAlignment="1">
      <alignment horizontal="center" vertical="center" wrapText="1"/>
    </xf>
    <xf numFmtId="0" fontId="21" fillId="7" borderId="16" xfId="260" applyFont="1" applyFill="1" applyBorder="1" applyAlignment="1">
      <alignment horizontal="center" vertical="center" wrapText="1"/>
    </xf>
    <xf numFmtId="0" fontId="21" fillId="7" borderId="13" xfId="260" applyFont="1" applyFill="1" applyBorder="1" applyAlignment="1">
      <alignment horizontal="center" vertical="center" wrapText="1"/>
    </xf>
    <xf numFmtId="0" fontId="21" fillId="34" borderId="6" xfId="260" applyFont="1" applyFill="1" applyBorder="1" applyAlignment="1">
      <alignment horizontal="center" vertical="center" wrapText="1"/>
    </xf>
    <xf numFmtId="0" fontId="21" fillId="34" borderId="7" xfId="260" applyFont="1" applyFill="1" applyBorder="1" applyAlignment="1">
      <alignment horizontal="center" vertical="center" wrapText="1"/>
    </xf>
    <xf numFmtId="0" fontId="28" fillId="7" borderId="0" xfId="0" applyFont="1" applyFill="1" applyAlignment="1" applyProtection="1">
      <alignment horizontal="center"/>
    </xf>
    <xf numFmtId="0" fontId="28" fillId="7" borderId="17" xfId="0" applyFont="1" applyFill="1" applyBorder="1" applyAlignment="1" applyProtection="1">
      <alignment horizontal="center"/>
    </xf>
    <xf numFmtId="0" fontId="28" fillId="7" borderId="7" xfId="0" applyFont="1" applyFill="1" applyBorder="1" applyAlignment="1" applyProtection="1">
      <alignment horizontal="center"/>
    </xf>
    <xf numFmtId="0" fontId="28" fillId="7" borderId="6" xfId="0" applyFont="1" applyFill="1" applyBorder="1" applyAlignment="1" applyProtection="1">
      <alignment horizontal="center"/>
    </xf>
    <xf numFmtId="0" fontId="67" fillId="7" borderId="4" xfId="0" applyFont="1" applyFill="1" applyBorder="1" applyAlignment="1" applyProtection="1">
      <alignment horizontal="center" vertical="center" wrapText="1"/>
    </xf>
    <xf numFmtId="0" fontId="67" fillId="7" borderId="5" xfId="0" applyFont="1" applyFill="1" applyBorder="1" applyAlignment="1" applyProtection="1">
      <alignment horizontal="center" vertical="center" wrapText="1"/>
    </xf>
    <xf numFmtId="0" fontId="67" fillId="7" borderId="3" xfId="0" applyFont="1" applyFill="1" applyBorder="1" applyAlignment="1" applyProtection="1">
      <alignment horizontal="center" vertical="center" wrapText="1"/>
    </xf>
    <xf numFmtId="0" fontId="66" fillId="7" borderId="8" xfId="0" applyFont="1" applyFill="1" applyBorder="1" applyAlignment="1" applyProtection="1">
      <alignment horizontal="left" vertical="center" wrapText="1"/>
    </xf>
    <xf numFmtId="0" fontId="66" fillId="7" borderId="15" xfId="0" applyFont="1" applyFill="1" applyBorder="1" applyAlignment="1" applyProtection="1">
      <alignment horizontal="left" vertical="center" wrapText="1"/>
    </xf>
    <xf numFmtId="0" fontId="66" fillId="7" borderId="12" xfId="0" applyFont="1" applyFill="1" applyBorder="1" applyAlignment="1" applyProtection="1">
      <alignment horizontal="left" vertical="center" wrapText="1"/>
    </xf>
    <xf numFmtId="0" fontId="66" fillId="7" borderId="9" xfId="0" applyFont="1" applyFill="1" applyBorder="1" applyAlignment="1" applyProtection="1">
      <alignment horizontal="left" vertical="center" wrapText="1"/>
    </xf>
    <xf numFmtId="0" fontId="66" fillId="7" borderId="0" xfId="0" applyFont="1" applyFill="1" applyBorder="1" applyAlignment="1" applyProtection="1">
      <alignment horizontal="left" vertical="center" wrapText="1"/>
    </xf>
    <xf numFmtId="0" fontId="66" fillId="7" borderId="11" xfId="0" applyFont="1" applyFill="1" applyBorder="1" applyAlignment="1" applyProtection="1">
      <alignment horizontal="left" vertical="center" wrapText="1"/>
    </xf>
    <xf numFmtId="0" fontId="66" fillId="7" borderId="10" xfId="0" applyFont="1" applyFill="1" applyBorder="1" applyAlignment="1" applyProtection="1">
      <alignment horizontal="left" vertical="center" wrapText="1"/>
    </xf>
    <xf numFmtId="0" fontId="66" fillId="7" borderId="16" xfId="0" applyFont="1" applyFill="1" applyBorder="1" applyAlignment="1" applyProtection="1">
      <alignment horizontal="left" vertical="center" wrapText="1"/>
    </xf>
    <xf numFmtId="0" fontId="66" fillId="7" borderId="13" xfId="0" applyFont="1" applyFill="1" applyBorder="1" applyAlignment="1" applyProtection="1">
      <alignment horizontal="left" vertical="center" wrapText="1"/>
    </xf>
    <xf numFmtId="0" fontId="40" fillId="3" borderId="0" xfId="0" applyFont="1" applyFill="1" applyAlignment="1">
      <alignment horizontal="center"/>
    </xf>
    <xf numFmtId="15" fontId="35" fillId="8" borderId="0" xfId="0" applyNumberFormat="1" applyFont="1" applyFill="1" applyAlignment="1" applyProtection="1">
      <alignment horizontal="center"/>
      <protection locked="0"/>
    </xf>
    <xf numFmtId="0" fontId="67" fillId="3" borderId="0" xfId="0" applyFont="1" applyFill="1" applyAlignment="1">
      <alignment horizontal="left" vertical="top" wrapText="1"/>
    </xf>
    <xf numFmtId="43" fontId="28" fillId="32" borderId="4" xfId="4" applyFont="1" applyFill="1" applyBorder="1" applyAlignment="1" applyProtection="1">
      <alignment horizontal="center" vertical="center" wrapText="1"/>
    </xf>
    <xf numFmtId="43" fontId="28" fillId="32" borderId="3" xfId="4" applyFont="1" applyFill="1" applyBorder="1" applyAlignment="1" applyProtection="1">
      <alignment horizontal="center" vertical="center" wrapText="1"/>
    </xf>
    <xf numFmtId="175" fontId="27" fillId="5" borderId="4" xfId="4" applyNumberFormat="1" applyFont="1" applyFill="1" applyBorder="1" applyAlignment="1" applyProtection="1">
      <alignment horizontal="center" vertical="center" wrapText="1"/>
    </xf>
    <xf numFmtId="175" fontId="27" fillId="5" borderId="3" xfId="4" applyNumberFormat="1" applyFont="1" applyFill="1" applyBorder="1" applyAlignment="1" applyProtection="1">
      <alignment horizontal="center" vertical="center" wrapText="1"/>
    </xf>
    <xf numFmtId="43" fontId="27" fillId="5" borderId="17" xfId="4" applyFont="1" applyFill="1" applyBorder="1" applyAlignment="1" applyProtection="1">
      <alignment horizontal="center"/>
    </xf>
    <xf numFmtId="43" fontId="27" fillId="5" borderId="6" xfId="4" applyFont="1" applyFill="1" applyBorder="1" applyAlignment="1" applyProtection="1">
      <alignment horizontal="center"/>
    </xf>
    <xf numFmtId="43" fontId="27" fillId="5" borderId="7" xfId="4" applyFont="1" applyFill="1" applyBorder="1" applyAlignment="1" applyProtection="1">
      <alignment horizontal="center"/>
    </xf>
    <xf numFmtId="175" fontId="2" fillId="36" borderId="8" xfId="4" applyNumberFormat="1" applyFont="1" applyFill="1" applyBorder="1" applyAlignment="1" applyProtection="1">
      <alignment horizontal="center" vertical="center" wrapText="1"/>
    </xf>
    <xf numFmtId="175" fontId="2" fillId="36" borderId="12" xfId="4" applyNumberFormat="1" applyFont="1" applyFill="1" applyBorder="1" applyAlignment="1" applyProtection="1">
      <alignment horizontal="center" vertical="center" wrapText="1"/>
    </xf>
    <xf numFmtId="175" fontId="27" fillId="5" borderId="5" xfId="4" applyNumberFormat="1" applyFont="1" applyFill="1" applyBorder="1" applyAlignment="1" applyProtection="1">
      <alignment horizontal="center" vertical="center" wrapText="1"/>
    </xf>
    <xf numFmtId="179" fontId="27" fillId="38" borderId="4" xfId="4" applyNumberFormat="1" applyFont="1" applyFill="1" applyBorder="1" applyAlignment="1" applyProtection="1">
      <alignment horizontal="center" vertical="center" wrapText="1"/>
    </xf>
    <xf numFmtId="179" fontId="27" fillId="38" borderId="3" xfId="4" applyNumberFormat="1" applyFont="1" applyFill="1" applyBorder="1" applyAlignment="1" applyProtection="1">
      <alignment horizontal="center" vertical="center" wrapText="1"/>
    </xf>
    <xf numFmtId="43" fontId="27" fillId="38" borderId="8" xfId="4" applyFont="1" applyFill="1" applyBorder="1" applyAlignment="1" applyProtection="1">
      <alignment horizontal="center" vertical="center" wrapText="1"/>
    </xf>
    <xf numFmtId="43" fontId="27" fillId="38" borderId="10" xfId="4" applyFont="1" applyFill="1" applyBorder="1" applyAlignment="1" applyProtection="1">
      <alignment horizontal="center" vertical="center" wrapText="1"/>
    </xf>
    <xf numFmtId="175" fontId="27" fillId="38" borderId="4" xfId="4" applyNumberFormat="1" applyFont="1" applyFill="1" applyBorder="1" applyAlignment="1" applyProtection="1">
      <alignment horizontal="center" vertical="center" wrapText="1"/>
    </xf>
    <xf numFmtId="175" fontId="27" fillId="38" borderId="3" xfId="4" applyNumberFormat="1" applyFont="1" applyFill="1" applyBorder="1" applyAlignment="1" applyProtection="1">
      <alignment horizontal="center" vertical="center" wrapText="1"/>
    </xf>
    <xf numFmtId="43" fontId="27" fillId="38" borderId="4" xfId="4" applyFont="1" applyFill="1" applyBorder="1" applyAlignment="1" applyProtection="1">
      <alignment horizontal="center" vertical="center" wrapText="1"/>
    </xf>
    <xf numFmtId="43" fontId="27" fillId="38" borderId="5" xfId="4" applyFont="1" applyFill="1" applyBorder="1" applyAlignment="1" applyProtection="1">
      <alignment horizontal="center" vertical="center" wrapText="1"/>
    </xf>
    <xf numFmtId="43" fontId="27" fillId="38" borderId="3" xfId="4" applyFont="1" applyFill="1" applyBorder="1" applyAlignment="1" applyProtection="1">
      <alignment horizontal="center" vertical="center" wrapText="1"/>
    </xf>
    <xf numFmtId="3" fontId="27" fillId="38" borderId="4" xfId="0" applyNumberFormat="1" applyFont="1" applyFill="1" applyBorder="1" applyAlignment="1">
      <alignment horizontal="center" vertical="center" wrapText="1"/>
    </xf>
    <xf numFmtId="3" fontId="27" fillId="38" borderId="3" xfId="0" applyNumberFormat="1" applyFont="1" applyFill="1" applyBorder="1" applyAlignment="1">
      <alignment horizontal="center" vertical="center" wrapText="1"/>
    </xf>
    <xf numFmtId="0" fontId="27" fillId="38" borderId="4" xfId="0" applyFont="1" applyFill="1" applyBorder="1" applyAlignment="1">
      <alignment horizontal="center" vertical="center" wrapText="1"/>
    </xf>
    <xf numFmtId="0" fontId="27" fillId="38" borderId="3" xfId="0" applyFont="1" applyFill="1" applyBorder="1" applyAlignment="1">
      <alignment horizontal="center" vertical="center" wrapText="1"/>
    </xf>
    <xf numFmtId="0" fontId="27" fillId="38" borderId="4" xfId="0" applyNumberFormat="1" applyFont="1" applyFill="1" applyBorder="1" applyAlignment="1">
      <alignment horizontal="center" vertical="center" wrapText="1"/>
    </xf>
    <xf numFmtId="0" fontId="27" fillId="38" borderId="3" xfId="0" applyNumberFormat="1" applyFont="1" applyFill="1" applyBorder="1" applyAlignment="1">
      <alignment horizontal="center" vertical="center" wrapText="1"/>
    </xf>
    <xf numFmtId="175" fontId="27" fillId="38" borderId="4" xfId="4" applyNumberFormat="1" applyFont="1" applyFill="1" applyBorder="1" applyAlignment="1">
      <alignment horizontal="center" vertical="center" wrapText="1"/>
    </xf>
    <xf numFmtId="175" fontId="27" fillId="38" borderId="3" xfId="4" applyNumberFormat="1" applyFont="1" applyFill="1" applyBorder="1" applyAlignment="1">
      <alignment horizontal="center" vertical="center" wrapText="1"/>
    </xf>
    <xf numFmtId="43" fontId="27" fillId="38" borderId="4" xfId="4" applyFont="1" applyFill="1" applyBorder="1" applyAlignment="1">
      <alignment horizontal="center" vertical="center" wrapText="1"/>
    </xf>
    <xf numFmtId="43" fontId="27" fillId="38" borderId="3" xfId="4" applyFont="1" applyFill="1" applyBorder="1" applyAlignment="1">
      <alignment horizontal="center" vertical="center" wrapText="1"/>
    </xf>
    <xf numFmtId="0" fontId="27" fillId="39" borderId="17" xfId="0" applyFont="1" applyFill="1" applyBorder="1" applyAlignment="1">
      <alignment horizontal="center" vertical="center" wrapText="1"/>
    </xf>
    <xf numFmtId="0" fontId="27" fillId="39" borderId="15" xfId="0" applyFont="1" applyFill="1" applyBorder="1" applyAlignment="1">
      <alignment horizontal="center" vertical="center" wrapText="1"/>
    </xf>
    <xf numFmtId="0" fontId="27" fillId="39" borderId="4" xfId="0" applyFont="1" applyFill="1" applyBorder="1" applyAlignment="1">
      <alignment horizontal="center" vertical="center" wrapText="1"/>
    </xf>
    <xf numFmtId="0" fontId="27" fillId="39" borderId="3" xfId="0" applyFont="1" applyFill="1" applyBorder="1" applyAlignment="1">
      <alignment horizontal="center" vertical="center" wrapText="1"/>
    </xf>
    <xf numFmtId="0" fontId="27" fillId="39" borderId="12" xfId="0" applyFont="1" applyFill="1" applyBorder="1" applyAlignment="1">
      <alignment horizontal="center" vertical="center" wrapText="1"/>
    </xf>
    <xf numFmtId="0" fontId="27" fillId="39" borderId="13" xfId="0" applyFont="1" applyFill="1" applyBorder="1" applyAlignment="1">
      <alignment horizontal="center" vertical="center" wrapText="1"/>
    </xf>
    <xf numFmtId="0" fontId="27" fillId="39" borderId="8" xfId="0" applyFont="1" applyFill="1" applyBorder="1" applyAlignment="1">
      <alignment horizontal="center" vertical="center" wrapText="1"/>
    </xf>
    <xf numFmtId="0" fontId="27" fillId="39" borderId="10" xfId="0" applyFont="1" applyFill="1" applyBorder="1" applyAlignment="1">
      <alignment horizontal="center" vertical="center" wrapText="1"/>
    </xf>
    <xf numFmtId="0" fontId="27" fillId="39" borderId="5" xfId="0" applyFont="1" applyFill="1" applyBorder="1" applyAlignment="1">
      <alignment horizontal="center" vertical="center" wrapText="1"/>
    </xf>
    <xf numFmtId="4" fontId="28" fillId="3" borderId="17" xfId="0" applyNumberFormat="1" applyFont="1" applyFill="1" applyBorder="1" applyAlignment="1">
      <alignment horizontal="left" vertical="center"/>
    </xf>
    <xf numFmtId="4" fontId="28" fillId="3" borderId="7" xfId="0" applyNumberFormat="1" applyFont="1" applyFill="1" applyBorder="1" applyAlignment="1">
      <alignment horizontal="left" vertical="center"/>
    </xf>
    <xf numFmtId="4" fontId="28" fillId="3" borderId="8" xfId="0" applyNumberFormat="1" applyFont="1" applyFill="1" applyBorder="1" applyAlignment="1">
      <alignment horizontal="left" vertical="center"/>
    </xf>
    <xf numFmtId="4" fontId="28" fillId="3" borderId="12" xfId="0" applyNumberFormat="1" applyFont="1" applyFill="1" applyBorder="1" applyAlignment="1">
      <alignment horizontal="left" vertical="center"/>
    </xf>
    <xf numFmtId="4" fontId="28" fillId="3" borderId="9" xfId="0" applyNumberFormat="1" applyFont="1" applyFill="1" applyBorder="1" applyAlignment="1">
      <alignment horizontal="left" vertical="center"/>
    </xf>
    <xf numFmtId="4" fontId="28" fillId="3" borderId="11" xfId="0" applyNumberFormat="1" applyFont="1" applyFill="1" applyBorder="1" applyAlignment="1">
      <alignment horizontal="left" vertical="center"/>
    </xf>
    <xf numFmtId="0" fontId="28" fillId="35" borderId="17" xfId="0" applyFont="1" applyFill="1" applyBorder="1" applyAlignment="1">
      <alignment horizontal="center"/>
    </xf>
    <xf numFmtId="0" fontId="28" fillId="35" borderId="6" xfId="0" applyFont="1" applyFill="1" applyBorder="1" applyAlignment="1">
      <alignment horizontal="center"/>
    </xf>
    <xf numFmtId="0" fontId="28" fillId="35" borderId="7" xfId="0" applyFont="1" applyFill="1" applyBorder="1" applyAlignment="1">
      <alignment horizontal="center"/>
    </xf>
    <xf numFmtId="10" fontId="27" fillId="39" borderId="14" xfId="12" applyNumberFormat="1" applyFont="1" applyFill="1" applyBorder="1" applyAlignment="1">
      <alignment horizontal="center" vertical="center" wrapText="1"/>
    </xf>
    <xf numFmtId="10" fontId="27" fillId="39" borderId="4" xfId="12" applyNumberFormat="1" applyFont="1" applyFill="1" applyBorder="1" applyAlignment="1">
      <alignment horizontal="center" vertical="center" wrapText="1"/>
    </xf>
    <xf numFmtId="0" fontId="27" fillId="39" borderId="17" xfId="0" applyFont="1" applyFill="1" applyBorder="1" applyAlignment="1">
      <alignment horizontal="center" vertical="center"/>
    </xf>
    <xf numFmtId="0" fontId="27" fillId="39" borderId="6" xfId="0" applyFont="1" applyFill="1" applyBorder="1" applyAlignment="1">
      <alignment horizontal="center" vertical="center"/>
    </xf>
    <xf numFmtId="0" fontId="27" fillId="39" borderId="7" xfId="0" applyFont="1" applyFill="1" applyBorder="1" applyAlignment="1">
      <alignment horizontal="center" vertical="center"/>
    </xf>
    <xf numFmtId="0" fontId="27" fillId="5" borderId="14" xfId="0" applyFont="1" applyFill="1" applyBorder="1" applyAlignment="1">
      <alignment horizontal="center" vertical="center" wrapText="1"/>
    </xf>
    <xf numFmtId="0" fontId="28" fillId="3" borderId="17" xfId="0" applyFont="1" applyFill="1" applyBorder="1" applyAlignment="1">
      <alignment horizontal="left"/>
    </xf>
    <xf numFmtId="0" fontId="28" fillId="3" borderId="7" xfId="0" applyFont="1" applyFill="1" applyBorder="1" applyAlignment="1">
      <alignment horizontal="left"/>
    </xf>
    <xf numFmtId="0" fontId="28" fillId="3" borderId="8" xfId="0" applyFont="1" applyFill="1" applyBorder="1" applyAlignment="1">
      <alignment horizontal="left"/>
    </xf>
    <xf numFmtId="0" fontId="28" fillId="3" borderId="12" xfId="0" applyFont="1" applyFill="1" applyBorder="1" applyAlignment="1">
      <alignment horizontal="left"/>
    </xf>
    <xf numFmtId="0" fontId="27" fillId="5" borderId="4" xfId="0" applyFont="1" applyFill="1" applyBorder="1" applyAlignment="1">
      <alignment horizontal="center" vertical="center" wrapText="1"/>
    </xf>
    <xf numFmtId="0" fontId="27" fillId="5" borderId="5"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7"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7" xfId="0" applyFont="1" applyFill="1" applyBorder="1" applyAlignment="1">
      <alignment horizontal="center" vertical="center"/>
    </xf>
    <xf numFmtId="175" fontId="27" fillId="5" borderId="4" xfId="4" applyNumberFormat="1" applyFont="1" applyFill="1" applyBorder="1" applyAlignment="1">
      <alignment horizontal="center" vertical="center" wrapText="1"/>
    </xf>
    <xf numFmtId="175" fontId="27" fillId="5" borderId="3" xfId="4" applyNumberFormat="1" applyFont="1" applyFill="1" applyBorder="1" applyAlignment="1">
      <alignment horizontal="center" vertical="center" wrapText="1"/>
    </xf>
    <xf numFmtId="43" fontId="27" fillId="5" borderId="4" xfId="4" applyFont="1" applyFill="1" applyBorder="1" applyAlignment="1">
      <alignment horizontal="center" vertical="center" wrapText="1"/>
    </xf>
    <xf numFmtId="43" fontId="27" fillId="5" borderId="3" xfId="4" applyFont="1" applyFill="1" applyBorder="1" applyAlignment="1">
      <alignment horizontal="center" vertical="center" wrapText="1"/>
    </xf>
    <xf numFmtId="175" fontId="27" fillId="5" borderId="5" xfId="4" applyNumberFormat="1" applyFont="1" applyFill="1" applyBorder="1" applyAlignment="1">
      <alignment horizontal="center" vertical="center" wrapText="1"/>
    </xf>
    <xf numFmtId="43" fontId="68" fillId="3" borderId="0" xfId="668" applyNumberFormat="1" applyFill="1" applyAlignment="1">
      <alignment horizontal="left" vertical="center"/>
    </xf>
    <xf numFmtId="0" fontId="27" fillId="5" borderId="12"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10" xfId="0" applyFont="1" applyFill="1" applyBorder="1" applyAlignment="1">
      <alignment horizontal="center" vertical="center" wrapText="1"/>
    </xf>
    <xf numFmtId="43" fontId="28" fillId="45" borderId="17" xfId="4" applyNumberFormat="1" applyFont="1" applyFill="1" applyBorder="1" applyAlignment="1">
      <alignment horizontal="center"/>
    </xf>
    <xf numFmtId="43" fontId="28" fillId="45" borderId="6" xfId="4" applyNumberFormat="1" applyFont="1" applyFill="1" applyBorder="1" applyAlignment="1">
      <alignment horizontal="center"/>
    </xf>
    <xf numFmtId="43" fontId="28" fillId="45" borderId="7" xfId="4" applyNumberFormat="1" applyFont="1" applyFill="1" applyBorder="1" applyAlignment="1">
      <alignment horizontal="center"/>
    </xf>
    <xf numFmtId="0" fontId="27" fillId="5" borderId="11" xfId="0" applyFont="1" applyFill="1" applyBorder="1" applyAlignment="1">
      <alignment horizontal="center" vertical="center" wrapText="1"/>
    </xf>
    <xf numFmtId="0" fontId="27" fillId="40" borderId="4" xfId="15" applyFont="1" applyFill="1" applyBorder="1" applyAlignment="1">
      <alignment horizontal="center" vertical="center" wrapText="1"/>
    </xf>
    <xf numFmtId="0" fontId="27" fillId="40" borderId="5" xfId="15" applyFont="1" applyFill="1" applyBorder="1" applyAlignment="1">
      <alignment horizontal="center" vertical="center" wrapText="1"/>
    </xf>
    <xf numFmtId="0" fontId="27" fillId="40" borderId="3" xfId="15" applyFont="1" applyFill="1" applyBorder="1" applyAlignment="1">
      <alignment horizontal="center" vertical="center" wrapText="1"/>
    </xf>
    <xf numFmtId="0" fontId="27" fillId="40" borderId="8" xfId="15" applyFont="1" applyFill="1" applyBorder="1" applyAlignment="1">
      <alignment horizontal="center" vertical="center" wrapText="1"/>
    </xf>
    <xf numFmtId="0" fontId="27" fillId="40" borderId="10" xfId="15" applyFont="1" applyFill="1" applyBorder="1" applyAlignment="1">
      <alignment horizontal="center" vertical="center" wrapText="1"/>
    </xf>
    <xf numFmtId="167" fontId="27" fillId="40" borderId="15" xfId="12" applyNumberFormat="1" applyFont="1" applyFill="1" applyBorder="1" applyAlignment="1">
      <alignment horizontal="center" vertical="center" wrapText="1"/>
    </xf>
    <xf numFmtId="167" fontId="27" fillId="40" borderId="12" xfId="12" applyNumberFormat="1" applyFont="1" applyFill="1" applyBorder="1" applyAlignment="1">
      <alignment horizontal="center" vertical="center" wrapText="1"/>
    </xf>
    <xf numFmtId="0" fontId="27" fillId="38" borderId="8" xfId="0" applyFont="1" applyFill="1" applyBorder="1" applyAlignment="1">
      <alignment horizontal="center" vertical="center" wrapText="1"/>
    </xf>
    <xf numFmtId="0" fontId="27" fillId="38" borderId="10" xfId="0" applyFont="1" applyFill="1" applyBorder="1" applyAlignment="1">
      <alignment horizontal="center" vertical="center" wrapText="1"/>
    </xf>
    <xf numFmtId="167" fontId="27" fillId="39" borderId="8" xfId="12" applyNumberFormat="1" applyFont="1" applyFill="1" applyBorder="1" applyAlignment="1">
      <alignment horizontal="center" vertical="center" wrapText="1"/>
    </xf>
    <xf numFmtId="167" fontId="27" fillId="39" borderId="15" xfId="12" applyNumberFormat="1" applyFont="1" applyFill="1" applyBorder="1" applyAlignment="1">
      <alignment horizontal="center" vertical="center" wrapText="1"/>
    </xf>
    <xf numFmtId="167" fontId="27" fillId="39" borderId="12" xfId="12" applyNumberFormat="1" applyFont="1" applyFill="1" applyBorder="1" applyAlignment="1">
      <alignment horizontal="center" vertical="center" wrapText="1"/>
    </xf>
    <xf numFmtId="167" fontId="27" fillId="5" borderId="15" xfId="12" applyNumberFormat="1" applyFont="1" applyFill="1" applyBorder="1" applyAlignment="1">
      <alignment horizontal="center" vertical="center" wrapText="1"/>
    </xf>
    <xf numFmtId="167" fontId="27" fillId="5" borderId="12" xfId="12" applyNumberFormat="1" applyFont="1" applyFill="1" applyBorder="1" applyAlignment="1">
      <alignment horizontal="center" vertical="center" wrapText="1"/>
    </xf>
  </cellXfs>
  <cellStyles count="670">
    <cellStyle name="20 % - Accent1 2" xfId="349" xr:uid="{00000000-0005-0000-0000-000000000000}"/>
    <cellStyle name="20 % - Accent2 2" xfId="350" xr:uid="{00000000-0005-0000-0000-000001000000}"/>
    <cellStyle name="20 % - Accent3 2" xfId="351" xr:uid="{00000000-0005-0000-0000-000002000000}"/>
    <cellStyle name="20 % - Accent4 2" xfId="352" xr:uid="{00000000-0005-0000-0000-000003000000}"/>
    <cellStyle name="20 % - Accent5 2" xfId="353" xr:uid="{00000000-0005-0000-0000-000004000000}"/>
    <cellStyle name="20 % - Accent6 2" xfId="354" xr:uid="{00000000-0005-0000-0000-000005000000}"/>
    <cellStyle name="40 % - Accent1 2" xfId="355" xr:uid="{00000000-0005-0000-0000-000006000000}"/>
    <cellStyle name="40 % - Accent2 2" xfId="356" xr:uid="{00000000-0005-0000-0000-000007000000}"/>
    <cellStyle name="40 % - Accent3 2" xfId="357" xr:uid="{00000000-0005-0000-0000-000008000000}"/>
    <cellStyle name="40 % - Accent4 2" xfId="358" xr:uid="{00000000-0005-0000-0000-000009000000}"/>
    <cellStyle name="40 % - Accent5 2" xfId="359" xr:uid="{00000000-0005-0000-0000-00000A000000}"/>
    <cellStyle name="40 % - Accent6 2" xfId="360" xr:uid="{00000000-0005-0000-0000-00000B000000}"/>
    <cellStyle name="60 % - Accent1 2" xfId="361" xr:uid="{00000000-0005-0000-0000-00000C000000}"/>
    <cellStyle name="60 % - Accent2 2" xfId="362" xr:uid="{00000000-0005-0000-0000-00000D000000}"/>
    <cellStyle name="60 % - Accent3 2" xfId="363" xr:uid="{00000000-0005-0000-0000-00000E000000}"/>
    <cellStyle name="60 % - Accent4 2" xfId="364" xr:uid="{00000000-0005-0000-0000-00000F000000}"/>
    <cellStyle name="60 % - Accent5 2" xfId="365" xr:uid="{00000000-0005-0000-0000-000010000000}"/>
    <cellStyle name="60 % - Accent6 2" xfId="366" xr:uid="{00000000-0005-0000-0000-000011000000}"/>
    <cellStyle name="Accent1 2" xfId="367" xr:uid="{00000000-0005-0000-0000-000012000000}"/>
    <cellStyle name="Accent2 2" xfId="368" xr:uid="{00000000-0005-0000-0000-000013000000}"/>
    <cellStyle name="Accent3 2" xfId="369" xr:uid="{00000000-0005-0000-0000-000014000000}"/>
    <cellStyle name="Accent4 2" xfId="370" xr:uid="{00000000-0005-0000-0000-000015000000}"/>
    <cellStyle name="Accent5 2" xfId="371" xr:uid="{00000000-0005-0000-0000-000016000000}"/>
    <cellStyle name="Accent6 2" xfId="372" xr:uid="{00000000-0005-0000-0000-000017000000}"/>
    <cellStyle name="Avertissement 2" xfId="373" xr:uid="{00000000-0005-0000-0000-000018000000}"/>
    <cellStyle name="Calcul 2" xfId="374" xr:uid="{00000000-0005-0000-0000-000019000000}"/>
    <cellStyle name="Cellule liée 2" xfId="375" xr:uid="{00000000-0005-0000-0000-00001A000000}"/>
    <cellStyle name="cexColumnHeadings" xfId="1" xr:uid="{00000000-0005-0000-0000-00001B000000}"/>
    <cellStyle name="cexColumnHeadings 2" xfId="393" xr:uid="{00000000-0005-0000-0000-00001C000000}"/>
    <cellStyle name="cexReportTitle" xfId="2" xr:uid="{00000000-0005-0000-0000-00001D000000}"/>
    <cellStyle name="cexTableEntry" xfId="3" xr:uid="{00000000-0005-0000-0000-00001E000000}"/>
    <cellStyle name="cexTableEntry 2" xfId="394" xr:uid="{00000000-0005-0000-0000-00001F000000}"/>
    <cellStyle name="Entrée 2" xfId="376" xr:uid="{00000000-0005-0000-0000-000020000000}"/>
    <cellStyle name="Insatisfaisant 2" xfId="377" xr:uid="{00000000-0005-0000-0000-000021000000}"/>
    <cellStyle name="Lien hypertexte" xfId="668" builtinId="8"/>
    <cellStyle name="Milliers" xfId="4" builtinId="3"/>
    <cellStyle name="Milliers 2" xfId="5" xr:uid="{00000000-0005-0000-0000-000023000000}"/>
    <cellStyle name="Milliers 3" xfId="6" xr:uid="{00000000-0005-0000-0000-000024000000}"/>
    <cellStyle name="Milliers 3 10" xfId="139" xr:uid="{00000000-0005-0000-0000-000025000000}"/>
    <cellStyle name="Milliers 3 10 2" xfId="395" xr:uid="{00000000-0005-0000-0000-000026000000}"/>
    <cellStyle name="Milliers 3 10 3" xfId="615" xr:uid="{00000000-0005-0000-0000-000027000000}"/>
    <cellStyle name="Milliers 3 11" xfId="156" xr:uid="{00000000-0005-0000-0000-000028000000}"/>
    <cellStyle name="Milliers 3 11 2" xfId="424" xr:uid="{00000000-0005-0000-0000-000029000000}"/>
    <cellStyle name="Milliers 3 11 3" xfId="644" xr:uid="{00000000-0005-0000-0000-00002A000000}"/>
    <cellStyle name="Milliers 3 12" xfId="173" xr:uid="{00000000-0005-0000-0000-00002B000000}"/>
    <cellStyle name="Milliers 3 13" xfId="448" xr:uid="{00000000-0005-0000-0000-00002C000000}"/>
    <cellStyle name="Milliers 3 2" xfId="16" xr:uid="{00000000-0005-0000-0000-00002D000000}"/>
    <cellStyle name="Milliers 3 2 10" xfId="158" xr:uid="{00000000-0005-0000-0000-00002E000000}"/>
    <cellStyle name="Milliers 3 2 10 2" xfId="426" xr:uid="{00000000-0005-0000-0000-00002F000000}"/>
    <cellStyle name="Milliers 3 2 10 3" xfId="646" xr:uid="{00000000-0005-0000-0000-000030000000}"/>
    <cellStyle name="Milliers 3 2 11" xfId="175" xr:uid="{00000000-0005-0000-0000-000031000000}"/>
    <cellStyle name="Milliers 3 2 12" xfId="450" xr:uid="{00000000-0005-0000-0000-000032000000}"/>
    <cellStyle name="Milliers 3 2 2" xfId="19" xr:uid="{00000000-0005-0000-0000-000033000000}"/>
    <cellStyle name="Milliers 3 2 2 10" xfId="452" xr:uid="{00000000-0005-0000-0000-000034000000}"/>
    <cellStyle name="Milliers 3 2 2 2" xfId="35" xr:uid="{00000000-0005-0000-0000-000035000000}"/>
    <cellStyle name="Milliers 3 2 2 2 2" xfId="59" xr:uid="{00000000-0005-0000-0000-000036000000}"/>
    <cellStyle name="Milliers 3 2 2 2 2 2" xfId="310" xr:uid="{00000000-0005-0000-0000-000037000000}"/>
    <cellStyle name="Milliers 3 2 2 2 2 2 2" xfId="576" xr:uid="{00000000-0005-0000-0000-000038000000}"/>
    <cellStyle name="Milliers 3 2 2 2 2 3" xfId="219" xr:uid="{00000000-0005-0000-0000-000039000000}"/>
    <cellStyle name="Milliers 3 2 2 2 2 4" xfId="493" xr:uid="{00000000-0005-0000-0000-00003A000000}"/>
    <cellStyle name="Milliers 3 2 2 2 3" xfId="88" xr:uid="{00000000-0005-0000-0000-00003B000000}"/>
    <cellStyle name="Milliers 3 2 2 2 3 2" xfId="339" xr:uid="{00000000-0005-0000-0000-00003C000000}"/>
    <cellStyle name="Milliers 3 2 2 2 3 2 2" xfId="605" xr:uid="{00000000-0005-0000-0000-00003D000000}"/>
    <cellStyle name="Milliers 3 2 2 2 3 3" xfId="248" xr:uid="{00000000-0005-0000-0000-00003E000000}"/>
    <cellStyle name="Milliers 3 2 2 2 3 4" xfId="522" xr:uid="{00000000-0005-0000-0000-00003F000000}"/>
    <cellStyle name="Milliers 3 2 2 2 4" xfId="111" xr:uid="{00000000-0005-0000-0000-000040000000}"/>
    <cellStyle name="Milliers 3 2 2 2 4 2" xfId="283" xr:uid="{00000000-0005-0000-0000-000041000000}"/>
    <cellStyle name="Milliers 3 2 2 2 4 3" xfId="549" xr:uid="{00000000-0005-0000-0000-000042000000}"/>
    <cellStyle name="Milliers 3 2 2 2 5" xfId="416" xr:uid="{00000000-0005-0000-0000-000043000000}"/>
    <cellStyle name="Milliers 3 2 2 2 5 2" xfId="636" xr:uid="{00000000-0005-0000-0000-000044000000}"/>
    <cellStyle name="Milliers 3 2 2 2 6" xfId="442" xr:uid="{00000000-0005-0000-0000-000045000000}"/>
    <cellStyle name="Milliers 3 2 2 2 6 2" xfId="662" xr:uid="{00000000-0005-0000-0000-000046000000}"/>
    <cellStyle name="Milliers 3 2 2 2 7" xfId="191" xr:uid="{00000000-0005-0000-0000-000047000000}"/>
    <cellStyle name="Milliers 3 2 2 2 8" xfId="466" xr:uid="{00000000-0005-0000-0000-000048000000}"/>
    <cellStyle name="Milliers 3 2 2 3" xfId="45" xr:uid="{00000000-0005-0000-0000-000049000000}"/>
    <cellStyle name="Milliers 3 2 2 3 2" xfId="293" xr:uid="{00000000-0005-0000-0000-00004A000000}"/>
    <cellStyle name="Milliers 3 2 2 3 2 2" xfId="559" xr:uid="{00000000-0005-0000-0000-00004B000000}"/>
    <cellStyle name="Milliers 3 2 2 3 3" xfId="201" xr:uid="{00000000-0005-0000-0000-00004C000000}"/>
    <cellStyle name="Milliers 3 2 2 3 4" xfId="476" xr:uid="{00000000-0005-0000-0000-00004D000000}"/>
    <cellStyle name="Milliers 3 2 2 4" xfId="71" xr:uid="{00000000-0005-0000-0000-00004E000000}"/>
    <cellStyle name="Milliers 3 2 2 4 2" xfId="322" xr:uid="{00000000-0005-0000-0000-00004F000000}"/>
    <cellStyle name="Milliers 3 2 2 4 2 2" xfId="588" xr:uid="{00000000-0005-0000-0000-000050000000}"/>
    <cellStyle name="Milliers 3 2 2 4 3" xfId="231" xr:uid="{00000000-0005-0000-0000-000051000000}"/>
    <cellStyle name="Milliers 3 2 2 4 4" xfId="505" xr:uid="{00000000-0005-0000-0000-000052000000}"/>
    <cellStyle name="Milliers 3 2 2 5" xfId="97" xr:uid="{00000000-0005-0000-0000-000053000000}"/>
    <cellStyle name="Milliers 3 2 2 5 2" xfId="268" xr:uid="{00000000-0005-0000-0000-000054000000}"/>
    <cellStyle name="Milliers 3 2 2 5 3" xfId="535" xr:uid="{00000000-0005-0000-0000-000055000000}"/>
    <cellStyle name="Milliers 3 2 2 6" xfId="124" xr:uid="{00000000-0005-0000-0000-000056000000}"/>
    <cellStyle name="Milliers 3 2 2 6 2" xfId="399" xr:uid="{00000000-0005-0000-0000-000057000000}"/>
    <cellStyle name="Milliers 3 2 2 6 3" xfId="619" xr:uid="{00000000-0005-0000-0000-000058000000}"/>
    <cellStyle name="Milliers 3 2 2 7" xfId="143" xr:uid="{00000000-0005-0000-0000-000059000000}"/>
    <cellStyle name="Milliers 3 2 2 7 2" xfId="428" xr:uid="{00000000-0005-0000-0000-00005A000000}"/>
    <cellStyle name="Milliers 3 2 2 7 3" xfId="648" xr:uid="{00000000-0005-0000-0000-00005B000000}"/>
    <cellStyle name="Milliers 3 2 2 8" xfId="160" xr:uid="{00000000-0005-0000-0000-00005C000000}"/>
    <cellStyle name="Milliers 3 2 2 9" xfId="177" xr:uid="{00000000-0005-0000-0000-00005D000000}"/>
    <cellStyle name="Milliers 3 2 3" xfId="20" xr:uid="{00000000-0005-0000-0000-00005E000000}"/>
    <cellStyle name="Milliers 3 2 3 10" xfId="453" xr:uid="{00000000-0005-0000-0000-00005F000000}"/>
    <cellStyle name="Milliers 3 2 3 2" xfId="39" xr:uid="{00000000-0005-0000-0000-000060000000}"/>
    <cellStyle name="Milliers 3 2 3 2 2" xfId="63" xr:uid="{00000000-0005-0000-0000-000061000000}"/>
    <cellStyle name="Milliers 3 2 3 2 2 2" xfId="311" xr:uid="{00000000-0005-0000-0000-000062000000}"/>
    <cellStyle name="Milliers 3 2 3 2 2 2 2" xfId="577" xr:uid="{00000000-0005-0000-0000-000063000000}"/>
    <cellStyle name="Milliers 3 2 3 2 2 3" xfId="220" xr:uid="{00000000-0005-0000-0000-000064000000}"/>
    <cellStyle name="Milliers 3 2 3 2 2 4" xfId="494" xr:uid="{00000000-0005-0000-0000-000065000000}"/>
    <cellStyle name="Milliers 3 2 3 2 3" xfId="91" xr:uid="{00000000-0005-0000-0000-000066000000}"/>
    <cellStyle name="Milliers 3 2 3 2 3 2" xfId="340" xr:uid="{00000000-0005-0000-0000-000067000000}"/>
    <cellStyle name="Milliers 3 2 3 2 3 2 2" xfId="606" xr:uid="{00000000-0005-0000-0000-000068000000}"/>
    <cellStyle name="Milliers 3 2 3 2 3 3" xfId="249" xr:uid="{00000000-0005-0000-0000-000069000000}"/>
    <cellStyle name="Milliers 3 2 3 2 3 4" xfId="523" xr:uid="{00000000-0005-0000-0000-00006A000000}"/>
    <cellStyle name="Milliers 3 2 3 2 4" xfId="115" xr:uid="{00000000-0005-0000-0000-00006B000000}"/>
    <cellStyle name="Milliers 3 2 3 2 4 2" xfId="287" xr:uid="{00000000-0005-0000-0000-00006C000000}"/>
    <cellStyle name="Milliers 3 2 3 2 4 3" xfId="553" xr:uid="{00000000-0005-0000-0000-00006D000000}"/>
    <cellStyle name="Milliers 3 2 3 2 5" xfId="417" xr:uid="{00000000-0005-0000-0000-00006E000000}"/>
    <cellStyle name="Milliers 3 2 3 2 5 2" xfId="637" xr:uid="{00000000-0005-0000-0000-00006F000000}"/>
    <cellStyle name="Milliers 3 2 3 2 6" xfId="446" xr:uid="{00000000-0005-0000-0000-000070000000}"/>
    <cellStyle name="Milliers 3 2 3 2 6 2" xfId="666" xr:uid="{00000000-0005-0000-0000-000071000000}"/>
    <cellStyle name="Milliers 3 2 3 2 7" xfId="195" xr:uid="{00000000-0005-0000-0000-000072000000}"/>
    <cellStyle name="Milliers 3 2 3 2 8" xfId="470" xr:uid="{00000000-0005-0000-0000-000073000000}"/>
    <cellStyle name="Milliers 3 2 3 3" xfId="46" xr:uid="{00000000-0005-0000-0000-000074000000}"/>
    <cellStyle name="Milliers 3 2 3 3 2" xfId="294" xr:uid="{00000000-0005-0000-0000-000075000000}"/>
    <cellStyle name="Milliers 3 2 3 3 2 2" xfId="560" xr:uid="{00000000-0005-0000-0000-000076000000}"/>
    <cellStyle name="Milliers 3 2 3 3 3" xfId="202" xr:uid="{00000000-0005-0000-0000-000077000000}"/>
    <cellStyle name="Milliers 3 2 3 3 4" xfId="477" xr:uid="{00000000-0005-0000-0000-000078000000}"/>
    <cellStyle name="Milliers 3 2 3 4" xfId="72" xr:uid="{00000000-0005-0000-0000-000079000000}"/>
    <cellStyle name="Milliers 3 2 3 4 2" xfId="323" xr:uid="{00000000-0005-0000-0000-00007A000000}"/>
    <cellStyle name="Milliers 3 2 3 4 2 2" xfId="589" xr:uid="{00000000-0005-0000-0000-00007B000000}"/>
    <cellStyle name="Milliers 3 2 3 4 3" xfId="232" xr:uid="{00000000-0005-0000-0000-00007C000000}"/>
    <cellStyle name="Milliers 3 2 3 4 4" xfId="506" xr:uid="{00000000-0005-0000-0000-00007D000000}"/>
    <cellStyle name="Milliers 3 2 3 5" xfId="98" xr:uid="{00000000-0005-0000-0000-00007E000000}"/>
    <cellStyle name="Milliers 3 2 3 5 2" xfId="269" xr:uid="{00000000-0005-0000-0000-00007F000000}"/>
    <cellStyle name="Milliers 3 2 3 5 3" xfId="536" xr:uid="{00000000-0005-0000-0000-000080000000}"/>
    <cellStyle name="Milliers 3 2 3 6" xfId="125" xr:uid="{00000000-0005-0000-0000-000081000000}"/>
    <cellStyle name="Milliers 3 2 3 6 2" xfId="400" xr:uid="{00000000-0005-0000-0000-000082000000}"/>
    <cellStyle name="Milliers 3 2 3 6 3" xfId="620" xr:uid="{00000000-0005-0000-0000-000083000000}"/>
    <cellStyle name="Milliers 3 2 3 7" xfId="144" xr:uid="{00000000-0005-0000-0000-000084000000}"/>
    <cellStyle name="Milliers 3 2 3 7 2" xfId="429" xr:uid="{00000000-0005-0000-0000-000085000000}"/>
    <cellStyle name="Milliers 3 2 3 7 3" xfId="649" xr:uid="{00000000-0005-0000-0000-000086000000}"/>
    <cellStyle name="Milliers 3 2 3 8" xfId="161" xr:uid="{00000000-0005-0000-0000-000087000000}"/>
    <cellStyle name="Milliers 3 2 3 9" xfId="178" xr:uid="{00000000-0005-0000-0000-000088000000}"/>
    <cellStyle name="Milliers 3 2 4" xfId="31" xr:uid="{00000000-0005-0000-0000-000089000000}"/>
    <cellStyle name="Milliers 3 2 4 2" xfId="55" xr:uid="{00000000-0005-0000-0000-00008A000000}"/>
    <cellStyle name="Milliers 3 2 4 2 2" xfId="304" xr:uid="{00000000-0005-0000-0000-00008B000000}"/>
    <cellStyle name="Milliers 3 2 4 2 2 2" xfId="570" xr:uid="{00000000-0005-0000-0000-00008C000000}"/>
    <cellStyle name="Milliers 3 2 4 2 3" xfId="213" xr:uid="{00000000-0005-0000-0000-00008D000000}"/>
    <cellStyle name="Milliers 3 2 4 2 4" xfId="487" xr:uid="{00000000-0005-0000-0000-00008E000000}"/>
    <cellStyle name="Milliers 3 2 4 3" xfId="86" xr:uid="{00000000-0005-0000-0000-00008F000000}"/>
    <cellStyle name="Milliers 3 2 4 3 2" xfId="333" xr:uid="{00000000-0005-0000-0000-000090000000}"/>
    <cellStyle name="Milliers 3 2 4 3 2 2" xfId="599" xr:uid="{00000000-0005-0000-0000-000091000000}"/>
    <cellStyle name="Milliers 3 2 4 3 3" xfId="242" xr:uid="{00000000-0005-0000-0000-000092000000}"/>
    <cellStyle name="Milliers 3 2 4 3 4" xfId="516" xr:uid="{00000000-0005-0000-0000-000093000000}"/>
    <cellStyle name="Milliers 3 2 4 4" xfId="107" xr:uid="{00000000-0005-0000-0000-000094000000}"/>
    <cellStyle name="Milliers 3 2 4 4 2" xfId="279" xr:uid="{00000000-0005-0000-0000-000095000000}"/>
    <cellStyle name="Milliers 3 2 4 4 3" xfId="545" xr:uid="{00000000-0005-0000-0000-000096000000}"/>
    <cellStyle name="Milliers 3 2 4 5" xfId="135" xr:uid="{00000000-0005-0000-0000-000097000000}"/>
    <cellStyle name="Milliers 3 2 4 5 2" xfId="410" xr:uid="{00000000-0005-0000-0000-000098000000}"/>
    <cellStyle name="Milliers 3 2 4 5 3" xfId="630" xr:uid="{00000000-0005-0000-0000-000099000000}"/>
    <cellStyle name="Milliers 3 2 4 6" xfId="154" xr:uid="{00000000-0005-0000-0000-00009A000000}"/>
    <cellStyle name="Milliers 3 2 4 6 2" xfId="438" xr:uid="{00000000-0005-0000-0000-00009B000000}"/>
    <cellStyle name="Milliers 3 2 4 6 3" xfId="658" xr:uid="{00000000-0005-0000-0000-00009C000000}"/>
    <cellStyle name="Milliers 3 2 4 7" xfId="171" xr:uid="{00000000-0005-0000-0000-00009D000000}"/>
    <cellStyle name="Milliers 3 2 4 8" xfId="187" xr:uid="{00000000-0005-0000-0000-00009E000000}"/>
    <cellStyle name="Milliers 3 2 4 9" xfId="462" xr:uid="{00000000-0005-0000-0000-00009F000000}"/>
    <cellStyle name="Milliers 3 2 5" xfId="43" xr:uid="{00000000-0005-0000-0000-0000A0000000}"/>
    <cellStyle name="Milliers 3 2 5 2" xfId="246" xr:uid="{00000000-0005-0000-0000-0000A1000000}"/>
    <cellStyle name="Milliers 3 2 5 2 2" xfId="337" xr:uid="{00000000-0005-0000-0000-0000A2000000}"/>
    <cellStyle name="Milliers 3 2 5 2 2 2" xfId="603" xr:uid="{00000000-0005-0000-0000-0000A3000000}"/>
    <cellStyle name="Milliers 3 2 5 2 3" xfId="520" xr:uid="{00000000-0005-0000-0000-0000A4000000}"/>
    <cellStyle name="Milliers 3 2 5 3" xfId="308" xr:uid="{00000000-0005-0000-0000-0000A5000000}"/>
    <cellStyle name="Milliers 3 2 5 3 2" xfId="574" xr:uid="{00000000-0005-0000-0000-0000A6000000}"/>
    <cellStyle name="Milliers 3 2 5 4" xfId="414" xr:uid="{00000000-0005-0000-0000-0000A7000000}"/>
    <cellStyle name="Milliers 3 2 5 4 2" xfId="634" xr:uid="{00000000-0005-0000-0000-0000A8000000}"/>
    <cellStyle name="Milliers 3 2 5 5" xfId="217" xr:uid="{00000000-0005-0000-0000-0000A9000000}"/>
    <cellStyle name="Milliers 3 2 5 6" xfId="491" xr:uid="{00000000-0005-0000-0000-0000AA000000}"/>
    <cellStyle name="Milliers 3 2 6" xfId="69" xr:uid="{00000000-0005-0000-0000-0000AB000000}"/>
    <cellStyle name="Milliers 3 2 6 2" xfId="291" xr:uid="{00000000-0005-0000-0000-0000AC000000}"/>
    <cellStyle name="Milliers 3 2 6 2 2" xfId="557" xr:uid="{00000000-0005-0000-0000-0000AD000000}"/>
    <cellStyle name="Milliers 3 2 6 3" xfId="199" xr:uid="{00000000-0005-0000-0000-0000AE000000}"/>
    <cellStyle name="Milliers 3 2 6 4" xfId="474" xr:uid="{00000000-0005-0000-0000-0000AF000000}"/>
    <cellStyle name="Milliers 3 2 7" xfId="95" xr:uid="{00000000-0005-0000-0000-0000B0000000}"/>
    <cellStyle name="Milliers 3 2 7 2" xfId="320" xr:uid="{00000000-0005-0000-0000-0000B1000000}"/>
    <cellStyle name="Milliers 3 2 7 2 2" xfId="586" xr:uid="{00000000-0005-0000-0000-0000B2000000}"/>
    <cellStyle name="Milliers 3 2 7 3" xfId="229" xr:uid="{00000000-0005-0000-0000-0000B3000000}"/>
    <cellStyle name="Milliers 3 2 7 4" xfId="503" xr:uid="{00000000-0005-0000-0000-0000B4000000}"/>
    <cellStyle name="Milliers 3 2 8" xfId="122" xr:uid="{00000000-0005-0000-0000-0000B5000000}"/>
    <cellStyle name="Milliers 3 2 8 2" xfId="266" xr:uid="{00000000-0005-0000-0000-0000B6000000}"/>
    <cellStyle name="Milliers 3 2 8 3" xfId="533" xr:uid="{00000000-0005-0000-0000-0000B7000000}"/>
    <cellStyle name="Milliers 3 2 9" xfId="141" xr:uid="{00000000-0005-0000-0000-0000B8000000}"/>
    <cellStyle name="Milliers 3 2 9 2" xfId="397" xr:uid="{00000000-0005-0000-0000-0000B9000000}"/>
    <cellStyle name="Milliers 3 2 9 3" xfId="617" xr:uid="{00000000-0005-0000-0000-0000BA000000}"/>
    <cellStyle name="Milliers 3 3" xfId="21" xr:uid="{00000000-0005-0000-0000-0000BB000000}"/>
    <cellStyle name="Milliers 3 3 10" xfId="454" xr:uid="{00000000-0005-0000-0000-0000BC000000}"/>
    <cellStyle name="Milliers 3 3 2" xfId="33" xr:uid="{00000000-0005-0000-0000-0000BD000000}"/>
    <cellStyle name="Milliers 3 3 2 2" xfId="57" xr:uid="{00000000-0005-0000-0000-0000BE000000}"/>
    <cellStyle name="Milliers 3 3 2 2 2" xfId="312" xr:uid="{00000000-0005-0000-0000-0000BF000000}"/>
    <cellStyle name="Milliers 3 3 2 2 2 2" xfId="578" xr:uid="{00000000-0005-0000-0000-0000C0000000}"/>
    <cellStyle name="Milliers 3 3 2 2 3" xfId="221" xr:uid="{00000000-0005-0000-0000-0000C1000000}"/>
    <cellStyle name="Milliers 3 3 2 2 4" xfId="495" xr:uid="{00000000-0005-0000-0000-0000C2000000}"/>
    <cellStyle name="Milliers 3 3 2 3" xfId="67" xr:uid="{00000000-0005-0000-0000-0000C3000000}"/>
    <cellStyle name="Milliers 3 3 2 3 2" xfId="341" xr:uid="{00000000-0005-0000-0000-0000C4000000}"/>
    <cellStyle name="Milliers 3 3 2 3 2 2" xfId="607" xr:uid="{00000000-0005-0000-0000-0000C5000000}"/>
    <cellStyle name="Milliers 3 3 2 3 3" xfId="250" xr:uid="{00000000-0005-0000-0000-0000C6000000}"/>
    <cellStyle name="Milliers 3 3 2 3 4" xfId="524" xr:uid="{00000000-0005-0000-0000-0000C7000000}"/>
    <cellStyle name="Milliers 3 3 2 4" xfId="109" xr:uid="{00000000-0005-0000-0000-0000C8000000}"/>
    <cellStyle name="Milliers 3 3 2 4 2" xfId="281" xr:uid="{00000000-0005-0000-0000-0000C9000000}"/>
    <cellStyle name="Milliers 3 3 2 4 3" xfId="547" xr:uid="{00000000-0005-0000-0000-0000CA000000}"/>
    <cellStyle name="Milliers 3 3 2 5" xfId="418" xr:uid="{00000000-0005-0000-0000-0000CB000000}"/>
    <cellStyle name="Milliers 3 3 2 5 2" xfId="638" xr:uid="{00000000-0005-0000-0000-0000CC000000}"/>
    <cellStyle name="Milliers 3 3 2 6" xfId="440" xr:uid="{00000000-0005-0000-0000-0000CD000000}"/>
    <cellStyle name="Milliers 3 3 2 6 2" xfId="660" xr:uid="{00000000-0005-0000-0000-0000CE000000}"/>
    <cellStyle name="Milliers 3 3 2 7" xfId="189" xr:uid="{00000000-0005-0000-0000-0000CF000000}"/>
    <cellStyle name="Milliers 3 3 2 8" xfId="464" xr:uid="{00000000-0005-0000-0000-0000D0000000}"/>
    <cellStyle name="Milliers 3 3 3" xfId="47" xr:uid="{00000000-0005-0000-0000-0000D1000000}"/>
    <cellStyle name="Milliers 3 3 3 2" xfId="295" xr:uid="{00000000-0005-0000-0000-0000D2000000}"/>
    <cellStyle name="Milliers 3 3 3 2 2" xfId="561" xr:uid="{00000000-0005-0000-0000-0000D3000000}"/>
    <cellStyle name="Milliers 3 3 3 3" xfId="203" xr:uid="{00000000-0005-0000-0000-0000D4000000}"/>
    <cellStyle name="Milliers 3 3 3 4" xfId="478" xr:uid="{00000000-0005-0000-0000-0000D5000000}"/>
    <cellStyle name="Milliers 3 3 4" xfId="73" xr:uid="{00000000-0005-0000-0000-0000D6000000}"/>
    <cellStyle name="Milliers 3 3 4 2" xfId="324" xr:uid="{00000000-0005-0000-0000-0000D7000000}"/>
    <cellStyle name="Milliers 3 3 4 2 2" xfId="590" xr:uid="{00000000-0005-0000-0000-0000D8000000}"/>
    <cellStyle name="Milliers 3 3 4 3" xfId="233" xr:uid="{00000000-0005-0000-0000-0000D9000000}"/>
    <cellStyle name="Milliers 3 3 4 4" xfId="507" xr:uid="{00000000-0005-0000-0000-0000DA000000}"/>
    <cellStyle name="Milliers 3 3 5" xfId="99" xr:uid="{00000000-0005-0000-0000-0000DB000000}"/>
    <cellStyle name="Milliers 3 3 5 2" xfId="270" xr:uid="{00000000-0005-0000-0000-0000DC000000}"/>
    <cellStyle name="Milliers 3 3 5 3" xfId="537" xr:uid="{00000000-0005-0000-0000-0000DD000000}"/>
    <cellStyle name="Milliers 3 3 6" xfId="126" xr:uid="{00000000-0005-0000-0000-0000DE000000}"/>
    <cellStyle name="Milliers 3 3 6 2" xfId="401" xr:uid="{00000000-0005-0000-0000-0000DF000000}"/>
    <cellStyle name="Milliers 3 3 6 3" xfId="621" xr:uid="{00000000-0005-0000-0000-0000E0000000}"/>
    <cellStyle name="Milliers 3 3 7" xfId="145" xr:uid="{00000000-0005-0000-0000-0000E1000000}"/>
    <cellStyle name="Milliers 3 3 7 2" xfId="430" xr:uid="{00000000-0005-0000-0000-0000E2000000}"/>
    <cellStyle name="Milliers 3 3 7 3" xfId="650" xr:uid="{00000000-0005-0000-0000-0000E3000000}"/>
    <cellStyle name="Milliers 3 3 8" xfId="162" xr:uid="{00000000-0005-0000-0000-0000E4000000}"/>
    <cellStyle name="Milliers 3 3 9" xfId="179" xr:uid="{00000000-0005-0000-0000-0000E5000000}"/>
    <cellStyle name="Milliers 3 4" xfId="22" xr:uid="{00000000-0005-0000-0000-0000E6000000}"/>
    <cellStyle name="Milliers 3 4 10" xfId="455" xr:uid="{00000000-0005-0000-0000-0000E7000000}"/>
    <cellStyle name="Milliers 3 4 2" xfId="37" xr:uid="{00000000-0005-0000-0000-0000E8000000}"/>
    <cellStyle name="Milliers 3 4 2 2" xfId="61" xr:uid="{00000000-0005-0000-0000-0000E9000000}"/>
    <cellStyle name="Milliers 3 4 2 2 2" xfId="313" xr:uid="{00000000-0005-0000-0000-0000EA000000}"/>
    <cellStyle name="Milliers 3 4 2 2 2 2" xfId="579" xr:uid="{00000000-0005-0000-0000-0000EB000000}"/>
    <cellStyle name="Milliers 3 4 2 2 3" xfId="222" xr:uid="{00000000-0005-0000-0000-0000EC000000}"/>
    <cellStyle name="Milliers 3 4 2 2 4" xfId="496" xr:uid="{00000000-0005-0000-0000-0000ED000000}"/>
    <cellStyle name="Milliers 3 4 2 3" xfId="89" xr:uid="{00000000-0005-0000-0000-0000EE000000}"/>
    <cellStyle name="Milliers 3 4 2 3 2" xfId="342" xr:uid="{00000000-0005-0000-0000-0000EF000000}"/>
    <cellStyle name="Milliers 3 4 2 3 2 2" xfId="608" xr:uid="{00000000-0005-0000-0000-0000F0000000}"/>
    <cellStyle name="Milliers 3 4 2 3 3" xfId="251" xr:uid="{00000000-0005-0000-0000-0000F1000000}"/>
    <cellStyle name="Milliers 3 4 2 3 4" xfId="525" xr:uid="{00000000-0005-0000-0000-0000F2000000}"/>
    <cellStyle name="Milliers 3 4 2 4" xfId="113" xr:uid="{00000000-0005-0000-0000-0000F3000000}"/>
    <cellStyle name="Milliers 3 4 2 4 2" xfId="285" xr:uid="{00000000-0005-0000-0000-0000F4000000}"/>
    <cellStyle name="Milliers 3 4 2 4 3" xfId="551" xr:uid="{00000000-0005-0000-0000-0000F5000000}"/>
    <cellStyle name="Milliers 3 4 2 5" xfId="419" xr:uid="{00000000-0005-0000-0000-0000F6000000}"/>
    <cellStyle name="Milliers 3 4 2 5 2" xfId="639" xr:uid="{00000000-0005-0000-0000-0000F7000000}"/>
    <cellStyle name="Milliers 3 4 2 6" xfId="444" xr:uid="{00000000-0005-0000-0000-0000F8000000}"/>
    <cellStyle name="Milliers 3 4 2 6 2" xfId="664" xr:uid="{00000000-0005-0000-0000-0000F9000000}"/>
    <cellStyle name="Milliers 3 4 2 7" xfId="193" xr:uid="{00000000-0005-0000-0000-0000FA000000}"/>
    <cellStyle name="Milliers 3 4 2 8" xfId="468" xr:uid="{00000000-0005-0000-0000-0000FB000000}"/>
    <cellStyle name="Milliers 3 4 3" xfId="48" xr:uid="{00000000-0005-0000-0000-0000FC000000}"/>
    <cellStyle name="Milliers 3 4 3 2" xfId="296" xr:uid="{00000000-0005-0000-0000-0000FD000000}"/>
    <cellStyle name="Milliers 3 4 3 2 2" xfId="562" xr:uid="{00000000-0005-0000-0000-0000FE000000}"/>
    <cellStyle name="Milliers 3 4 3 3" xfId="204" xr:uid="{00000000-0005-0000-0000-0000FF000000}"/>
    <cellStyle name="Milliers 3 4 3 4" xfId="479" xr:uid="{00000000-0005-0000-0000-000000010000}"/>
    <cellStyle name="Milliers 3 4 4" xfId="74" xr:uid="{00000000-0005-0000-0000-000001010000}"/>
    <cellStyle name="Milliers 3 4 4 2" xfId="325" xr:uid="{00000000-0005-0000-0000-000002010000}"/>
    <cellStyle name="Milliers 3 4 4 2 2" xfId="591" xr:uid="{00000000-0005-0000-0000-000003010000}"/>
    <cellStyle name="Milliers 3 4 4 3" xfId="234" xr:uid="{00000000-0005-0000-0000-000004010000}"/>
    <cellStyle name="Milliers 3 4 4 4" xfId="508" xr:uid="{00000000-0005-0000-0000-000005010000}"/>
    <cellStyle name="Milliers 3 4 5" xfId="100" xr:uid="{00000000-0005-0000-0000-000006010000}"/>
    <cellStyle name="Milliers 3 4 5 2" xfId="271" xr:uid="{00000000-0005-0000-0000-000007010000}"/>
    <cellStyle name="Milliers 3 4 5 3" xfId="538" xr:uid="{00000000-0005-0000-0000-000008010000}"/>
    <cellStyle name="Milliers 3 4 6" xfId="127" xr:uid="{00000000-0005-0000-0000-000009010000}"/>
    <cellStyle name="Milliers 3 4 6 2" xfId="402" xr:uid="{00000000-0005-0000-0000-00000A010000}"/>
    <cellStyle name="Milliers 3 4 6 3" xfId="622" xr:uid="{00000000-0005-0000-0000-00000B010000}"/>
    <cellStyle name="Milliers 3 4 7" xfId="146" xr:uid="{00000000-0005-0000-0000-00000C010000}"/>
    <cellStyle name="Milliers 3 4 7 2" xfId="431" xr:uid="{00000000-0005-0000-0000-00000D010000}"/>
    <cellStyle name="Milliers 3 4 7 3" xfId="651" xr:uid="{00000000-0005-0000-0000-00000E010000}"/>
    <cellStyle name="Milliers 3 4 8" xfId="163" xr:uid="{00000000-0005-0000-0000-00000F010000}"/>
    <cellStyle name="Milliers 3 4 9" xfId="180" xr:uid="{00000000-0005-0000-0000-000010010000}"/>
    <cellStyle name="Milliers 3 5" xfId="29" xr:uid="{00000000-0005-0000-0000-000011010000}"/>
    <cellStyle name="Milliers 3 5 2" xfId="53" xr:uid="{00000000-0005-0000-0000-000012010000}"/>
    <cellStyle name="Milliers 3 5 2 2" xfId="302" xr:uid="{00000000-0005-0000-0000-000013010000}"/>
    <cellStyle name="Milliers 3 5 2 2 2" xfId="568" xr:uid="{00000000-0005-0000-0000-000014010000}"/>
    <cellStyle name="Milliers 3 5 2 3" xfId="211" xr:uid="{00000000-0005-0000-0000-000015010000}"/>
    <cellStyle name="Milliers 3 5 2 4" xfId="485" xr:uid="{00000000-0005-0000-0000-000016010000}"/>
    <cellStyle name="Milliers 3 5 3" xfId="84" xr:uid="{00000000-0005-0000-0000-000017010000}"/>
    <cellStyle name="Milliers 3 5 3 2" xfId="331" xr:uid="{00000000-0005-0000-0000-000018010000}"/>
    <cellStyle name="Milliers 3 5 3 2 2" xfId="597" xr:uid="{00000000-0005-0000-0000-000019010000}"/>
    <cellStyle name="Milliers 3 5 3 3" xfId="240" xr:uid="{00000000-0005-0000-0000-00001A010000}"/>
    <cellStyle name="Milliers 3 5 3 4" xfId="514" xr:uid="{00000000-0005-0000-0000-00001B010000}"/>
    <cellStyle name="Milliers 3 5 4" xfId="105" xr:uid="{00000000-0005-0000-0000-00001C010000}"/>
    <cellStyle name="Milliers 3 5 4 2" xfId="277" xr:uid="{00000000-0005-0000-0000-00001D010000}"/>
    <cellStyle name="Milliers 3 5 4 3" xfId="543" xr:uid="{00000000-0005-0000-0000-00001E010000}"/>
    <cellStyle name="Milliers 3 5 5" xfId="133" xr:uid="{00000000-0005-0000-0000-00001F010000}"/>
    <cellStyle name="Milliers 3 5 5 2" xfId="408" xr:uid="{00000000-0005-0000-0000-000020010000}"/>
    <cellStyle name="Milliers 3 5 5 3" xfId="628" xr:uid="{00000000-0005-0000-0000-000021010000}"/>
    <cellStyle name="Milliers 3 5 6" xfId="152" xr:uid="{00000000-0005-0000-0000-000022010000}"/>
    <cellStyle name="Milliers 3 5 6 2" xfId="436" xr:uid="{00000000-0005-0000-0000-000023010000}"/>
    <cellStyle name="Milliers 3 5 6 3" xfId="656" xr:uid="{00000000-0005-0000-0000-000024010000}"/>
    <cellStyle name="Milliers 3 5 7" xfId="169" xr:uid="{00000000-0005-0000-0000-000025010000}"/>
    <cellStyle name="Milliers 3 5 8" xfId="185" xr:uid="{00000000-0005-0000-0000-000026010000}"/>
    <cellStyle name="Milliers 3 5 9" xfId="460" xr:uid="{00000000-0005-0000-0000-000027010000}"/>
    <cellStyle name="Milliers 3 6" xfId="41" xr:uid="{00000000-0005-0000-0000-000028010000}"/>
    <cellStyle name="Milliers 3 6 2" xfId="244" xr:uid="{00000000-0005-0000-0000-000029010000}"/>
    <cellStyle name="Milliers 3 6 2 2" xfId="335" xr:uid="{00000000-0005-0000-0000-00002A010000}"/>
    <cellStyle name="Milliers 3 6 2 2 2" xfId="601" xr:uid="{00000000-0005-0000-0000-00002B010000}"/>
    <cellStyle name="Milliers 3 6 2 3" xfId="518" xr:uid="{00000000-0005-0000-0000-00002C010000}"/>
    <cellStyle name="Milliers 3 6 3" xfId="306" xr:uid="{00000000-0005-0000-0000-00002D010000}"/>
    <cellStyle name="Milliers 3 6 3 2" xfId="572" xr:uid="{00000000-0005-0000-0000-00002E010000}"/>
    <cellStyle name="Milliers 3 6 4" xfId="412" xr:uid="{00000000-0005-0000-0000-00002F010000}"/>
    <cellStyle name="Milliers 3 6 4 2" xfId="632" xr:uid="{00000000-0005-0000-0000-000030010000}"/>
    <cellStyle name="Milliers 3 6 5" xfId="215" xr:uid="{00000000-0005-0000-0000-000031010000}"/>
    <cellStyle name="Milliers 3 6 6" xfId="489" xr:uid="{00000000-0005-0000-0000-000032010000}"/>
    <cellStyle name="Milliers 3 7" xfId="66" xr:uid="{00000000-0005-0000-0000-000033010000}"/>
    <cellStyle name="Milliers 3 7 2" xfId="289" xr:uid="{00000000-0005-0000-0000-000034010000}"/>
    <cellStyle name="Milliers 3 7 2 2" xfId="555" xr:uid="{00000000-0005-0000-0000-000035010000}"/>
    <cellStyle name="Milliers 3 7 3" xfId="197" xr:uid="{00000000-0005-0000-0000-000036010000}"/>
    <cellStyle name="Milliers 3 7 4" xfId="472" xr:uid="{00000000-0005-0000-0000-000037010000}"/>
    <cellStyle name="Milliers 3 8" xfId="93" xr:uid="{00000000-0005-0000-0000-000038010000}"/>
    <cellStyle name="Milliers 3 8 2" xfId="318" xr:uid="{00000000-0005-0000-0000-000039010000}"/>
    <cellStyle name="Milliers 3 8 2 2" xfId="584" xr:uid="{00000000-0005-0000-0000-00003A010000}"/>
    <cellStyle name="Milliers 3 8 3" xfId="227" xr:uid="{00000000-0005-0000-0000-00003B010000}"/>
    <cellStyle name="Milliers 3 8 4" xfId="501" xr:uid="{00000000-0005-0000-0000-00003C010000}"/>
    <cellStyle name="Milliers 3 9" xfId="120" xr:uid="{00000000-0005-0000-0000-00003D010000}"/>
    <cellStyle name="Milliers 3 9 2" xfId="263" xr:uid="{00000000-0005-0000-0000-00003E010000}"/>
    <cellStyle name="Milliers 3 9 3" xfId="531" xr:uid="{00000000-0005-0000-0000-00003F010000}"/>
    <cellStyle name="Milliers 4" xfId="14" xr:uid="{00000000-0005-0000-0000-000040010000}"/>
    <cellStyle name="Milliers 4 2" xfId="23" xr:uid="{00000000-0005-0000-0000-000041010000}"/>
    <cellStyle name="Milliers 5" xfId="81" xr:uid="{00000000-0005-0000-0000-000042010000}"/>
    <cellStyle name="Milliers 5 2" xfId="132" xr:uid="{00000000-0005-0000-0000-000043010000}"/>
    <cellStyle name="Milliers 5 2 2" xfId="330" xr:uid="{00000000-0005-0000-0000-000044010000}"/>
    <cellStyle name="Milliers 5 2 2 2" xfId="596" xr:uid="{00000000-0005-0000-0000-000045010000}"/>
    <cellStyle name="Milliers 5 2 3" xfId="239" xr:uid="{00000000-0005-0000-0000-000046010000}"/>
    <cellStyle name="Milliers 5 2 4" xfId="513" xr:uid="{00000000-0005-0000-0000-000047010000}"/>
    <cellStyle name="Milliers 5 3" xfId="151" xr:uid="{00000000-0005-0000-0000-000048010000}"/>
    <cellStyle name="Milliers 5 3 2" xfId="301" xr:uid="{00000000-0005-0000-0000-000049010000}"/>
    <cellStyle name="Milliers 5 3 3" xfId="567" xr:uid="{00000000-0005-0000-0000-00004A010000}"/>
    <cellStyle name="Milliers 5 4" xfId="168" xr:uid="{00000000-0005-0000-0000-00004B010000}"/>
    <cellStyle name="Milliers 5 4 2" xfId="407" xr:uid="{00000000-0005-0000-0000-00004C010000}"/>
    <cellStyle name="Milliers 5 4 3" xfId="627" xr:uid="{00000000-0005-0000-0000-00004D010000}"/>
    <cellStyle name="Milliers 5 5" xfId="209" xr:uid="{00000000-0005-0000-0000-00004E010000}"/>
    <cellStyle name="Milliers 5 6" xfId="484" xr:uid="{00000000-0005-0000-0000-00004F010000}"/>
    <cellStyle name="Milliers 6" xfId="118" xr:uid="{00000000-0005-0000-0000-000050010000}"/>
    <cellStyle name="Milliers 6 2" xfId="262" xr:uid="{00000000-0005-0000-0000-000051010000}"/>
    <cellStyle name="Milliers 7" xfId="272" xr:uid="{00000000-0005-0000-0000-000052010000}"/>
    <cellStyle name="Milliers 8" xfId="378" xr:uid="{00000000-0005-0000-0000-000053010000}"/>
    <cellStyle name="Milliers 9" xfId="392" xr:uid="{00000000-0005-0000-0000-000054010000}"/>
    <cellStyle name="Milliers 9 2" xfId="614" xr:uid="{00000000-0005-0000-0000-000055010000}"/>
    <cellStyle name="Neutre 2" xfId="379" xr:uid="{00000000-0005-0000-0000-000056010000}"/>
    <cellStyle name="Normal" xfId="0" builtinId="0"/>
    <cellStyle name="Normal 10" xfId="260" xr:uid="{00000000-0005-0000-0000-000058010000}"/>
    <cellStyle name="Normal 11" xfId="348" xr:uid="{00000000-0005-0000-0000-000059010000}"/>
    <cellStyle name="Normal 12" xfId="391" xr:uid="{00000000-0005-0000-0000-00005A010000}"/>
    <cellStyle name="Normal 12 2" xfId="613" xr:uid="{00000000-0005-0000-0000-00005B010000}"/>
    <cellStyle name="Normal 2" xfId="7" xr:uid="{00000000-0005-0000-0000-00005C010000}"/>
    <cellStyle name="Normal 2 2" xfId="8" xr:uid="{00000000-0005-0000-0000-00005D010000}"/>
    <cellStyle name="Normal 2 3" xfId="9" xr:uid="{00000000-0005-0000-0000-00005E010000}"/>
    <cellStyle name="Normal 2 3 2" xfId="380" xr:uid="{00000000-0005-0000-0000-00005F010000}"/>
    <cellStyle name="Normal 3" xfId="10" xr:uid="{00000000-0005-0000-0000-000060010000}"/>
    <cellStyle name="Normal 3 10" xfId="140" xr:uid="{00000000-0005-0000-0000-000061010000}"/>
    <cellStyle name="Normal 3 10 2" xfId="264" xr:uid="{00000000-0005-0000-0000-000062010000}"/>
    <cellStyle name="Normal 3 10 3" xfId="532" xr:uid="{00000000-0005-0000-0000-000063010000}"/>
    <cellStyle name="Normal 3 11" xfId="157" xr:uid="{00000000-0005-0000-0000-000064010000}"/>
    <cellStyle name="Normal 3 11 2" xfId="258" xr:uid="{00000000-0005-0000-0000-000065010000}"/>
    <cellStyle name="Normal 3 11 3" xfId="530" xr:uid="{00000000-0005-0000-0000-000066010000}"/>
    <cellStyle name="Normal 3 12" xfId="396" xr:uid="{00000000-0005-0000-0000-000067010000}"/>
    <cellStyle name="Normal 3 12 2" xfId="616" xr:uid="{00000000-0005-0000-0000-000068010000}"/>
    <cellStyle name="Normal 3 13" xfId="425" xr:uid="{00000000-0005-0000-0000-000069010000}"/>
    <cellStyle name="Normal 3 13 2" xfId="645" xr:uid="{00000000-0005-0000-0000-00006A010000}"/>
    <cellStyle name="Normal 3 14" xfId="174" xr:uid="{00000000-0005-0000-0000-00006B010000}"/>
    <cellStyle name="Normal 3 15" xfId="449" xr:uid="{00000000-0005-0000-0000-00006C010000}"/>
    <cellStyle name="Normal 3 2" xfId="17" xr:uid="{00000000-0005-0000-0000-00006D010000}"/>
    <cellStyle name="Normal 3 2 10" xfId="159" xr:uid="{00000000-0005-0000-0000-00006E010000}"/>
    <cellStyle name="Normal 3 2 10 2" xfId="427" xr:uid="{00000000-0005-0000-0000-00006F010000}"/>
    <cellStyle name="Normal 3 2 10 3" xfId="647" xr:uid="{00000000-0005-0000-0000-000070010000}"/>
    <cellStyle name="Normal 3 2 11" xfId="176" xr:uid="{00000000-0005-0000-0000-000071010000}"/>
    <cellStyle name="Normal 3 2 12" xfId="451" xr:uid="{00000000-0005-0000-0000-000072010000}"/>
    <cellStyle name="Normal 3 2 2" xfId="24" xr:uid="{00000000-0005-0000-0000-000073010000}"/>
    <cellStyle name="Normal 3 2 2 10" xfId="456" xr:uid="{00000000-0005-0000-0000-000074010000}"/>
    <cellStyle name="Normal 3 2 2 2" xfId="36" xr:uid="{00000000-0005-0000-0000-000075010000}"/>
    <cellStyle name="Normal 3 2 2 2 2" xfId="60" xr:uid="{00000000-0005-0000-0000-000076010000}"/>
    <cellStyle name="Normal 3 2 2 2 2 2" xfId="314" xr:uid="{00000000-0005-0000-0000-000077010000}"/>
    <cellStyle name="Normal 3 2 2 2 2 2 2" xfId="580" xr:uid="{00000000-0005-0000-0000-000078010000}"/>
    <cellStyle name="Normal 3 2 2 2 2 3" xfId="223" xr:uid="{00000000-0005-0000-0000-000079010000}"/>
    <cellStyle name="Normal 3 2 2 2 2 4" xfId="497" xr:uid="{00000000-0005-0000-0000-00007A010000}"/>
    <cellStyle name="Normal 3 2 2 2 3" xfId="80" xr:uid="{00000000-0005-0000-0000-00007B010000}"/>
    <cellStyle name="Normal 3 2 2 2 3 2" xfId="343" xr:uid="{00000000-0005-0000-0000-00007C010000}"/>
    <cellStyle name="Normal 3 2 2 2 3 2 2" xfId="609" xr:uid="{00000000-0005-0000-0000-00007D010000}"/>
    <cellStyle name="Normal 3 2 2 2 3 3" xfId="252" xr:uid="{00000000-0005-0000-0000-00007E010000}"/>
    <cellStyle name="Normal 3 2 2 2 3 4" xfId="526" xr:uid="{00000000-0005-0000-0000-00007F010000}"/>
    <cellStyle name="Normal 3 2 2 2 4" xfId="112" xr:uid="{00000000-0005-0000-0000-000080010000}"/>
    <cellStyle name="Normal 3 2 2 2 4 2" xfId="284" xr:uid="{00000000-0005-0000-0000-000081010000}"/>
    <cellStyle name="Normal 3 2 2 2 4 3" xfId="550" xr:uid="{00000000-0005-0000-0000-000082010000}"/>
    <cellStyle name="Normal 3 2 2 2 5" xfId="420" xr:uid="{00000000-0005-0000-0000-000083010000}"/>
    <cellStyle name="Normal 3 2 2 2 5 2" xfId="640" xr:uid="{00000000-0005-0000-0000-000084010000}"/>
    <cellStyle name="Normal 3 2 2 2 6" xfId="443" xr:uid="{00000000-0005-0000-0000-000085010000}"/>
    <cellStyle name="Normal 3 2 2 2 6 2" xfId="663" xr:uid="{00000000-0005-0000-0000-000086010000}"/>
    <cellStyle name="Normal 3 2 2 2 7" xfId="192" xr:uid="{00000000-0005-0000-0000-000087010000}"/>
    <cellStyle name="Normal 3 2 2 2 8" xfId="467" xr:uid="{00000000-0005-0000-0000-000088010000}"/>
    <cellStyle name="Normal 3 2 2 3" xfId="49" xr:uid="{00000000-0005-0000-0000-000089010000}"/>
    <cellStyle name="Normal 3 2 2 3 2" xfId="297" xr:uid="{00000000-0005-0000-0000-00008A010000}"/>
    <cellStyle name="Normal 3 2 2 3 2 2" xfId="563" xr:uid="{00000000-0005-0000-0000-00008B010000}"/>
    <cellStyle name="Normal 3 2 2 3 3" xfId="205" xr:uid="{00000000-0005-0000-0000-00008C010000}"/>
    <cellStyle name="Normal 3 2 2 3 4" xfId="480" xr:uid="{00000000-0005-0000-0000-00008D010000}"/>
    <cellStyle name="Normal 3 2 2 4" xfId="76" xr:uid="{00000000-0005-0000-0000-00008E010000}"/>
    <cellStyle name="Normal 3 2 2 4 2" xfId="326" xr:uid="{00000000-0005-0000-0000-00008F010000}"/>
    <cellStyle name="Normal 3 2 2 4 2 2" xfId="592" xr:uid="{00000000-0005-0000-0000-000090010000}"/>
    <cellStyle name="Normal 3 2 2 4 3" xfId="235" xr:uid="{00000000-0005-0000-0000-000091010000}"/>
    <cellStyle name="Normal 3 2 2 4 4" xfId="509" xr:uid="{00000000-0005-0000-0000-000092010000}"/>
    <cellStyle name="Normal 3 2 2 5" xfId="101" xr:uid="{00000000-0005-0000-0000-000093010000}"/>
    <cellStyle name="Normal 3 2 2 5 2" xfId="273" xr:uid="{00000000-0005-0000-0000-000094010000}"/>
    <cellStyle name="Normal 3 2 2 5 3" xfId="539" xr:uid="{00000000-0005-0000-0000-000095010000}"/>
    <cellStyle name="Normal 3 2 2 6" xfId="128" xr:uid="{00000000-0005-0000-0000-000096010000}"/>
    <cellStyle name="Normal 3 2 2 6 2" xfId="403" xr:uid="{00000000-0005-0000-0000-000097010000}"/>
    <cellStyle name="Normal 3 2 2 6 3" xfId="623" xr:uid="{00000000-0005-0000-0000-000098010000}"/>
    <cellStyle name="Normal 3 2 2 7" xfId="147" xr:uid="{00000000-0005-0000-0000-000099010000}"/>
    <cellStyle name="Normal 3 2 2 7 2" xfId="432" xr:uid="{00000000-0005-0000-0000-00009A010000}"/>
    <cellStyle name="Normal 3 2 2 7 3" xfId="652" xr:uid="{00000000-0005-0000-0000-00009B010000}"/>
    <cellStyle name="Normal 3 2 2 8" xfId="164" xr:uid="{00000000-0005-0000-0000-00009C010000}"/>
    <cellStyle name="Normal 3 2 2 9" xfId="181" xr:uid="{00000000-0005-0000-0000-00009D010000}"/>
    <cellStyle name="Normal 3 2 3" xfId="25" xr:uid="{00000000-0005-0000-0000-00009E010000}"/>
    <cellStyle name="Normal 3 2 3 10" xfId="457" xr:uid="{00000000-0005-0000-0000-00009F010000}"/>
    <cellStyle name="Normal 3 2 3 2" xfId="40" xr:uid="{00000000-0005-0000-0000-0000A0010000}"/>
    <cellStyle name="Normal 3 2 3 2 2" xfId="64" xr:uid="{00000000-0005-0000-0000-0000A1010000}"/>
    <cellStyle name="Normal 3 2 3 2 2 2" xfId="315" xr:uid="{00000000-0005-0000-0000-0000A2010000}"/>
    <cellStyle name="Normal 3 2 3 2 2 2 2" xfId="581" xr:uid="{00000000-0005-0000-0000-0000A3010000}"/>
    <cellStyle name="Normal 3 2 3 2 2 3" xfId="224" xr:uid="{00000000-0005-0000-0000-0000A4010000}"/>
    <cellStyle name="Normal 3 2 3 2 2 4" xfId="498" xr:uid="{00000000-0005-0000-0000-0000A5010000}"/>
    <cellStyle name="Normal 3 2 3 2 3" xfId="92" xr:uid="{00000000-0005-0000-0000-0000A6010000}"/>
    <cellStyle name="Normal 3 2 3 2 3 2" xfId="344" xr:uid="{00000000-0005-0000-0000-0000A7010000}"/>
    <cellStyle name="Normal 3 2 3 2 3 2 2" xfId="610" xr:uid="{00000000-0005-0000-0000-0000A8010000}"/>
    <cellStyle name="Normal 3 2 3 2 3 3" xfId="253" xr:uid="{00000000-0005-0000-0000-0000A9010000}"/>
    <cellStyle name="Normal 3 2 3 2 3 4" xfId="527" xr:uid="{00000000-0005-0000-0000-0000AA010000}"/>
    <cellStyle name="Normal 3 2 3 2 4" xfId="116" xr:uid="{00000000-0005-0000-0000-0000AB010000}"/>
    <cellStyle name="Normal 3 2 3 2 4 2" xfId="288" xr:uid="{00000000-0005-0000-0000-0000AC010000}"/>
    <cellStyle name="Normal 3 2 3 2 4 3" xfId="554" xr:uid="{00000000-0005-0000-0000-0000AD010000}"/>
    <cellStyle name="Normal 3 2 3 2 5" xfId="421" xr:uid="{00000000-0005-0000-0000-0000AE010000}"/>
    <cellStyle name="Normal 3 2 3 2 5 2" xfId="641" xr:uid="{00000000-0005-0000-0000-0000AF010000}"/>
    <cellStyle name="Normal 3 2 3 2 6" xfId="447" xr:uid="{00000000-0005-0000-0000-0000B0010000}"/>
    <cellStyle name="Normal 3 2 3 2 6 2" xfId="667" xr:uid="{00000000-0005-0000-0000-0000B1010000}"/>
    <cellStyle name="Normal 3 2 3 2 7" xfId="196" xr:uid="{00000000-0005-0000-0000-0000B2010000}"/>
    <cellStyle name="Normal 3 2 3 2 8" xfId="471" xr:uid="{00000000-0005-0000-0000-0000B3010000}"/>
    <cellStyle name="Normal 3 2 3 3" xfId="50" xr:uid="{00000000-0005-0000-0000-0000B4010000}"/>
    <cellStyle name="Normal 3 2 3 3 2" xfId="298" xr:uid="{00000000-0005-0000-0000-0000B5010000}"/>
    <cellStyle name="Normal 3 2 3 3 2 2" xfId="564" xr:uid="{00000000-0005-0000-0000-0000B6010000}"/>
    <cellStyle name="Normal 3 2 3 3 3" xfId="206" xr:uid="{00000000-0005-0000-0000-0000B7010000}"/>
    <cellStyle name="Normal 3 2 3 3 4" xfId="481" xr:uid="{00000000-0005-0000-0000-0000B8010000}"/>
    <cellStyle name="Normal 3 2 3 4" xfId="77" xr:uid="{00000000-0005-0000-0000-0000B9010000}"/>
    <cellStyle name="Normal 3 2 3 4 2" xfId="327" xr:uid="{00000000-0005-0000-0000-0000BA010000}"/>
    <cellStyle name="Normal 3 2 3 4 2 2" xfId="593" xr:uid="{00000000-0005-0000-0000-0000BB010000}"/>
    <cellStyle name="Normal 3 2 3 4 3" xfId="236" xr:uid="{00000000-0005-0000-0000-0000BC010000}"/>
    <cellStyle name="Normal 3 2 3 4 4" xfId="510" xr:uid="{00000000-0005-0000-0000-0000BD010000}"/>
    <cellStyle name="Normal 3 2 3 5" xfId="102" xr:uid="{00000000-0005-0000-0000-0000BE010000}"/>
    <cellStyle name="Normal 3 2 3 5 2" xfId="274" xr:uid="{00000000-0005-0000-0000-0000BF010000}"/>
    <cellStyle name="Normal 3 2 3 5 3" xfId="540" xr:uid="{00000000-0005-0000-0000-0000C0010000}"/>
    <cellStyle name="Normal 3 2 3 6" xfId="129" xr:uid="{00000000-0005-0000-0000-0000C1010000}"/>
    <cellStyle name="Normal 3 2 3 6 2" xfId="404" xr:uid="{00000000-0005-0000-0000-0000C2010000}"/>
    <cellStyle name="Normal 3 2 3 6 3" xfId="624" xr:uid="{00000000-0005-0000-0000-0000C3010000}"/>
    <cellStyle name="Normal 3 2 3 7" xfId="148" xr:uid="{00000000-0005-0000-0000-0000C4010000}"/>
    <cellStyle name="Normal 3 2 3 7 2" xfId="433" xr:uid="{00000000-0005-0000-0000-0000C5010000}"/>
    <cellStyle name="Normal 3 2 3 7 3" xfId="653" xr:uid="{00000000-0005-0000-0000-0000C6010000}"/>
    <cellStyle name="Normal 3 2 3 8" xfId="165" xr:uid="{00000000-0005-0000-0000-0000C7010000}"/>
    <cellStyle name="Normal 3 2 3 9" xfId="182" xr:uid="{00000000-0005-0000-0000-0000C8010000}"/>
    <cellStyle name="Normal 3 2 4" xfId="32" xr:uid="{00000000-0005-0000-0000-0000C9010000}"/>
    <cellStyle name="Normal 3 2 4 2" xfId="56" xr:uid="{00000000-0005-0000-0000-0000CA010000}"/>
    <cellStyle name="Normal 3 2 4 2 2" xfId="305" xr:uid="{00000000-0005-0000-0000-0000CB010000}"/>
    <cellStyle name="Normal 3 2 4 2 2 2" xfId="571" xr:uid="{00000000-0005-0000-0000-0000CC010000}"/>
    <cellStyle name="Normal 3 2 4 2 3" xfId="214" xr:uid="{00000000-0005-0000-0000-0000CD010000}"/>
    <cellStyle name="Normal 3 2 4 2 4" xfId="488" xr:uid="{00000000-0005-0000-0000-0000CE010000}"/>
    <cellStyle name="Normal 3 2 4 3" xfId="87" xr:uid="{00000000-0005-0000-0000-0000CF010000}"/>
    <cellStyle name="Normal 3 2 4 3 2" xfId="334" xr:uid="{00000000-0005-0000-0000-0000D0010000}"/>
    <cellStyle name="Normal 3 2 4 3 2 2" xfId="600" xr:uid="{00000000-0005-0000-0000-0000D1010000}"/>
    <cellStyle name="Normal 3 2 4 3 3" xfId="243" xr:uid="{00000000-0005-0000-0000-0000D2010000}"/>
    <cellStyle name="Normal 3 2 4 3 4" xfId="517" xr:uid="{00000000-0005-0000-0000-0000D3010000}"/>
    <cellStyle name="Normal 3 2 4 4" xfId="108" xr:uid="{00000000-0005-0000-0000-0000D4010000}"/>
    <cellStyle name="Normal 3 2 4 4 2" xfId="280" xr:uid="{00000000-0005-0000-0000-0000D5010000}"/>
    <cellStyle name="Normal 3 2 4 4 3" xfId="546" xr:uid="{00000000-0005-0000-0000-0000D6010000}"/>
    <cellStyle name="Normal 3 2 4 5" xfId="136" xr:uid="{00000000-0005-0000-0000-0000D7010000}"/>
    <cellStyle name="Normal 3 2 4 5 2" xfId="411" xr:uid="{00000000-0005-0000-0000-0000D8010000}"/>
    <cellStyle name="Normal 3 2 4 5 3" xfId="631" xr:uid="{00000000-0005-0000-0000-0000D9010000}"/>
    <cellStyle name="Normal 3 2 4 6" xfId="155" xr:uid="{00000000-0005-0000-0000-0000DA010000}"/>
    <cellStyle name="Normal 3 2 4 6 2" xfId="439" xr:uid="{00000000-0005-0000-0000-0000DB010000}"/>
    <cellStyle name="Normal 3 2 4 6 3" xfId="659" xr:uid="{00000000-0005-0000-0000-0000DC010000}"/>
    <cellStyle name="Normal 3 2 4 7" xfId="172" xr:uid="{00000000-0005-0000-0000-0000DD010000}"/>
    <cellStyle name="Normal 3 2 4 8" xfId="188" xr:uid="{00000000-0005-0000-0000-0000DE010000}"/>
    <cellStyle name="Normal 3 2 4 9" xfId="463" xr:uid="{00000000-0005-0000-0000-0000DF010000}"/>
    <cellStyle name="Normal 3 2 5" xfId="44" xr:uid="{00000000-0005-0000-0000-0000E0010000}"/>
    <cellStyle name="Normal 3 2 5 2" xfId="247" xr:uid="{00000000-0005-0000-0000-0000E1010000}"/>
    <cellStyle name="Normal 3 2 5 2 2" xfId="338" xr:uid="{00000000-0005-0000-0000-0000E2010000}"/>
    <cellStyle name="Normal 3 2 5 2 2 2" xfId="604" xr:uid="{00000000-0005-0000-0000-0000E3010000}"/>
    <cellStyle name="Normal 3 2 5 2 3" xfId="521" xr:uid="{00000000-0005-0000-0000-0000E4010000}"/>
    <cellStyle name="Normal 3 2 5 3" xfId="309" xr:uid="{00000000-0005-0000-0000-0000E5010000}"/>
    <cellStyle name="Normal 3 2 5 3 2" xfId="575" xr:uid="{00000000-0005-0000-0000-0000E6010000}"/>
    <cellStyle name="Normal 3 2 5 4" xfId="415" xr:uid="{00000000-0005-0000-0000-0000E7010000}"/>
    <cellStyle name="Normal 3 2 5 4 2" xfId="635" xr:uid="{00000000-0005-0000-0000-0000E8010000}"/>
    <cellStyle name="Normal 3 2 5 5" xfId="218" xr:uid="{00000000-0005-0000-0000-0000E9010000}"/>
    <cellStyle name="Normal 3 2 5 6" xfId="492" xr:uid="{00000000-0005-0000-0000-0000EA010000}"/>
    <cellStyle name="Normal 3 2 6" xfId="70" xr:uid="{00000000-0005-0000-0000-0000EB010000}"/>
    <cellStyle name="Normal 3 2 6 2" xfId="292" xr:uid="{00000000-0005-0000-0000-0000EC010000}"/>
    <cellStyle name="Normal 3 2 6 2 2" xfId="558" xr:uid="{00000000-0005-0000-0000-0000ED010000}"/>
    <cellStyle name="Normal 3 2 6 3" xfId="200" xr:uid="{00000000-0005-0000-0000-0000EE010000}"/>
    <cellStyle name="Normal 3 2 6 4" xfId="475" xr:uid="{00000000-0005-0000-0000-0000EF010000}"/>
    <cellStyle name="Normal 3 2 7" xfId="96" xr:uid="{00000000-0005-0000-0000-0000F0010000}"/>
    <cellStyle name="Normal 3 2 7 2" xfId="321" xr:uid="{00000000-0005-0000-0000-0000F1010000}"/>
    <cellStyle name="Normal 3 2 7 2 2" xfId="587" xr:uid="{00000000-0005-0000-0000-0000F2010000}"/>
    <cellStyle name="Normal 3 2 7 3" xfId="230" xr:uid="{00000000-0005-0000-0000-0000F3010000}"/>
    <cellStyle name="Normal 3 2 7 4" xfId="504" xr:uid="{00000000-0005-0000-0000-0000F4010000}"/>
    <cellStyle name="Normal 3 2 8" xfId="123" xr:uid="{00000000-0005-0000-0000-0000F5010000}"/>
    <cellStyle name="Normal 3 2 8 2" xfId="267" xr:uid="{00000000-0005-0000-0000-0000F6010000}"/>
    <cellStyle name="Normal 3 2 8 3" xfId="534" xr:uid="{00000000-0005-0000-0000-0000F7010000}"/>
    <cellStyle name="Normal 3 2 9" xfId="142" xr:uid="{00000000-0005-0000-0000-0000F8010000}"/>
    <cellStyle name="Normal 3 2 9 2" xfId="398" xr:uid="{00000000-0005-0000-0000-0000F9010000}"/>
    <cellStyle name="Normal 3 2 9 3" xfId="618" xr:uid="{00000000-0005-0000-0000-0000FA010000}"/>
    <cellStyle name="Normal 3 3" xfId="26" xr:uid="{00000000-0005-0000-0000-0000FB010000}"/>
    <cellStyle name="Normal 3 3 10" xfId="458" xr:uid="{00000000-0005-0000-0000-0000FC010000}"/>
    <cellStyle name="Normal 3 3 2" xfId="34" xr:uid="{00000000-0005-0000-0000-0000FD010000}"/>
    <cellStyle name="Normal 3 3 2 2" xfId="58" xr:uid="{00000000-0005-0000-0000-0000FE010000}"/>
    <cellStyle name="Normal 3 3 2 2 2" xfId="316" xr:uid="{00000000-0005-0000-0000-0000FF010000}"/>
    <cellStyle name="Normal 3 3 2 2 2 2" xfId="582" xr:uid="{00000000-0005-0000-0000-000000020000}"/>
    <cellStyle name="Normal 3 3 2 2 3" xfId="225" xr:uid="{00000000-0005-0000-0000-000001020000}"/>
    <cellStyle name="Normal 3 3 2 2 4" xfId="499" xr:uid="{00000000-0005-0000-0000-000002020000}"/>
    <cellStyle name="Normal 3 3 2 3" xfId="75" xr:uid="{00000000-0005-0000-0000-000003020000}"/>
    <cellStyle name="Normal 3 3 2 3 2" xfId="345" xr:uid="{00000000-0005-0000-0000-000004020000}"/>
    <cellStyle name="Normal 3 3 2 3 2 2" xfId="611" xr:uid="{00000000-0005-0000-0000-000005020000}"/>
    <cellStyle name="Normal 3 3 2 3 3" xfId="254" xr:uid="{00000000-0005-0000-0000-000006020000}"/>
    <cellStyle name="Normal 3 3 2 3 4" xfId="528" xr:uid="{00000000-0005-0000-0000-000007020000}"/>
    <cellStyle name="Normal 3 3 2 4" xfId="110" xr:uid="{00000000-0005-0000-0000-000008020000}"/>
    <cellStyle name="Normal 3 3 2 4 2" xfId="282" xr:uid="{00000000-0005-0000-0000-000009020000}"/>
    <cellStyle name="Normal 3 3 2 4 3" xfId="548" xr:uid="{00000000-0005-0000-0000-00000A020000}"/>
    <cellStyle name="Normal 3 3 2 5" xfId="422" xr:uid="{00000000-0005-0000-0000-00000B020000}"/>
    <cellStyle name="Normal 3 3 2 5 2" xfId="642" xr:uid="{00000000-0005-0000-0000-00000C020000}"/>
    <cellStyle name="Normal 3 3 2 6" xfId="441" xr:uid="{00000000-0005-0000-0000-00000D020000}"/>
    <cellStyle name="Normal 3 3 2 6 2" xfId="661" xr:uid="{00000000-0005-0000-0000-00000E020000}"/>
    <cellStyle name="Normal 3 3 2 7" xfId="190" xr:uid="{00000000-0005-0000-0000-00000F020000}"/>
    <cellStyle name="Normal 3 3 2 8" xfId="465" xr:uid="{00000000-0005-0000-0000-000010020000}"/>
    <cellStyle name="Normal 3 3 3" xfId="51" xr:uid="{00000000-0005-0000-0000-000011020000}"/>
    <cellStyle name="Normal 3 3 3 2" xfId="299" xr:uid="{00000000-0005-0000-0000-000012020000}"/>
    <cellStyle name="Normal 3 3 3 2 2" xfId="565" xr:uid="{00000000-0005-0000-0000-000013020000}"/>
    <cellStyle name="Normal 3 3 3 3" xfId="207" xr:uid="{00000000-0005-0000-0000-000014020000}"/>
    <cellStyle name="Normal 3 3 3 4" xfId="482" xr:uid="{00000000-0005-0000-0000-000015020000}"/>
    <cellStyle name="Normal 3 3 4" xfId="78" xr:uid="{00000000-0005-0000-0000-000016020000}"/>
    <cellStyle name="Normal 3 3 4 2" xfId="328" xr:uid="{00000000-0005-0000-0000-000017020000}"/>
    <cellStyle name="Normal 3 3 4 2 2" xfId="594" xr:uid="{00000000-0005-0000-0000-000018020000}"/>
    <cellStyle name="Normal 3 3 4 3" xfId="237" xr:uid="{00000000-0005-0000-0000-000019020000}"/>
    <cellStyle name="Normal 3 3 4 4" xfId="511" xr:uid="{00000000-0005-0000-0000-00001A020000}"/>
    <cellStyle name="Normal 3 3 5" xfId="103" xr:uid="{00000000-0005-0000-0000-00001B020000}"/>
    <cellStyle name="Normal 3 3 5 2" xfId="275" xr:uid="{00000000-0005-0000-0000-00001C020000}"/>
    <cellStyle name="Normal 3 3 5 3" xfId="541" xr:uid="{00000000-0005-0000-0000-00001D020000}"/>
    <cellStyle name="Normal 3 3 6" xfId="130" xr:uid="{00000000-0005-0000-0000-00001E020000}"/>
    <cellStyle name="Normal 3 3 6 2" xfId="405" xr:uid="{00000000-0005-0000-0000-00001F020000}"/>
    <cellStyle name="Normal 3 3 6 3" xfId="625" xr:uid="{00000000-0005-0000-0000-000020020000}"/>
    <cellStyle name="Normal 3 3 7" xfId="149" xr:uid="{00000000-0005-0000-0000-000021020000}"/>
    <cellStyle name="Normal 3 3 7 2" xfId="434" xr:uid="{00000000-0005-0000-0000-000022020000}"/>
    <cellStyle name="Normal 3 3 7 3" xfId="654" xr:uid="{00000000-0005-0000-0000-000023020000}"/>
    <cellStyle name="Normal 3 3 8" xfId="166" xr:uid="{00000000-0005-0000-0000-000024020000}"/>
    <cellStyle name="Normal 3 3 9" xfId="183" xr:uid="{00000000-0005-0000-0000-000025020000}"/>
    <cellStyle name="Normal 3 4" xfId="27" xr:uid="{00000000-0005-0000-0000-000026020000}"/>
    <cellStyle name="Normal 3 4 10" xfId="459" xr:uid="{00000000-0005-0000-0000-000027020000}"/>
    <cellStyle name="Normal 3 4 2" xfId="38" xr:uid="{00000000-0005-0000-0000-000028020000}"/>
    <cellStyle name="Normal 3 4 2 2" xfId="62" xr:uid="{00000000-0005-0000-0000-000029020000}"/>
    <cellStyle name="Normal 3 4 2 2 2" xfId="317" xr:uid="{00000000-0005-0000-0000-00002A020000}"/>
    <cellStyle name="Normal 3 4 2 2 2 2" xfId="583" xr:uid="{00000000-0005-0000-0000-00002B020000}"/>
    <cellStyle name="Normal 3 4 2 2 3" xfId="226" xr:uid="{00000000-0005-0000-0000-00002C020000}"/>
    <cellStyle name="Normal 3 4 2 2 4" xfId="500" xr:uid="{00000000-0005-0000-0000-00002D020000}"/>
    <cellStyle name="Normal 3 4 2 3" xfId="90" xr:uid="{00000000-0005-0000-0000-00002E020000}"/>
    <cellStyle name="Normal 3 4 2 3 2" xfId="346" xr:uid="{00000000-0005-0000-0000-00002F020000}"/>
    <cellStyle name="Normal 3 4 2 3 2 2" xfId="612" xr:uid="{00000000-0005-0000-0000-000030020000}"/>
    <cellStyle name="Normal 3 4 2 3 3" xfId="255" xr:uid="{00000000-0005-0000-0000-000031020000}"/>
    <cellStyle name="Normal 3 4 2 3 4" xfId="529" xr:uid="{00000000-0005-0000-0000-000032020000}"/>
    <cellStyle name="Normal 3 4 2 4" xfId="114" xr:uid="{00000000-0005-0000-0000-000033020000}"/>
    <cellStyle name="Normal 3 4 2 4 2" xfId="286" xr:uid="{00000000-0005-0000-0000-000034020000}"/>
    <cellStyle name="Normal 3 4 2 4 3" xfId="552" xr:uid="{00000000-0005-0000-0000-000035020000}"/>
    <cellStyle name="Normal 3 4 2 5" xfId="423" xr:uid="{00000000-0005-0000-0000-000036020000}"/>
    <cellStyle name="Normal 3 4 2 5 2" xfId="643" xr:uid="{00000000-0005-0000-0000-000037020000}"/>
    <cellStyle name="Normal 3 4 2 6" xfId="445" xr:uid="{00000000-0005-0000-0000-000038020000}"/>
    <cellStyle name="Normal 3 4 2 6 2" xfId="665" xr:uid="{00000000-0005-0000-0000-000039020000}"/>
    <cellStyle name="Normal 3 4 2 7" xfId="194" xr:uid="{00000000-0005-0000-0000-00003A020000}"/>
    <cellStyle name="Normal 3 4 2 8" xfId="469" xr:uid="{00000000-0005-0000-0000-00003B020000}"/>
    <cellStyle name="Normal 3 4 3" xfId="52" xr:uid="{00000000-0005-0000-0000-00003C020000}"/>
    <cellStyle name="Normal 3 4 3 2" xfId="300" xr:uid="{00000000-0005-0000-0000-00003D020000}"/>
    <cellStyle name="Normal 3 4 3 2 2" xfId="566" xr:uid="{00000000-0005-0000-0000-00003E020000}"/>
    <cellStyle name="Normal 3 4 3 3" xfId="208" xr:uid="{00000000-0005-0000-0000-00003F020000}"/>
    <cellStyle name="Normal 3 4 3 4" xfId="483" xr:uid="{00000000-0005-0000-0000-000040020000}"/>
    <cellStyle name="Normal 3 4 4" xfId="79" xr:uid="{00000000-0005-0000-0000-000041020000}"/>
    <cellStyle name="Normal 3 4 4 2" xfId="329" xr:uid="{00000000-0005-0000-0000-000042020000}"/>
    <cellStyle name="Normal 3 4 4 2 2" xfId="595" xr:uid="{00000000-0005-0000-0000-000043020000}"/>
    <cellStyle name="Normal 3 4 4 3" xfId="238" xr:uid="{00000000-0005-0000-0000-000044020000}"/>
    <cellStyle name="Normal 3 4 4 4" xfId="512" xr:uid="{00000000-0005-0000-0000-000045020000}"/>
    <cellStyle name="Normal 3 4 5" xfId="104" xr:uid="{00000000-0005-0000-0000-000046020000}"/>
    <cellStyle name="Normal 3 4 5 2" xfId="276" xr:uid="{00000000-0005-0000-0000-000047020000}"/>
    <cellStyle name="Normal 3 4 5 3" xfId="542" xr:uid="{00000000-0005-0000-0000-000048020000}"/>
    <cellStyle name="Normal 3 4 6" xfId="131" xr:uid="{00000000-0005-0000-0000-000049020000}"/>
    <cellStyle name="Normal 3 4 6 2" xfId="406" xr:uid="{00000000-0005-0000-0000-00004A020000}"/>
    <cellStyle name="Normal 3 4 6 3" xfId="626" xr:uid="{00000000-0005-0000-0000-00004B020000}"/>
    <cellStyle name="Normal 3 4 7" xfId="150" xr:uid="{00000000-0005-0000-0000-00004C020000}"/>
    <cellStyle name="Normal 3 4 7 2" xfId="435" xr:uid="{00000000-0005-0000-0000-00004D020000}"/>
    <cellStyle name="Normal 3 4 7 3" xfId="655" xr:uid="{00000000-0005-0000-0000-00004E020000}"/>
    <cellStyle name="Normal 3 4 8" xfId="167" xr:uid="{00000000-0005-0000-0000-00004F020000}"/>
    <cellStyle name="Normal 3 4 9" xfId="184" xr:uid="{00000000-0005-0000-0000-000050020000}"/>
    <cellStyle name="Normal 3 5" xfId="30" xr:uid="{00000000-0005-0000-0000-000051020000}"/>
    <cellStyle name="Normal 3 5 2" xfId="54" xr:uid="{00000000-0005-0000-0000-000052020000}"/>
    <cellStyle name="Normal 3 5 2 2" xfId="210" xr:uid="{00000000-0005-0000-0000-000053020000}"/>
    <cellStyle name="Normal 3 5 3" xfId="82" xr:uid="{00000000-0005-0000-0000-000054020000}"/>
    <cellStyle name="Normal 3 5 3 2" xfId="278" xr:uid="{00000000-0005-0000-0000-000055020000}"/>
    <cellStyle name="Normal 3 5 3 3" xfId="544" xr:uid="{00000000-0005-0000-0000-000056020000}"/>
    <cellStyle name="Normal 3 5 4" xfId="65" xr:uid="{00000000-0005-0000-0000-000057020000}"/>
    <cellStyle name="Normal 3 5 4 2" xfId="437" xr:uid="{00000000-0005-0000-0000-000058020000}"/>
    <cellStyle name="Normal 3 5 4 3" xfId="657" xr:uid="{00000000-0005-0000-0000-000059020000}"/>
    <cellStyle name="Normal 3 5 5" xfId="106" xr:uid="{00000000-0005-0000-0000-00005A020000}"/>
    <cellStyle name="Normal 3 5 6" xfId="186" xr:uid="{00000000-0005-0000-0000-00005B020000}"/>
    <cellStyle name="Normal 3 5 7" xfId="461" xr:uid="{00000000-0005-0000-0000-00005C020000}"/>
    <cellStyle name="Normal 3 6" xfId="42" xr:uid="{00000000-0005-0000-0000-00005D020000}"/>
    <cellStyle name="Normal 3 6 2" xfId="85" xr:uid="{00000000-0005-0000-0000-00005E020000}"/>
    <cellStyle name="Normal 3 6 2 2" xfId="332" xr:uid="{00000000-0005-0000-0000-00005F020000}"/>
    <cellStyle name="Normal 3 6 2 2 2" xfId="598" xr:uid="{00000000-0005-0000-0000-000060020000}"/>
    <cellStyle name="Normal 3 6 2 3" xfId="241" xr:uid="{00000000-0005-0000-0000-000061020000}"/>
    <cellStyle name="Normal 3 6 2 4" xfId="515" xr:uid="{00000000-0005-0000-0000-000062020000}"/>
    <cellStyle name="Normal 3 6 3" xfId="134" xr:uid="{00000000-0005-0000-0000-000063020000}"/>
    <cellStyle name="Normal 3 6 3 2" xfId="303" xr:uid="{00000000-0005-0000-0000-000064020000}"/>
    <cellStyle name="Normal 3 6 3 3" xfId="569" xr:uid="{00000000-0005-0000-0000-000065020000}"/>
    <cellStyle name="Normal 3 6 4" xfId="153" xr:uid="{00000000-0005-0000-0000-000066020000}"/>
    <cellStyle name="Normal 3 6 4 2" xfId="409" xr:uid="{00000000-0005-0000-0000-000067020000}"/>
    <cellStyle name="Normal 3 6 4 3" xfId="629" xr:uid="{00000000-0005-0000-0000-000068020000}"/>
    <cellStyle name="Normal 3 6 5" xfId="170" xr:uid="{00000000-0005-0000-0000-000069020000}"/>
    <cellStyle name="Normal 3 6 6" xfId="212" xr:uid="{00000000-0005-0000-0000-00006A020000}"/>
    <cellStyle name="Normal 3 6 7" xfId="486" xr:uid="{00000000-0005-0000-0000-00006B020000}"/>
    <cellStyle name="Normal 3 7" xfId="68" xr:uid="{00000000-0005-0000-0000-00006C020000}"/>
    <cellStyle name="Normal 3 7 2" xfId="245" xr:uid="{00000000-0005-0000-0000-00006D020000}"/>
    <cellStyle name="Normal 3 7 2 2" xfId="336" xr:uid="{00000000-0005-0000-0000-00006E020000}"/>
    <cellStyle name="Normal 3 7 2 2 2" xfId="602" xr:uid="{00000000-0005-0000-0000-00006F020000}"/>
    <cellStyle name="Normal 3 7 2 3" xfId="519" xr:uid="{00000000-0005-0000-0000-000070020000}"/>
    <cellStyle name="Normal 3 7 3" xfId="307" xr:uid="{00000000-0005-0000-0000-000071020000}"/>
    <cellStyle name="Normal 3 7 3 2" xfId="573" xr:uid="{00000000-0005-0000-0000-000072020000}"/>
    <cellStyle name="Normal 3 7 4" xfId="413" xr:uid="{00000000-0005-0000-0000-000073020000}"/>
    <cellStyle name="Normal 3 7 4 2" xfId="633" xr:uid="{00000000-0005-0000-0000-000074020000}"/>
    <cellStyle name="Normal 3 7 5" xfId="216" xr:uid="{00000000-0005-0000-0000-000075020000}"/>
    <cellStyle name="Normal 3 7 6" xfId="490" xr:uid="{00000000-0005-0000-0000-000076020000}"/>
    <cellStyle name="Normal 3 8" xfId="94" xr:uid="{00000000-0005-0000-0000-000077020000}"/>
    <cellStyle name="Normal 3 8 2" xfId="290" xr:uid="{00000000-0005-0000-0000-000078020000}"/>
    <cellStyle name="Normal 3 8 2 2" xfId="556" xr:uid="{00000000-0005-0000-0000-000079020000}"/>
    <cellStyle name="Normal 3 8 3" xfId="198" xr:uid="{00000000-0005-0000-0000-00007A020000}"/>
    <cellStyle name="Normal 3 8 4" xfId="473" xr:uid="{00000000-0005-0000-0000-00007B020000}"/>
    <cellStyle name="Normal 3 9" xfId="121" xr:uid="{00000000-0005-0000-0000-00007C020000}"/>
    <cellStyle name="Normal 3 9 2" xfId="319" xr:uid="{00000000-0005-0000-0000-00007D020000}"/>
    <cellStyle name="Normal 3 9 2 2" xfId="585" xr:uid="{00000000-0005-0000-0000-00007E020000}"/>
    <cellStyle name="Normal 3 9 3" xfId="228" xr:uid="{00000000-0005-0000-0000-00007F020000}"/>
    <cellStyle name="Normal 3 9 4" xfId="502" xr:uid="{00000000-0005-0000-0000-000080020000}"/>
    <cellStyle name="Normal 4" xfId="15" xr:uid="{00000000-0005-0000-0000-000081020000}"/>
    <cellStyle name="Normal 4 2" xfId="28" xr:uid="{00000000-0005-0000-0000-000082020000}"/>
    <cellStyle name="Normal 5" xfId="18" xr:uid="{00000000-0005-0000-0000-000083020000}"/>
    <cellStyle name="Normal 6" xfId="83" xr:uid="{00000000-0005-0000-0000-000084020000}"/>
    <cellStyle name="Normal 7" xfId="117" xr:uid="{00000000-0005-0000-0000-000085020000}"/>
    <cellStyle name="Normal 7 2" xfId="256" xr:uid="{00000000-0005-0000-0000-000086020000}"/>
    <cellStyle name="Normal 8" xfId="119" xr:uid="{00000000-0005-0000-0000-000087020000}"/>
    <cellStyle name="Normal 8 2" xfId="347" xr:uid="{00000000-0005-0000-0000-000088020000}"/>
    <cellStyle name="Normal 8 3" xfId="257" xr:uid="{00000000-0005-0000-0000-000089020000}"/>
    <cellStyle name="Normal 9" xfId="137" xr:uid="{00000000-0005-0000-0000-00008A020000}"/>
    <cellStyle name="Normal 9 2" xfId="261" xr:uid="{00000000-0005-0000-0000-00008B020000}"/>
    <cellStyle name="Normal_3crit_2002-03.xls" xfId="11" xr:uid="{00000000-0005-0000-0000-00008C020000}"/>
    <cellStyle name="Normal_Rendement impôts-2004-SJIC" xfId="669" xr:uid="{E7653E35-5812-41FE-8438-2DBF3D62AFB1}"/>
    <cellStyle name="Pourcentage" xfId="12" builtinId="5"/>
    <cellStyle name="Pourcentage 2" xfId="13" xr:uid="{00000000-0005-0000-0000-000091020000}"/>
    <cellStyle name="Pourcentage 3" xfId="138" xr:uid="{00000000-0005-0000-0000-000092020000}"/>
    <cellStyle name="Pourcentage 3 2" xfId="265" xr:uid="{00000000-0005-0000-0000-000093020000}"/>
    <cellStyle name="Pourcentage 4" xfId="259" xr:uid="{00000000-0005-0000-0000-000094020000}"/>
    <cellStyle name="Satisfaisant 2" xfId="381" xr:uid="{00000000-0005-0000-0000-000095020000}"/>
    <cellStyle name="Sortie 2" xfId="382" xr:uid="{00000000-0005-0000-0000-000096020000}"/>
    <cellStyle name="Texte explicatif 2" xfId="383" xr:uid="{00000000-0005-0000-0000-000097020000}"/>
    <cellStyle name="Titre 2" xfId="384" xr:uid="{00000000-0005-0000-0000-000098020000}"/>
    <cellStyle name="Titre 1 2" xfId="385" xr:uid="{00000000-0005-0000-0000-000099020000}"/>
    <cellStyle name="Titre 2 2" xfId="386" xr:uid="{00000000-0005-0000-0000-00009A020000}"/>
    <cellStyle name="Titre 3 2" xfId="387" xr:uid="{00000000-0005-0000-0000-00009B020000}"/>
    <cellStyle name="Titre 4 2" xfId="388" xr:uid="{00000000-0005-0000-0000-00009C020000}"/>
    <cellStyle name="Total 2" xfId="389" xr:uid="{00000000-0005-0000-0000-00009D020000}"/>
    <cellStyle name="Vérification 2" xfId="390" xr:uid="{00000000-0005-0000-0000-00009E020000}"/>
  </cellStyles>
  <dxfs count="15">
    <dxf>
      <fill>
        <patternFill>
          <bgColor rgb="FF00B050"/>
        </patternFill>
      </fill>
    </dxf>
    <dxf>
      <fill>
        <patternFill>
          <bgColor rgb="FF00B050"/>
        </patternFill>
      </fill>
    </dxf>
    <dxf>
      <fill>
        <patternFill>
          <bgColor rgb="FF00B050"/>
        </patternFill>
      </fill>
    </dxf>
    <dxf>
      <fill>
        <patternFill>
          <bgColor rgb="FFFFFF00"/>
        </patternFill>
      </fill>
    </dxf>
    <dxf>
      <font>
        <color auto="1"/>
      </font>
      <fill>
        <patternFill>
          <bgColor rgb="FFFFFF00"/>
        </patternFill>
      </fill>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ill>
        <patternFill>
          <bgColor rgb="FF00B050"/>
        </patternFill>
      </fill>
    </dxf>
    <dxf>
      <fill>
        <patternFill>
          <bgColor rgb="FF00B050"/>
        </patternFill>
      </fill>
    </dxf>
  </dxfs>
  <tableStyles count="0" defaultTableStyle="TableStyleMedium9" defaultPivotStyle="PivotStyleLight16"/>
  <colors>
    <mruColors>
      <color rgb="FF23CF33"/>
      <color rgb="FF00DE64"/>
      <color rgb="FFBF5201"/>
      <color rgb="FF05FF76"/>
      <color rgb="FFD973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190500</xdr:colOff>
      <xdr:row>1</xdr:row>
      <xdr:rowOff>66675</xdr:rowOff>
    </xdr:from>
    <xdr:to>
      <xdr:col>4</xdr:col>
      <xdr:colOff>2333626</xdr:colOff>
      <xdr:row>4</xdr:row>
      <xdr:rowOff>95250</xdr:rowOff>
    </xdr:to>
    <xdr:sp macro="" textlink="">
      <xdr:nvSpPr>
        <xdr:cNvPr id="2" name="Rectangle 1">
          <a:extLst>
            <a:ext uri="{FF2B5EF4-FFF2-40B4-BE49-F238E27FC236}">
              <a16:creationId xmlns:a16="http://schemas.microsoft.com/office/drawing/2014/main" id="{5D368BC6-DE01-4499-A0F0-FA12ADBDB631}"/>
            </a:ext>
          </a:extLst>
        </xdr:cNvPr>
        <xdr:cNvSpPr/>
      </xdr:nvSpPr>
      <xdr:spPr bwMode="auto">
        <a:xfrm>
          <a:off x="4714875" y="457200"/>
          <a:ext cx="2143126" cy="742950"/>
        </a:xfrm>
        <a:prstGeom prst="rect">
          <a:avLst/>
        </a:prstGeom>
        <a:solidFill>
          <a:schemeClr val="accent3">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fr-CH" sz="1100" b="1"/>
            <a:t>Veuillez</a:t>
          </a:r>
          <a:r>
            <a:rPr lang="fr-CH" sz="1100" b="1" baseline="0"/>
            <a:t> cliquer sur la cellule C3 pour saisir le nom de votre commune ou la selectionner au moyen de la flèche en bas à droite de la cellule</a:t>
          </a:r>
          <a:endParaRPr lang="fr-CH" sz="1100" b="1"/>
        </a:p>
      </xdr:txBody>
    </xdr:sp>
    <xdr:clientData/>
  </xdr:twoCellAnchor>
  <xdr:twoCellAnchor>
    <xdr:from>
      <xdr:col>5</xdr:col>
      <xdr:colOff>38100</xdr:colOff>
      <xdr:row>6</xdr:row>
      <xdr:rowOff>282575</xdr:rowOff>
    </xdr:from>
    <xdr:to>
      <xdr:col>7</xdr:col>
      <xdr:colOff>361950</xdr:colOff>
      <xdr:row>12</xdr:row>
      <xdr:rowOff>63500</xdr:rowOff>
    </xdr:to>
    <xdr:sp macro="" textlink="">
      <xdr:nvSpPr>
        <xdr:cNvPr id="3" name="Rectangle 2">
          <a:extLst>
            <a:ext uri="{FF2B5EF4-FFF2-40B4-BE49-F238E27FC236}">
              <a16:creationId xmlns:a16="http://schemas.microsoft.com/office/drawing/2014/main" id="{8C5CC626-6288-4A2F-8C9A-DD0B2956E675}"/>
            </a:ext>
          </a:extLst>
        </xdr:cNvPr>
        <xdr:cNvSpPr/>
      </xdr:nvSpPr>
      <xdr:spPr bwMode="auto">
        <a:xfrm>
          <a:off x="6934200" y="2054225"/>
          <a:ext cx="1981200" cy="838200"/>
        </a:xfrm>
        <a:prstGeom prst="rect">
          <a:avLst/>
        </a:prstGeom>
        <a:solidFill>
          <a:schemeClr val="accent3">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indent="0" algn="ctr"/>
          <a:r>
            <a:rPr lang="fr-CH" sz="1100" b="1">
              <a:latin typeface="+mn-lt"/>
              <a:ea typeface="+mn-ea"/>
              <a:cs typeface="+mn-cs"/>
            </a:rPr>
            <a:t>En</a:t>
          </a:r>
          <a:r>
            <a:rPr lang="fr-CH" sz="1100" b="1" baseline="0">
              <a:latin typeface="+mn-lt"/>
              <a:ea typeface="+mn-ea"/>
              <a:cs typeface="+mn-cs"/>
            </a:rPr>
            <a:t> cas de corrections, nous vous prions d'indiquer les nouveaux montants dans les cellules grises.</a:t>
          </a:r>
        </a:p>
        <a:p>
          <a:pPr marL="0" indent="0" algn="ctr"/>
          <a:endParaRPr lang="fr-CH" sz="1100" b="1">
            <a:latin typeface="+mn-lt"/>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16F0-2D75-447D-8162-383BFD123B3E}">
  <sheetPr>
    <tabColor rgb="FF92D050"/>
    <pageSetUpPr fitToPage="1"/>
  </sheetPr>
  <dimension ref="B1:E53"/>
  <sheetViews>
    <sheetView tabSelected="1" zoomScaleNormal="100" zoomScaleSheetLayoutView="90" workbookViewId="0"/>
  </sheetViews>
  <sheetFormatPr baseColWidth="10" defaultColWidth="10.875" defaultRowHeight="15" x14ac:dyDescent="0.25"/>
  <cols>
    <col min="1" max="1" width="3.375" style="578" customWidth="1"/>
    <col min="2" max="2" width="9.75" style="578" customWidth="1"/>
    <col min="3" max="3" width="33.75" style="578" bestFit="1" customWidth="1"/>
    <col min="4" max="4" width="12.5" style="578" customWidth="1"/>
    <col min="5" max="5" width="31.125" style="578" customWidth="1"/>
    <col min="6" max="16384" width="10.875" style="578"/>
  </cols>
  <sheetData>
    <row r="1" spans="2:5" ht="30.75" customHeight="1" x14ac:dyDescent="0.5">
      <c r="B1" s="577" t="s">
        <v>570</v>
      </c>
      <c r="E1" s="579"/>
    </row>
    <row r="3" spans="2:5" s="581" customFormat="1" ht="26.25" x14ac:dyDescent="0.4">
      <c r="B3" s="580"/>
      <c r="C3" s="658"/>
      <c r="D3" s="658"/>
      <c r="E3" s="578"/>
    </row>
    <row r="6" spans="2:5" ht="37.5" customHeight="1" x14ac:dyDescent="0.25">
      <c r="B6" s="659" t="str">
        <f>CONCATENATE("Rendement impôts communaux pour le décompte péréquatif ",Paramètres!B5)</f>
        <v>Rendement impôts communaux pour le décompte péréquatif 2023</v>
      </c>
      <c r="C6" s="659"/>
      <c r="D6" s="659"/>
      <c r="E6" s="659"/>
    </row>
    <row r="7" spans="2:5" ht="23.25" x14ac:dyDescent="0.35">
      <c r="B7" s="660" t="str">
        <f>IF(C3=0,"",C3)</f>
        <v/>
      </c>
      <c r="C7" s="660"/>
      <c r="D7" s="660"/>
      <c r="E7" s="660"/>
    </row>
    <row r="8" spans="2:5" s="585" customFormat="1" ht="12.75" x14ac:dyDescent="0.2">
      <c r="B8" s="582"/>
      <c r="C8" s="583"/>
      <c r="D8" s="584"/>
      <c r="E8" s="655" t="e">
        <f>CONCATENATE("N° OFS : ",VLOOKUP($B$7,Paramètres!A62:B371,2,FALSE))</f>
        <v>#N/A</v>
      </c>
    </row>
    <row r="9" spans="2:5" ht="18" x14ac:dyDescent="0.35">
      <c r="B9" s="586" t="s">
        <v>571</v>
      </c>
      <c r="C9" s="587"/>
      <c r="D9" s="588" t="s">
        <v>356</v>
      </c>
      <c r="E9" s="589" t="s">
        <v>572</v>
      </c>
    </row>
    <row r="10" spans="2:5" s="585" customFormat="1" ht="3.75" customHeight="1" x14ac:dyDescent="0.2">
      <c r="B10" s="584"/>
      <c r="C10" s="584"/>
      <c r="D10" s="584"/>
      <c r="E10" s="584"/>
    </row>
    <row r="11" spans="2:5" s="594" customFormat="1" ht="12.75" x14ac:dyDescent="0.2">
      <c r="B11" s="590">
        <v>4001</v>
      </c>
      <c r="C11" s="591" t="s">
        <v>441</v>
      </c>
      <c r="D11" s="592" t="e">
        <f>VLOOKUP($B$7,Données!$B:$Z,2,FALSE)</f>
        <v>#N/A</v>
      </c>
      <c r="E11" s="593"/>
    </row>
    <row r="12" spans="2:5" s="594" customFormat="1" ht="12.75" x14ac:dyDescent="0.2">
      <c r="B12" s="590">
        <v>4002</v>
      </c>
      <c r="C12" s="591" t="s">
        <v>573</v>
      </c>
      <c r="D12" s="592" t="e">
        <f>VLOOKUP($B$7,Données!$B:$Z,3,FALSE)</f>
        <v>#N/A</v>
      </c>
      <c r="E12" s="595"/>
    </row>
    <row r="13" spans="2:5" s="594" customFormat="1" ht="12.75" x14ac:dyDescent="0.2">
      <c r="B13" s="590">
        <v>4005</v>
      </c>
      <c r="C13" s="591" t="s">
        <v>574</v>
      </c>
      <c r="D13" s="592" t="e">
        <f>VLOOKUP($B$7,Données!$B:$Z,5,FALSE)</f>
        <v>#N/A</v>
      </c>
      <c r="E13" s="593"/>
    </row>
    <row r="14" spans="2:5" s="594" customFormat="1" ht="12.75" x14ac:dyDescent="0.2">
      <c r="B14" s="590">
        <v>4011</v>
      </c>
      <c r="C14" s="591" t="s">
        <v>575</v>
      </c>
      <c r="D14" s="592" t="e">
        <f>VLOOKUP($B$7,Données!$B:$Z,6,FALSE)</f>
        <v>#N/A</v>
      </c>
      <c r="E14" s="593"/>
    </row>
    <row r="15" spans="2:5" s="594" customFormat="1" ht="12.75" x14ac:dyDescent="0.2">
      <c r="B15" s="590">
        <v>4012</v>
      </c>
      <c r="C15" s="591" t="s">
        <v>576</v>
      </c>
      <c r="D15" s="592" t="e">
        <f>VLOOKUP($B$7,Données!$B:$Z,7,FALSE)</f>
        <v>#N/A</v>
      </c>
      <c r="E15" s="593"/>
    </row>
    <row r="16" spans="2:5" s="594" customFormat="1" ht="12.75" x14ac:dyDescent="0.2">
      <c r="B16" s="590">
        <v>4004</v>
      </c>
      <c r="C16" s="591" t="s">
        <v>577</v>
      </c>
      <c r="D16" s="592" t="e">
        <f>VLOOKUP($B$7,Données!$B:$Z,8,FALSE)</f>
        <v>#N/A</v>
      </c>
      <c r="E16" s="593"/>
    </row>
    <row r="17" spans="2:5" s="594" customFormat="1" ht="12.75" x14ac:dyDescent="0.2">
      <c r="B17" s="590">
        <v>4003</v>
      </c>
      <c r="C17" s="591" t="s">
        <v>311</v>
      </c>
      <c r="D17" s="592" t="e">
        <f>VLOOKUP($B$7,Données!$B:$Z,9,FALSE)</f>
        <v>#N/A</v>
      </c>
      <c r="E17" s="593"/>
    </row>
    <row r="18" spans="2:5" s="594" customFormat="1" ht="12.75" x14ac:dyDescent="0.2">
      <c r="B18" s="590">
        <v>4013</v>
      </c>
      <c r="C18" s="591" t="s">
        <v>578</v>
      </c>
      <c r="D18" s="592" t="e">
        <f>VLOOKUP($B$7,Données!$B:$Z,10,FALSE)</f>
        <v>#N/A</v>
      </c>
      <c r="E18" s="593"/>
    </row>
    <row r="19" spans="2:5" s="594" customFormat="1" ht="12.75" x14ac:dyDescent="0.2">
      <c r="B19" s="590">
        <v>4020</v>
      </c>
      <c r="C19" s="591" t="s">
        <v>579</v>
      </c>
      <c r="D19" s="592" t="e">
        <f>VLOOKUP($B$7,Données!$B:$Z,11,FALSE)</f>
        <v>#N/A</v>
      </c>
      <c r="E19" s="593"/>
    </row>
    <row r="20" spans="2:5" s="594" customFormat="1" ht="12.75" x14ac:dyDescent="0.2">
      <c r="B20" s="590"/>
      <c r="C20" s="596" t="s">
        <v>580</v>
      </c>
      <c r="D20" s="597" t="e">
        <f>SUM(D11:D19)</f>
        <v>#N/A</v>
      </c>
      <c r="E20" s="597"/>
    </row>
    <row r="21" spans="2:5" s="594" customFormat="1" ht="7.15" customHeight="1" x14ac:dyDescent="0.2">
      <c r="B21" s="590"/>
      <c r="C21" s="591"/>
      <c r="D21" s="598"/>
      <c r="E21" s="598"/>
    </row>
    <row r="22" spans="2:5" s="594" customFormat="1" ht="12.75" x14ac:dyDescent="0.2">
      <c r="B22" s="590" t="s">
        <v>581</v>
      </c>
      <c r="C22" s="591" t="s">
        <v>582</v>
      </c>
      <c r="D22" s="592" t="e">
        <f>VLOOKUP($B$7,Données!$B:$Z,13,FALSE)</f>
        <v>#N/A</v>
      </c>
      <c r="E22" s="593"/>
    </row>
    <row r="23" spans="2:5" s="594" customFormat="1" ht="12.75" x14ac:dyDescent="0.2">
      <c r="B23" s="590">
        <v>4050</v>
      </c>
      <c r="C23" s="591" t="s">
        <v>583</v>
      </c>
      <c r="D23" s="592" t="e">
        <f>VLOOKUP($B$7,Données!$B:$Z,14,FALSE)</f>
        <v>#N/A</v>
      </c>
      <c r="E23" s="593"/>
    </row>
    <row r="24" spans="2:5" s="594" customFormat="1" ht="12.75" x14ac:dyDescent="0.2">
      <c r="B24" s="590">
        <v>4040</v>
      </c>
      <c r="C24" s="591" t="s">
        <v>176</v>
      </c>
      <c r="D24" s="592" t="e">
        <f>VLOOKUP($B$7,Données!$B:$Z,15,FALSE)</f>
        <v>#N/A</v>
      </c>
      <c r="E24" s="593"/>
    </row>
    <row r="25" spans="2:5" s="594" customFormat="1" ht="12.75" x14ac:dyDescent="0.2">
      <c r="B25" s="590">
        <v>4090</v>
      </c>
      <c r="C25" s="591" t="s">
        <v>336</v>
      </c>
      <c r="D25" s="592" t="e">
        <f>VLOOKUP($B$7,Données!$B:$Z,16,FALSE)</f>
        <v>#N/A</v>
      </c>
      <c r="E25" s="593"/>
    </row>
    <row r="26" spans="2:5" s="594" customFormat="1" ht="12.75" x14ac:dyDescent="0.2">
      <c r="B26" s="590">
        <v>4411</v>
      </c>
      <c r="C26" s="591" t="s">
        <v>584</v>
      </c>
      <c r="D26" s="592" t="e">
        <f>VLOOKUP($B$7,Données!$B:$Z,17,FALSE)</f>
        <v>#N/A</v>
      </c>
      <c r="E26" s="593"/>
    </row>
    <row r="27" spans="2:5" s="594" customFormat="1" ht="12.75" x14ac:dyDescent="0.2">
      <c r="B27" s="590">
        <v>451</v>
      </c>
      <c r="C27" s="591" t="s">
        <v>585</v>
      </c>
      <c r="D27" s="592" t="e">
        <f>VLOOKUP($B$7,Données!$B:$Z,18,FALSE)</f>
        <v>#N/A</v>
      </c>
      <c r="E27" s="593"/>
    </row>
    <row r="28" spans="2:5" s="594" customFormat="1" ht="12.75" x14ac:dyDescent="0.2">
      <c r="B28" s="590"/>
      <c r="C28" s="596" t="s">
        <v>173</v>
      </c>
      <c r="D28" s="597" t="e">
        <f>SUM(D22:D27)</f>
        <v>#N/A</v>
      </c>
      <c r="E28" s="597"/>
    </row>
    <row r="29" spans="2:5" s="594" customFormat="1" ht="12.75" x14ac:dyDescent="0.2">
      <c r="B29" s="590"/>
      <c r="C29" s="596" t="s">
        <v>586</v>
      </c>
      <c r="D29" s="597" t="e">
        <f>+D28+D20</f>
        <v>#N/A</v>
      </c>
      <c r="E29" s="597"/>
    </row>
    <row r="30" spans="2:5" s="594" customFormat="1" ht="6" customHeight="1" x14ac:dyDescent="0.2">
      <c r="B30" s="590"/>
      <c r="C30" s="591"/>
      <c r="D30" s="592"/>
      <c r="E30" s="592"/>
    </row>
    <row r="31" spans="2:5" s="594" customFormat="1" ht="7.15" customHeight="1" x14ac:dyDescent="0.2">
      <c r="B31" s="590"/>
      <c r="C31" s="596"/>
      <c r="D31" s="592"/>
      <c r="E31" s="592"/>
    </row>
    <row r="32" spans="2:5" s="594" customFormat="1" ht="12.75" x14ac:dyDescent="0.2">
      <c r="B32" s="590" t="s">
        <v>587</v>
      </c>
      <c r="C32" s="591" t="s">
        <v>588</v>
      </c>
      <c r="D32" s="592" t="e">
        <f>VLOOKUP($B$7,Données!$B:$Z,20,FALSE)</f>
        <v>#N/A</v>
      </c>
      <c r="E32" s="593"/>
    </row>
    <row r="33" spans="2:5" s="594" customFormat="1" ht="12.75" x14ac:dyDescent="0.2">
      <c r="B33" s="590"/>
      <c r="C33" s="591" t="s">
        <v>524</v>
      </c>
      <c r="D33" s="592" t="e">
        <f>VLOOKUP($B$7,Données!$B:$Z,21,FALSE)</f>
        <v>#N/A</v>
      </c>
      <c r="E33" s="593"/>
    </row>
    <row r="34" spans="2:5" s="594" customFormat="1" ht="12.75" x14ac:dyDescent="0.2">
      <c r="B34" s="590"/>
      <c r="C34" s="591" t="s">
        <v>219</v>
      </c>
      <c r="D34" s="592" t="e">
        <f>VLOOKUP($B$7,Données!$B:$Z,22,FALSE)</f>
        <v>#N/A</v>
      </c>
      <c r="E34" s="593"/>
    </row>
    <row r="35" spans="2:5" s="594" customFormat="1" ht="6" customHeight="1" x14ac:dyDescent="0.2">
      <c r="B35" s="590"/>
      <c r="C35" s="591"/>
      <c r="D35" s="592"/>
      <c r="E35" s="592"/>
    </row>
    <row r="36" spans="2:5" s="603" customFormat="1" ht="18" x14ac:dyDescent="0.2">
      <c r="B36" s="599" t="s">
        <v>589</v>
      </c>
      <c r="C36" s="600"/>
      <c r="D36" s="601"/>
      <c r="E36" s="602"/>
    </row>
    <row r="37" spans="2:5" s="594" customFormat="1" ht="6" customHeight="1" x14ac:dyDescent="0.2">
      <c r="B37" s="604"/>
      <c r="C37" s="605"/>
      <c r="D37" s="592"/>
      <c r="E37" s="592"/>
    </row>
    <row r="38" spans="2:5" s="594" customFormat="1" ht="13.9" customHeight="1" x14ac:dyDescent="0.2">
      <c r="B38" s="606"/>
      <c r="C38" s="606" t="str">
        <f>CONCATENATE("Taux d'imposition ",Paramètres!B5)</f>
        <v>Taux d'imposition 2023</v>
      </c>
      <c r="D38" s="592" t="e">
        <f>VLOOKUP($B$7,Données!$B:$Z,23,FALSE)</f>
        <v>#N/A</v>
      </c>
      <c r="E38" s="593"/>
    </row>
    <row r="39" spans="2:5" s="594" customFormat="1" ht="13.9" customHeight="1" x14ac:dyDescent="0.2">
      <c r="B39" s="606"/>
      <c r="C39" s="606" t="str">
        <f>CONCATENATE("Taux impôt foncier ",Paramètres!B5," en 0/00")</f>
        <v>Taux impôt foncier 2023 en 0/00</v>
      </c>
      <c r="D39" s="592" t="e">
        <f>VLOOKUP($B$7,Données!$B:$Z,24,FALSE)</f>
        <v>#N/A</v>
      </c>
      <c r="E39" s="593"/>
    </row>
    <row r="40" spans="2:5" s="594" customFormat="1" ht="13.9" customHeight="1" x14ac:dyDescent="0.2">
      <c r="B40" s="606"/>
      <c r="C40" s="606" t="str">
        <f>CONCATENATE("Population au ",TEXT(Paramètres!B6,"jj.mm.aaaa")," selon FAO")</f>
        <v>Population au 31.12.2023 selon FAO</v>
      </c>
      <c r="D40" s="607" t="e">
        <f>VLOOKUP($B$7,Données!$B:$Z,25,FALSE)</f>
        <v>#N/A</v>
      </c>
      <c r="E40" s="593"/>
    </row>
    <row r="41" spans="2:5" s="585" customFormat="1" ht="6" customHeight="1" x14ac:dyDescent="0.2">
      <c r="B41" s="584"/>
      <c r="C41" s="584"/>
      <c r="D41" s="584"/>
      <c r="E41" s="584"/>
    </row>
    <row r="42" spans="2:5" ht="18" x14ac:dyDescent="0.35">
      <c r="B42" s="586"/>
      <c r="C42" s="587"/>
      <c r="D42" s="608"/>
      <c r="E42" s="609"/>
    </row>
    <row r="43" spans="2:5" s="585" customFormat="1" ht="6" customHeight="1" x14ac:dyDescent="0.2">
      <c r="B43" s="584"/>
      <c r="C43" s="584"/>
      <c r="D43" s="584"/>
      <c r="E43" s="584"/>
    </row>
    <row r="44" spans="2:5" ht="45.6" customHeight="1" x14ac:dyDescent="0.25">
      <c r="B44" s="661" t="str">
        <f>CONCATENATE("Nous confirmons l'exactitude et la validité de ces montants. Ils correspondent aux chiffres que nous (commune) ", "vous avons communiqué précédemment. Nous confirmons également l'exactitude des informations supplémentaires relatives aux taux d'imposition ainsi qu'à la population. Ces données seront utilisées pour le calcul du décompte final de la péréquation ",Paramètres!B5,".")</f>
        <v>Nous confirmons l'exactitude et la validité de ces montants. Ils correspondent aux chiffres que nous (commune) vous avons communiqué précédemment. Nous confirmons également l'exactitude des informations supplémentaires relatives aux taux d'imposition ainsi qu'à la population. Ces données seront utilisées pour le calcul du décompte final de la péréquation 2023.</v>
      </c>
      <c r="C44" s="661"/>
      <c r="D44" s="661"/>
      <c r="E44" s="661"/>
    </row>
    <row r="45" spans="2:5" x14ac:dyDescent="0.25">
      <c r="B45" s="610"/>
      <c r="C45" s="610"/>
      <c r="D45" s="610"/>
      <c r="E45" s="610"/>
    </row>
    <row r="46" spans="2:5" x14ac:dyDescent="0.25">
      <c r="B46" s="662" t="str">
        <f ca="1">CONCATENATE(B7,", le ", TEXT(TODAY(),"jj mmmmmmmmm aaaa"))</f>
        <v>, le 04 avril 2024</v>
      </c>
      <c r="C46" s="662"/>
      <c r="D46" s="610"/>
      <c r="E46" s="610"/>
    </row>
    <row r="47" spans="2:5" x14ac:dyDescent="0.25">
      <c r="B47" s="611"/>
      <c r="C47" s="612"/>
      <c r="D47" s="610"/>
      <c r="E47" s="610"/>
    </row>
    <row r="48" spans="2:5" x14ac:dyDescent="0.25">
      <c r="B48" s="613" t="s">
        <v>600</v>
      </c>
      <c r="C48" s="612"/>
      <c r="D48" s="610"/>
      <c r="E48" s="614" t="s">
        <v>601</v>
      </c>
    </row>
    <row r="49" spans="2:5" x14ac:dyDescent="0.25">
      <c r="B49" s="615"/>
      <c r="C49" s="612"/>
      <c r="D49" s="610"/>
      <c r="E49" s="610"/>
    </row>
    <row r="50" spans="2:5" x14ac:dyDescent="0.25">
      <c r="B50" s="656"/>
      <c r="C50" s="656"/>
      <c r="D50" s="657"/>
      <c r="E50" s="657"/>
    </row>
    <row r="51" spans="2:5" x14ac:dyDescent="0.25">
      <c r="B51" s="616" t="s">
        <v>590</v>
      </c>
      <c r="C51" s="612"/>
      <c r="D51" s="610"/>
      <c r="E51" s="610"/>
    </row>
    <row r="52" spans="2:5" x14ac:dyDescent="0.25">
      <c r="B52" s="656"/>
      <c r="C52" s="656"/>
      <c r="D52" s="657"/>
      <c r="E52" s="657"/>
    </row>
    <row r="53" spans="2:5" x14ac:dyDescent="0.25">
      <c r="B53" s="616" t="s">
        <v>599</v>
      </c>
      <c r="C53" s="612"/>
      <c r="D53" s="610"/>
      <c r="E53" s="610"/>
    </row>
  </sheetData>
  <sheetProtection sheet="1" objects="1" scenarios="1"/>
  <protectedRanges>
    <protectedRange sqref="E13:E19 E32:E34 E38:E40 E11 E22:E27" name="Plage2_2"/>
    <protectedRange sqref="C3" name="Plage1_2"/>
  </protectedRanges>
  <mergeCells count="9">
    <mergeCell ref="B52:C52"/>
    <mergeCell ref="D52:E52"/>
    <mergeCell ref="C3:D3"/>
    <mergeCell ref="B6:E6"/>
    <mergeCell ref="B7:E7"/>
    <mergeCell ref="B44:E44"/>
    <mergeCell ref="B46:C46"/>
    <mergeCell ref="B50:C50"/>
    <mergeCell ref="D50:E50"/>
  </mergeCells>
  <pageMargins left="0.7" right="0.7" top="0.75" bottom="0.75" header="0.3" footer="0.3"/>
  <pageSetup paperSize="9" scale="8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406D890-1B6B-4029-B0FB-8A5B1F161B79}">
          <x14:formula1>
            <xm:f>Paramètres!$A$62:$A$361</xm:f>
          </x14:formula1>
          <xm:sqref>C3:D3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tabColor theme="6" tint="0.39997558519241921"/>
  </sheetPr>
  <dimension ref="A1:L320"/>
  <sheetViews>
    <sheetView workbookViewId="0">
      <pane ySplit="8" topLeftCell="A9" activePane="bottomLeft" state="frozen"/>
      <selection activeCell="K309" sqref="K309"/>
      <selection pane="bottomLeft"/>
    </sheetView>
  </sheetViews>
  <sheetFormatPr baseColWidth="10" defaultColWidth="11" defaultRowHeight="15" x14ac:dyDescent="0.25"/>
  <cols>
    <col min="1" max="1" width="7.25" style="11" customWidth="1"/>
    <col min="2" max="2" width="20.25" style="11" bestFit="1" customWidth="1"/>
    <col min="3" max="3" width="10.375" style="11" customWidth="1"/>
    <col min="4" max="10" width="10" style="11" customWidth="1"/>
    <col min="11" max="11" width="13" style="11" customWidth="1"/>
    <col min="12" max="12" width="3.625" style="11" customWidth="1"/>
    <col min="13" max="16384" width="11" style="11"/>
  </cols>
  <sheetData>
    <row r="1" spans="1:12" s="205" customFormat="1" ht="26.25" x14ac:dyDescent="0.4">
      <c r="A1" s="203" t="s">
        <v>566</v>
      </c>
      <c r="B1" s="204"/>
      <c r="C1" s="207"/>
      <c r="G1" s="308" t="s">
        <v>402</v>
      </c>
      <c r="H1" s="224" t="s">
        <v>394</v>
      </c>
      <c r="I1" s="372" t="s">
        <v>403</v>
      </c>
    </row>
    <row r="2" spans="1:12" s="156" customFormat="1" ht="15.75" customHeight="1" x14ac:dyDescent="0.25">
      <c r="A2" s="272" t="str">
        <f>Paramètres!B4</f>
        <v>Décompte 2023</v>
      </c>
      <c r="B2" s="32"/>
      <c r="C2" s="158"/>
      <c r="L2" s="291"/>
    </row>
    <row r="3" spans="1:12" x14ac:dyDescent="0.25">
      <c r="A3" s="22"/>
      <c r="B3" s="40"/>
      <c r="L3" s="291"/>
    </row>
    <row r="4" spans="1:12" ht="18.75" customHeight="1" x14ac:dyDescent="0.25">
      <c r="A4" s="22"/>
      <c r="B4" s="40"/>
      <c r="C4" s="763" t="s">
        <v>259</v>
      </c>
      <c r="D4" s="764"/>
      <c r="E4" s="764"/>
      <c r="F4" s="764"/>
      <c r="G4" s="764"/>
      <c r="H4" s="764"/>
      <c r="I4" s="764"/>
      <c r="J4" s="765"/>
      <c r="L4" s="291"/>
    </row>
    <row r="5" spans="1:12" x14ac:dyDescent="0.25">
      <c r="C5" s="77" t="s">
        <v>258</v>
      </c>
      <c r="D5" s="65">
        <f>Paramètres!B28</f>
        <v>0</v>
      </c>
      <c r="E5" s="65">
        <f>Paramètres!C28</f>
        <v>1000</v>
      </c>
      <c r="F5" s="65">
        <f>Paramètres!D28</f>
        <v>3000</v>
      </c>
      <c r="G5" s="65">
        <f>Paramètres!E28</f>
        <v>5000</v>
      </c>
      <c r="H5" s="65">
        <f>Paramètres!F28</f>
        <v>9000</v>
      </c>
      <c r="I5" s="65">
        <f>Paramètres!G28</f>
        <v>12000</v>
      </c>
      <c r="J5" s="65">
        <f>Paramètres!H28</f>
        <v>15000</v>
      </c>
      <c r="L5" s="291"/>
    </row>
    <row r="6" spans="1:12" x14ac:dyDescent="0.25">
      <c r="C6" s="68" t="s">
        <v>260</v>
      </c>
      <c r="D6" s="65">
        <f>Paramètres!B29</f>
        <v>1000</v>
      </c>
      <c r="E6" s="65">
        <f>Paramètres!C29</f>
        <v>3000</v>
      </c>
      <c r="F6" s="65">
        <f>Paramètres!D29</f>
        <v>5000</v>
      </c>
      <c r="G6" s="65">
        <f>Paramètres!E29</f>
        <v>9000</v>
      </c>
      <c r="H6" s="65">
        <f>Paramètres!F29</f>
        <v>12000</v>
      </c>
      <c r="I6" s="65">
        <f>Paramètres!G29</f>
        <v>15000</v>
      </c>
      <c r="J6" s="65"/>
    </row>
    <row r="7" spans="1:12" ht="30" customHeight="1" x14ac:dyDescent="0.25">
      <c r="A7" s="760" t="s">
        <v>44</v>
      </c>
      <c r="B7" s="760" t="s">
        <v>84</v>
      </c>
      <c r="C7" s="760" t="s">
        <v>257</v>
      </c>
      <c r="D7" s="763" t="s">
        <v>261</v>
      </c>
      <c r="E7" s="764"/>
      <c r="F7" s="764"/>
      <c r="G7" s="764"/>
      <c r="H7" s="764"/>
      <c r="I7" s="764"/>
      <c r="J7" s="765"/>
      <c r="K7" s="760" t="s">
        <v>496</v>
      </c>
    </row>
    <row r="8" spans="1:12" x14ac:dyDescent="0.25">
      <c r="A8" s="761"/>
      <c r="B8" s="762"/>
      <c r="C8" s="762"/>
      <c r="D8" s="121">
        <f>Paramètres!B33</f>
        <v>131.16197183098589</v>
      </c>
      <c r="E8" s="121">
        <f>Paramètres!C33</f>
        <v>367.25352112676052</v>
      </c>
      <c r="F8" s="121">
        <f>Paramètres!D33</f>
        <v>524.64788732394356</v>
      </c>
      <c r="G8" s="121">
        <f>Paramètres!E33</f>
        <v>629.5774647887323</v>
      </c>
      <c r="H8" s="121">
        <f>Paramètres!F33</f>
        <v>891.90140845070414</v>
      </c>
      <c r="I8" s="121">
        <f>Paramètres!G33</f>
        <v>1049.2957746478871</v>
      </c>
      <c r="J8" s="121">
        <f>Paramètres!H33</f>
        <v>1101.7605633802816</v>
      </c>
      <c r="K8" s="762"/>
    </row>
    <row r="9" spans="1:12" x14ac:dyDescent="0.25">
      <c r="A9" s="36">
        <f>Données!A6</f>
        <v>5401</v>
      </c>
      <c r="B9" s="129" t="str">
        <f>Données!B6</f>
        <v>Aigle</v>
      </c>
      <c r="C9" s="41">
        <f>Données!Z6</f>
        <v>11437</v>
      </c>
      <c r="D9" s="8">
        <f>IF($C9&gt;D$5,IF($C9&lt;D$6,$C9-D$5,D$6-D$5),0)</f>
        <v>1000</v>
      </c>
      <c r="E9" s="12">
        <f t="shared" ref="E9:I24" si="0">IF($C9&gt;E$5,IF($C9&lt;E$6,$C9-E$5,E$6-E$5),0)</f>
        <v>2000</v>
      </c>
      <c r="F9" s="8">
        <f t="shared" si="0"/>
        <v>2000</v>
      </c>
      <c r="G9" s="12">
        <f t="shared" si="0"/>
        <v>4000</v>
      </c>
      <c r="H9" s="31">
        <f t="shared" si="0"/>
        <v>2437</v>
      </c>
      <c r="I9" s="8">
        <f t="shared" si="0"/>
        <v>0</v>
      </c>
      <c r="J9" s="8">
        <f>IF(C9&gt;$J$5,C9-$J$5,0)</f>
        <v>0</v>
      </c>
      <c r="K9" s="71">
        <f>-((D9*D$8)+(E9*E$8)+(F9*F$8)+(G9*G$8)+(H9*H$8)+(I9*I$8)+(J9*J$8))</f>
        <v>-6606838.3802816886</v>
      </c>
    </row>
    <row r="10" spans="1:12" x14ac:dyDescent="0.25">
      <c r="A10" s="38">
        <f>Données!A7</f>
        <v>5402</v>
      </c>
      <c r="B10" s="129" t="str">
        <f>Données!B7</f>
        <v>Bex</v>
      </c>
      <c r="C10" s="8">
        <f>Données!Z7</f>
        <v>8508</v>
      </c>
      <c r="D10" s="8">
        <f t="shared" ref="D10:I64" si="1">IF($C10&gt;D$5,IF($C10&lt;D$6,$C10-D$5,D$6-D$5),0)</f>
        <v>1000</v>
      </c>
      <c r="E10" s="160">
        <f t="shared" si="0"/>
        <v>2000</v>
      </c>
      <c r="F10" s="8">
        <f t="shared" si="0"/>
        <v>2000</v>
      </c>
      <c r="G10" s="160">
        <f t="shared" si="0"/>
        <v>3508</v>
      </c>
      <c r="H10" s="31">
        <f t="shared" si="0"/>
        <v>0</v>
      </c>
      <c r="I10" s="8">
        <f t="shared" si="0"/>
        <v>0</v>
      </c>
      <c r="J10" s="8">
        <f t="shared" ref="J10:J73" si="2">IF(C10&gt;$J$5,C10-$J$5,0)</f>
        <v>0</v>
      </c>
      <c r="K10" s="71">
        <f t="shared" ref="K10:K73" si="3">-((D10*D$8)+(E10*E$8)+(F10*F$8)+(G10*G$8)+(H10*H$8)+(I10*I$8)+(J10*J$8))</f>
        <v>-4123522.5352112669</v>
      </c>
    </row>
    <row r="11" spans="1:12" s="156" customFormat="1" x14ac:dyDescent="0.25">
      <c r="A11" s="38">
        <f>Données!A8</f>
        <v>5403</v>
      </c>
      <c r="B11" s="129" t="str">
        <f>Données!B8</f>
        <v>Chessel</v>
      </c>
      <c r="C11" s="8">
        <f>Données!Z8</f>
        <v>519</v>
      </c>
      <c r="D11" s="8">
        <f t="shared" si="1"/>
        <v>519</v>
      </c>
      <c r="E11" s="171">
        <f t="shared" si="0"/>
        <v>0</v>
      </c>
      <c r="F11" s="8">
        <f t="shared" si="0"/>
        <v>0</v>
      </c>
      <c r="G11" s="171">
        <f t="shared" si="0"/>
        <v>0</v>
      </c>
      <c r="H11" s="31">
        <f t="shared" si="0"/>
        <v>0</v>
      </c>
      <c r="I11" s="8">
        <f t="shared" si="0"/>
        <v>0</v>
      </c>
      <c r="J11" s="8">
        <f t="shared" si="2"/>
        <v>0</v>
      </c>
      <c r="K11" s="71">
        <f t="shared" si="3"/>
        <v>-68073.063380281674</v>
      </c>
    </row>
    <row r="12" spans="1:12" s="156" customFormat="1" x14ac:dyDescent="0.25">
      <c r="A12" s="38">
        <f>Données!A9</f>
        <v>5404</v>
      </c>
      <c r="B12" s="129" t="str">
        <f>Données!B9</f>
        <v>Corbeyrier</v>
      </c>
      <c r="C12" s="8">
        <f>Données!Z9</f>
        <v>464</v>
      </c>
      <c r="D12" s="8">
        <f t="shared" si="1"/>
        <v>464</v>
      </c>
      <c r="E12" s="171">
        <f t="shared" si="0"/>
        <v>0</v>
      </c>
      <c r="F12" s="8">
        <f t="shared" si="0"/>
        <v>0</v>
      </c>
      <c r="G12" s="171">
        <f t="shared" si="0"/>
        <v>0</v>
      </c>
      <c r="H12" s="31">
        <f t="shared" si="0"/>
        <v>0</v>
      </c>
      <c r="I12" s="8">
        <f t="shared" si="0"/>
        <v>0</v>
      </c>
      <c r="J12" s="8">
        <f t="shared" si="2"/>
        <v>0</v>
      </c>
      <c r="K12" s="71">
        <f t="shared" si="3"/>
        <v>-60859.154929577453</v>
      </c>
    </row>
    <row r="13" spans="1:12" s="156" customFormat="1" x14ac:dyDescent="0.25">
      <c r="A13" s="38">
        <f>Données!A10</f>
        <v>5405</v>
      </c>
      <c r="B13" s="129" t="str">
        <f>Données!B10</f>
        <v>Gryon</v>
      </c>
      <c r="C13" s="8">
        <f>Données!Z10</f>
        <v>1520</v>
      </c>
      <c r="D13" s="8">
        <f t="shared" si="1"/>
        <v>1000</v>
      </c>
      <c r="E13" s="171">
        <f t="shared" si="0"/>
        <v>520</v>
      </c>
      <c r="F13" s="8">
        <f t="shared" si="0"/>
        <v>0</v>
      </c>
      <c r="G13" s="171">
        <f t="shared" si="0"/>
        <v>0</v>
      </c>
      <c r="H13" s="31">
        <f t="shared" si="0"/>
        <v>0</v>
      </c>
      <c r="I13" s="8">
        <f t="shared" si="0"/>
        <v>0</v>
      </c>
      <c r="J13" s="8">
        <f t="shared" si="2"/>
        <v>0</v>
      </c>
      <c r="K13" s="71">
        <f t="shared" si="3"/>
        <v>-322133.80281690136</v>
      </c>
    </row>
    <row r="14" spans="1:12" s="156" customFormat="1" x14ac:dyDescent="0.25">
      <c r="A14" s="38">
        <f>Données!A11</f>
        <v>5406</v>
      </c>
      <c r="B14" s="129" t="str">
        <f>Données!B11</f>
        <v>Lavey-Morcles</v>
      </c>
      <c r="C14" s="8">
        <f>Données!Z11</f>
        <v>1022</v>
      </c>
      <c r="D14" s="8">
        <f t="shared" si="1"/>
        <v>1000</v>
      </c>
      <c r="E14" s="171">
        <f t="shared" si="0"/>
        <v>22</v>
      </c>
      <c r="F14" s="8">
        <f t="shared" si="0"/>
        <v>0</v>
      </c>
      <c r="G14" s="171">
        <f t="shared" si="0"/>
        <v>0</v>
      </c>
      <c r="H14" s="31">
        <f t="shared" si="0"/>
        <v>0</v>
      </c>
      <c r="I14" s="8">
        <f t="shared" si="0"/>
        <v>0</v>
      </c>
      <c r="J14" s="8">
        <f t="shared" si="2"/>
        <v>0</v>
      </c>
      <c r="K14" s="71">
        <f t="shared" si="3"/>
        <v>-139241.54929577463</v>
      </c>
    </row>
    <row r="15" spans="1:12" s="156" customFormat="1" x14ac:dyDescent="0.25">
      <c r="A15" s="38">
        <f>Données!A12</f>
        <v>5407</v>
      </c>
      <c r="B15" s="129" t="str">
        <f>Données!B12</f>
        <v>Leysin</v>
      </c>
      <c r="C15" s="8">
        <f>Données!Z12</f>
        <v>3729</v>
      </c>
      <c r="D15" s="8">
        <f t="shared" si="1"/>
        <v>1000</v>
      </c>
      <c r="E15" s="171">
        <f t="shared" si="0"/>
        <v>2000</v>
      </c>
      <c r="F15" s="8">
        <f t="shared" si="0"/>
        <v>729</v>
      </c>
      <c r="G15" s="171">
        <f t="shared" si="0"/>
        <v>0</v>
      </c>
      <c r="H15" s="31">
        <f t="shared" si="0"/>
        <v>0</v>
      </c>
      <c r="I15" s="8">
        <f t="shared" si="0"/>
        <v>0</v>
      </c>
      <c r="J15" s="8">
        <f t="shared" si="2"/>
        <v>0</v>
      </c>
      <c r="K15" s="71">
        <f t="shared" si="3"/>
        <v>-1248137.3239436618</v>
      </c>
    </row>
    <row r="16" spans="1:12" s="156" customFormat="1" x14ac:dyDescent="0.25">
      <c r="A16" s="38">
        <f>Données!A13</f>
        <v>5408</v>
      </c>
      <c r="B16" s="129" t="str">
        <f>Données!B13</f>
        <v>Noville</v>
      </c>
      <c r="C16" s="8">
        <f>Données!Z13</f>
        <v>1180</v>
      </c>
      <c r="D16" s="8">
        <f t="shared" si="1"/>
        <v>1000</v>
      </c>
      <c r="E16" s="171">
        <f t="shared" si="0"/>
        <v>180</v>
      </c>
      <c r="F16" s="8">
        <f t="shared" si="0"/>
        <v>0</v>
      </c>
      <c r="G16" s="171">
        <f t="shared" si="0"/>
        <v>0</v>
      </c>
      <c r="H16" s="31">
        <f t="shared" si="0"/>
        <v>0</v>
      </c>
      <c r="I16" s="8">
        <f t="shared" si="0"/>
        <v>0</v>
      </c>
      <c r="J16" s="8">
        <f t="shared" si="2"/>
        <v>0</v>
      </c>
      <c r="K16" s="71">
        <f t="shared" si="3"/>
        <v>-197267.60563380277</v>
      </c>
    </row>
    <row r="17" spans="1:11" s="156" customFormat="1" x14ac:dyDescent="0.25">
      <c r="A17" s="38">
        <f>Données!A14</f>
        <v>5409</v>
      </c>
      <c r="B17" s="129" t="str">
        <f>Données!B14</f>
        <v>Ollon</v>
      </c>
      <c r="C17" s="8">
        <f>Données!Z14</f>
        <v>8137</v>
      </c>
      <c r="D17" s="8">
        <f t="shared" si="1"/>
        <v>1000</v>
      </c>
      <c r="E17" s="171">
        <f t="shared" si="0"/>
        <v>2000</v>
      </c>
      <c r="F17" s="8">
        <f t="shared" si="0"/>
        <v>2000</v>
      </c>
      <c r="G17" s="171">
        <f t="shared" si="0"/>
        <v>3137</v>
      </c>
      <c r="H17" s="31">
        <f t="shared" si="0"/>
        <v>0</v>
      </c>
      <c r="I17" s="8">
        <f t="shared" si="0"/>
        <v>0</v>
      </c>
      <c r="J17" s="8">
        <f t="shared" si="2"/>
        <v>0</v>
      </c>
      <c r="K17" s="71">
        <f t="shared" si="3"/>
        <v>-3889949.295774647</v>
      </c>
    </row>
    <row r="18" spans="1:11" s="156" customFormat="1" x14ac:dyDescent="0.25">
      <c r="A18" s="38">
        <f>Données!A15</f>
        <v>5410</v>
      </c>
      <c r="B18" s="129" t="str">
        <f>Données!B15</f>
        <v>Ormont-Dessous</v>
      </c>
      <c r="C18" s="8">
        <f>Données!Z15</f>
        <v>1211</v>
      </c>
      <c r="D18" s="8">
        <f t="shared" si="1"/>
        <v>1000</v>
      </c>
      <c r="E18" s="171">
        <f t="shared" si="0"/>
        <v>211</v>
      </c>
      <c r="F18" s="8">
        <f t="shared" si="0"/>
        <v>0</v>
      </c>
      <c r="G18" s="171">
        <f t="shared" si="0"/>
        <v>0</v>
      </c>
      <c r="H18" s="31">
        <f t="shared" si="0"/>
        <v>0</v>
      </c>
      <c r="I18" s="8">
        <f t="shared" si="0"/>
        <v>0</v>
      </c>
      <c r="J18" s="8">
        <f t="shared" si="2"/>
        <v>0</v>
      </c>
      <c r="K18" s="71">
        <f t="shared" si="3"/>
        <v>-208652.46478873235</v>
      </c>
    </row>
    <row r="19" spans="1:11" x14ac:dyDescent="0.25">
      <c r="A19" s="38">
        <f>Données!A16</f>
        <v>5411</v>
      </c>
      <c r="B19" s="129" t="str">
        <f>Données!B16</f>
        <v>Ormont-Dessus</v>
      </c>
      <c r="C19" s="8">
        <f>Données!Z16</f>
        <v>1427</v>
      </c>
      <c r="D19" s="8">
        <f t="shared" si="1"/>
        <v>1000</v>
      </c>
      <c r="E19" s="160">
        <f t="shared" si="0"/>
        <v>427</v>
      </c>
      <c r="F19" s="8">
        <f t="shared" si="0"/>
        <v>0</v>
      </c>
      <c r="G19" s="160">
        <f t="shared" si="0"/>
        <v>0</v>
      </c>
      <c r="H19" s="31">
        <f t="shared" si="0"/>
        <v>0</v>
      </c>
      <c r="I19" s="8">
        <f t="shared" si="0"/>
        <v>0</v>
      </c>
      <c r="J19" s="8">
        <f t="shared" si="2"/>
        <v>0</v>
      </c>
      <c r="K19" s="71">
        <f t="shared" si="3"/>
        <v>-287979.22535211267</v>
      </c>
    </row>
    <row r="20" spans="1:11" x14ac:dyDescent="0.25">
      <c r="A20" s="38">
        <f>Données!A17</f>
        <v>5412</v>
      </c>
      <c r="B20" s="129" t="str">
        <f>Données!B17</f>
        <v>Rennaz</v>
      </c>
      <c r="C20" s="8">
        <f>Données!Z17</f>
        <v>928</v>
      </c>
      <c r="D20" s="8">
        <f t="shared" si="1"/>
        <v>928</v>
      </c>
      <c r="E20" s="160">
        <f t="shared" si="0"/>
        <v>0</v>
      </c>
      <c r="F20" s="8">
        <f t="shared" si="0"/>
        <v>0</v>
      </c>
      <c r="G20" s="160">
        <f t="shared" si="0"/>
        <v>0</v>
      </c>
      <c r="H20" s="31">
        <f t="shared" si="0"/>
        <v>0</v>
      </c>
      <c r="I20" s="8">
        <f t="shared" si="0"/>
        <v>0</v>
      </c>
      <c r="J20" s="8">
        <f t="shared" si="2"/>
        <v>0</v>
      </c>
      <c r="K20" s="71">
        <f t="shared" si="3"/>
        <v>-121718.30985915491</v>
      </c>
    </row>
    <row r="21" spans="1:11" x14ac:dyDescent="0.25">
      <c r="A21" s="38">
        <f>Données!A18</f>
        <v>5413</v>
      </c>
      <c r="B21" s="129" t="str">
        <f>Données!B18</f>
        <v>Roche</v>
      </c>
      <c r="C21" s="8">
        <f>Données!Z18</f>
        <v>1958</v>
      </c>
      <c r="D21" s="8">
        <f t="shared" si="1"/>
        <v>1000</v>
      </c>
      <c r="E21" s="160">
        <f t="shared" si="0"/>
        <v>958</v>
      </c>
      <c r="F21" s="8">
        <f t="shared" si="0"/>
        <v>0</v>
      </c>
      <c r="G21" s="160">
        <f t="shared" si="0"/>
        <v>0</v>
      </c>
      <c r="H21" s="31">
        <f t="shared" si="0"/>
        <v>0</v>
      </c>
      <c r="I21" s="8">
        <f t="shared" si="0"/>
        <v>0</v>
      </c>
      <c r="J21" s="8">
        <f t="shared" si="2"/>
        <v>0</v>
      </c>
      <c r="K21" s="71">
        <f t="shared" si="3"/>
        <v>-482990.84507042251</v>
      </c>
    </row>
    <row r="22" spans="1:11" x14ac:dyDescent="0.25">
      <c r="A22" s="38">
        <f>Données!A19</f>
        <v>5414</v>
      </c>
      <c r="B22" s="129" t="str">
        <f>Données!B19</f>
        <v>Villeneuve</v>
      </c>
      <c r="C22" s="8">
        <f>Données!Z19</f>
        <v>6057</v>
      </c>
      <c r="D22" s="8">
        <f t="shared" si="1"/>
        <v>1000</v>
      </c>
      <c r="E22" s="160">
        <f t="shared" si="0"/>
        <v>2000</v>
      </c>
      <c r="F22" s="8">
        <f t="shared" si="0"/>
        <v>2000</v>
      </c>
      <c r="G22" s="160">
        <f t="shared" si="0"/>
        <v>1057</v>
      </c>
      <c r="H22" s="31">
        <f t="shared" si="0"/>
        <v>0</v>
      </c>
      <c r="I22" s="8">
        <f t="shared" si="0"/>
        <v>0</v>
      </c>
      <c r="J22" s="8">
        <f t="shared" si="2"/>
        <v>0</v>
      </c>
      <c r="K22" s="71">
        <f t="shared" si="3"/>
        <v>-2580428.1690140842</v>
      </c>
    </row>
    <row r="23" spans="1:11" x14ac:dyDescent="0.25">
      <c r="A23" s="38">
        <f>Données!A20</f>
        <v>5415</v>
      </c>
      <c r="B23" s="129" t="str">
        <f>Données!B20</f>
        <v>Yvorne</v>
      </c>
      <c r="C23" s="8">
        <f>Données!Z20</f>
        <v>1108</v>
      </c>
      <c r="D23" s="8">
        <f t="shared" si="1"/>
        <v>1000</v>
      </c>
      <c r="E23" s="160">
        <f t="shared" si="0"/>
        <v>108</v>
      </c>
      <c r="F23" s="8">
        <f t="shared" si="0"/>
        <v>0</v>
      </c>
      <c r="G23" s="160">
        <f t="shared" si="0"/>
        <v>0</v>
      </c>
      <c r="H23" s="31">
        <f t="shared" si="0"/>
        <v>0</v>
      </c>
      <c r="I23" s="8">
        <f t="shared" si="0"/>
        <v>0</v>
      </c>
      <c r="J23" s="8">
        <f t="shared" si="2"/>
        <v>0</v>
      </c>
      <c r="K23" s="71">
        <f t="shared" si="3"/>
        <v>-170825.35211267602</v>
      </c>
    </row>
    <row r="24" spans="1:11" x14ac:dyDescent="0.25">
      <c r="A24" s="38">
        <f>Données!A21</f>
        <v>5422</v>
      </c>
      <c r="B24" s="129" t="str">
        <f>Données!B21</f>
        <v>Aubonne</v>
      </c>
      <c r="C24" s="8">
        <f>Données!Z21</f>
        <v>3841</v>
      </c>
      <c r="D24" s="8">
        <f t="shared" si="1"/>
        <v>1000</v>
      </c>
      <c r="E24" s="160">
        <f t="shared" si="0"/>
        <v>2000</v>
      </c>
      <c r="F24" s="8">
        <f t="shared" si="0"/>
        <v>841</v>
      </c>
      <c r="G24" s="160">
        <f t="shared" si="0"/>
        <v>0</v>
      </c>
      <c r="H24" s="31">
        <f t="shared" si="0"/>
        <v>0</v>
      </c>
      <c r="I24" s="8">
        <f t="shared" si="0"/>
        <v>0</v>
      </c>
      <c r="J24" s="8">
        <f t="shared" si="2"/>
        <v>0</v>
      </c>
      <c r="K24" s="71">
        <f t="shared" si="3"/>
        <v>-1306897.8873239434</v>
      </c>
    </row>
    <row r="25" spans="1:11" x14ac:dyDescent="0.25">
      <c r="A25" s="38">
        <f>Données!A22</f>
        <v>5423</v>
      </c>
      <c r="B25" s="129" t="str">
        <f>Données!B22</f>
        <v>Ballens</v>
      </c>
      <c r="C25" s="8">
        <f>Données!Z22</f>
        <v>576</v>
      </c>
      <c r="D25" s="8">
        <f t="shared" si="1"/>
        <v>576</v>
      </c>
      <c r="E25" s="160">
        <f t="shared" si="1"/>
        <v>0</v>
      </c>
      <c r="F25" s="8">
        <f t="shared" si="1"/>
        <v>0</v>
      </c>
      <c r="G25" s="160">
        <f t="shared" si="1"/>
        <v>0</v>
      </c>
      <c r="H25" s="31">
        <f t="shared" si="1"/>
        <v>0</v>
      </c>
      <c r="I25" s="8">
        <f t="shared" si="1"/>
        <v>0</v>
      </c>
      <c r="J25" s="8">
        <f t="shared" si="2"/>
        <v>0</v>
      </c>
      <c r="K25" s="71">
        <f t="shared" si="3"/>
        <v>-75549.295774647879</v>
      </c>
    </row>
    <row r="26" spans="1:11" x14ac:dyDescent="0.25">
      <c r="A26" s="38">
        <f>Données!A23</f>
        <v>5424</v>
      </c>
      <c r="B26" s="129" t="str">
        <f>Données!B23</f>
        <v>Berolle</v>
      </c>
      <c r="C26" s="8">
        <f>Données!Z23</f>
        <v>304</v>
      </c>
      <c r="D26" s="8">
        <f t="shared" si="1"/>
        <v>304</v>
      </c>
      <c r="E26" s="160">
        <f t="shared" si="1"/>
        <v>0</v>
      </c>
      <c r="F26" s="8">
        <f t="shared" si="1"/>
        <v>0</v>
      </c>
      <c r="G26" s="160">
        <f t="shared" si="1"/>
        <v>0</v>
      </c>
      <c r="H26" s="31">
        <f t="shared" si="1"/>
        <v>0</v>
      </c>
      <c r="I26" s="8">
        <f t="shared" si="1"/>
        <v>0</v>
      </c>
      <c r="J26" s="8">
        <f t="shared" si="2"/>
        <v>0</v>
      </c>
      <c r="K26" s="71">
        <f t="shared" si="3"/>
        <v>-39873.239436619711</v>
      </c>
    </row>
    <row r="27" spans="1:11" x14ac:dyDescent="0.25">
      <c r="A27" s="38">
        <f>Données!A24</f>
        <v>5425</v>
      </c>
      <c r="B27" s="129" t="str">
        <f>Données!B24</f>
        <v>Bière</v>
      </c>
      <c r="C27" s="8">
        <f>Données!Z24</f>
        <v>1717</v>
      </c>
      <c r="D27" s="8">
        <f t="shared" si="1"/>
        <v>1000</v>
      </c>
      <c r="E27" s="160">
        <f t="shared" si="1"/>
        <v>717</v>
      </c>
      <c r="F27" s="8">
        <f t="shared" si="1"/>
        <v>0</v>
      </c>
      <c r="G27" s="160">
        <f t="shared" si="1"/>
        <v>0</v>
      </c>
      <c r="H27" s="31">
        <f t="shared" si="1"/>
        <v>0</v>
      </c>
      <c r="I27" s="8">
        <f t="shared" si="1"/>
        <v>0</v>
      </c>
      <c r="J27" s="8">
        <f t="shared" si="2"/>
        <v>0</v>
      </c>
      <c r="K27" s="71">
        <f t="shared" si="3"/>
        <v>-394482.74647887319</v>
      </c>
    </row>
    <row r="28" spans="1:11" x14ac:dyDescent="0.25">
      <c r="A28" s="38">
        <f>Données!A25</f>
        <v>5426</v>
      </c>
      <c r="B28" s="129" t="str">
        <f>Données!B25</f>
        <v>Bougy-Villars</v>
      </c>
      <c r="C28" s="8">
        <f>Données!Z25</f>
        <v>512</v>
      </c>
      <c r="D28" s="8">
        <f t="shared" si="1"/>
        <v>512</v>
      </c>
      <c r="E28" s="160">
        <f t="shared" si="1"/>
        <v>0</v>
      </c>
      <c r="F28" s="8">
        <f t="shared" si="1"/>
        <v>0</v>
      </c>
      <c r="G28" s="160">
        <f t="shared" si="1"/>
        <v>0</v>
      </c>
      <c r="H28" s="31">
        <f t="shared" si="1"/>
        <v>0</v>
      </c>
      <c r="I28" s="8">
        <f t="shared" si="1"/>
        <v>0</v>
      </c>
      <c r="J28" s="8">
        <f t="shared" si="2"/>
        <v>0</v>
      </c>
      <c r="K28" s="71">
        <f t="shared" si="3"/>
        <v>-67154.929577464776</v>
      </c>
    </row>
    <row r="29" spans="1:11" x14ac:dyDescent="0.25">
      <c r="A29" s="38">
        <f>Données!A26</f>
        <v>5427</v>
      </c>
      <c r="B29" s="129" t="str">
        <f>Données!B26</f>
        <v>Féchy</v>
      </c>
      <c r="C29" s="8">
        <f>Données!Z26</f>
        <v>896</v>
      </c>
      <c r="D29" s="8">
        <f t="shared" si="1"/>
        <v>896</v>
      </c>
      <c r="E29" s="160">
        <f t="shared" si="1"/>
        <v>0</v>
      </c>
      <c r="F29" s="8">
        <f t="shared" si="1"/>
        <v>0</v>
      </c>
      <c r="G29" s="160">
        <f t="shared" si="1"/>
        <v>0</v>
      </c>
      <c r="H29" s="31">
        <f t="shared" si="1"/>
        <v>0</v>
      </c>
      <c r="I29" s="8">
        <f t="shared" si="1"/>
        <v>0</v>
      </c>
      <c r="J29" s="8">
        <f t="shared" si="2"/>
        <v>0</v>
      </c>
      <c r="K29" s="71">
        <f t="shared" si="3"/>
        <v>-117521.12676056336</v>
      </c>
    </row>
    <row r="30" spans="1:11" x14ac:dyDescent="0.25">
      <c r="A30" s="38">
        <f>Données!A27</f>
        <v>5428</v>
      </c>
      <c r="B30" s="129" t="str">
        <f>Données!B27</f>
        <v>Gimel</v>
      </c>
      <c r="C30" s="8">
        <f>Données!Z27</f>
        <v>2465</v>
      </c>
      <c r="D30" s="8">
        <f t="shared" si="1"/>
        <v>1000</v>
      </c>
      <c r="E30" s="160">
        <f t="shared" si="1"/>
        <v>1465</v>
      </c>
      <c r="F30" s="8">
        <f t="shared" si="1"/>
        <v>0</v>
      </c>
      <c r="G30" s="160">
        <f t="shared" si="1"/>
        <v>0</v>
      </c>
      <c r="H30" s="31">
        <f t="shared" si="1"/>
        <v>0</v>
      </c>
      <c r="I30" s="8">
        <f t="shared" si="1"/>
        <v>0</v>
      </c>
      <c r="J30" s="8">
        <f t="shared" si="2"/>
        <v>0</v>
      </c>
      <c r="K30" s="71">
        <f t="shared" si="3"/>
        <v>-669188.38028169004</v>
      </c>
    </row>
    <row r="31" spans="1:11" x14ac:dyDescent="0.25">
      <c r="A31" s="38">
        <f>Données!A28</f>
        <v>5429</v>
      </c>
      <c r="B31" s="129" t="str">
        <f>Données!B28</f>
        <v>Longirod</v>
      </c>
      <c r="C31" s="8">
        <f>Données!Z28</f>
        <v>555</v>
      </c>
      <c r="D31" s="8">
        <f t="shared" si="1"/>
        <v>555</v>
      </c>
      <c r="E31" s="160">
        <f t="shared" si="1"/>
        <v>0</v>
      </c>
      <c r="F31" s="8">
        <f t="shared" si="1"/>
        <v>0</v>
      </c>
      <c r="G31" s="160">
        <f t="shared" si="1"/>
        <v>0</v>
      </c>
      <c r="H31" s="31">
        <f t="shared" si="1"/>
        <v>0</v>
      </c>
      <c r="I31" s="8">
        <f t="shared" si="1"/>
        <v>0</v>
      </c>
      <c r="J31" s="8">
        <f t="shared" si="2"/>
        <v>0</v>
      </c>
      <c r="K31" s="71">
        <f t="shared" si="3"/>
        <v>-72794.894366197172</v>
      </c>
    </row>
    <row r="32" spans="1:11" x14ac:dyDescent="0.25">
      <c r="A32" s="38">
        <f>Données!A29</f>
        <v>5430</v>
      </c>
      <c r="B32" s="129" t="str">
        <f>Données!B29</f>
        <v>Marchissy</v>
      </c>
      <c r="C32" s="8">
        <f>Données!Z29</f>
        <v>508</v>
      </c>
      <c r="D32" s="8">
        <f t="shared" si="1"/>
        <v>508</v>
      </c>
      <c r="E32" s="160">
        <f t="shared" si="1"/>
        <v>0</v>
      </c>
      <c r="F32" s="8">
        <f t="shared" si="1"/>
        <v>0</v>
      </c>
      <c r="G32" s="160">
        <f t="shared" si="1"/>
        <v>0</v>
      </c>
      <c r="H32" s="31">
        <f t="shared" si="1"/>
        <v>0</v>
      </c>
      <c r="I32" s="8">
        <f t="shared" si="1"/>
        <v>0</v>
      </c>
      <c r="J32" s="8">
        <f t="shared" si="2"/>
        <v>0</v>
      </c>
      <c r="K32" s="71">
        <f t="shared" si="3"/>
        <v>-66630.281690140837</v>
      </c>
    </row>
    <row r="33" spans="1:11" x14ac:dyDescent="0.25">
      <c r="A33" s="38">
        <f>Données!A30</f>
        <v>5431</v>
      </c>
      <c r="B33" s="129" t="str">
        <f>Données!B30</f>
        <v>Mollens</v>
      </c>
      <c r="C33" s="8">
        <f>Données!Z30</f>
        <v>322</v>
      </c>
      <c r="D33" s="8">
        <f t="shared" si="1"/>
        <v>322</v>
      </c>
      <c r="E33" s="160">
        <f t="shared" si="1"/>
        <v>0</v>
      </c>
      <c r="F33" s="8">
        <f t="shared" si="1"/>
        <v>0</v>
      </c>
      <c r="G33" s="160">
        <f t="shared" si="1"/>
        <v>0</v>
      </c>
      <c r="H33" s="31">
        <f t="shared" si="1"/>
        <v>0</v>
      </c>
      <c r="I33" s="8">
        <f t="shared" si="1"/>
        <v>0</v>
      </c>
      <c r="J33" s="8">
        <f t="shared" si="2"/>
        <v>0</v>
      </c>
      <c r="K33" s="71">
        <f t="shared" si="3"/>
        <v>-42234.15492957746</v>
      </c>
    </row>
    <row r="34" spans="1:11" x14ac:dyDescent="0.25">
      <c r="A34" s="38">
        <f>Données!A31</f>
        <v>5434</v>
      </c>
      <c r="B34" s="129" t="str">
        <f>Données!B31</f>
        <v>Saint-George</v>
      </c>
      <c r="C34" s="8">
        <f>Données!Z31</f>
        <v>1061</v>
      </c>
      <c r="D34" s="8">
        <f t="shared" si="1"/>
        <v>1000</v>
      </c>
      <c r="E34" s="160">
        <f t="shared" si="1"/>
        <v>61</v>
      </c>
      <c r="F34" s="8">
        <f t="shared" si="1"/>
        <v>0</v>
      </c>
      <c r="G34" s="160">
        <f t="shared" si="1"/>
        <v>0</v>
      </c>
      <c r="H34" s="31">
        <f t="shared" si="1"/>
        <v>0</v>
      </c>
      <c r="I34" s="8">
        <f t="shared" si="1"/>
        <v>0</v>
      </c>
      <c r="J34" s="8">
        <f t="shared" si="2"/>
        <v>0</v>
      </c>
      <c r="K34" s="71">
        <f t="shared" si="3"/>
        <v>-153564.43661971827</v>
      </c>
    </row>
    <row r="35" spans="1:11" x14ac:dyDescent="0.25">
      <c r="A35" s="38">
        <f>Données!A32</f>
        <v>5435</v>
      </c>
      <c r="B35" s="129" t="str">
        <f>Données!B32</f>
        <v>Saint-Livres</v>
      </c>
      <c r="C35" s="8">
        <f>Données!Z32</f>
        <v>697</v>
      </c>
      <c r="D35" s="8">
        <f t="shared" si="1"/>
        <v>697</v>
      </c>
      <c r="E35" s="160">
        <f t="shared" si="1"/>
        <v>0</v>
      </c>
      <c r="F35" s="8">
        <f t="shared" si="1"/>
        <v>0</v>
      </c>
      <c r="G35" s="160">
        <f t="shared" si="1"/>
        <v>0</v>
      </c>
      <c r="H35" s="31">
        <f t="shared" si="1"/>
        <v>0</v>
      </c>
      <c r="I35" s="8">
        <f t="shared" si="1"/>
        <v>0</v>
      </c>
      <c r="J35" s="8">
        <f t="shared" si="2"/>
        <v>0</v>
      </c>
      <c r="K35" s="71">
        <f t="shared" si="3"/>
        <v>-91419.894366197172</v>
      </c>
    </row>
    <row r="36" spans="1:11" x14ac:dyDescent="0.25">
      <c r="A36" s="38">
        <f>Données!A33</f>
        <v>5436</v>
      </c>
      <c r="B36" s="129" t="str">
        <f>Données!B33</f>
        <v>Saint-Oyens</v>
      </c>
      <c r="C36" s="8">
        <f>Données!Z33</f>
        <v>450</v>
      </c>
      <c r="D36" s="8">
        <f t="shared" si="1"/>
        <v>450</v>
      </c>
      <c r="E36" s="160">
        <f t="shared" si="1"/>
        <v>0</v>
      </c>
      <c r="F36" s="8">
        <f t="shared" si="1"/>
        <v>0</v>
      </c>
      <c r="G36" s="160">
        <f t="shared" si="1"/>
        <v>0</v>
      </c>
      <c r="H36" s="31">
        <f t="shared" si="1"/>
        <v>0</v>
      </c>
      <c r="I36" s="8">
        <f t="shared" si="1"/>
        <v>0</v>
      </c>
      <c r="J36" s="8">
        <f t="shared" si="2"/>
        <v>0</v>
      </c>
      <c r="K36" s="71">
        <f t="shared" si="3"/>
        <v>-59022.887323943651</v>
      </c>
    </row>
    <row r="37" spans="1:11" x14ac:dyDescent="0.25">
      <c r="A37" s="38">
        <f>Données!A34</f>
        <v>5437</v>
      </c>
      <c r="B37" s="129" t="str">
        <f>Données!B34</f>
        <v>Saubraz</v>
      </c>
      <c r="C37" s="8">
        <f>Données!Z34</f>
        <v>449</v>
      </c>
      <c r="D37" s="8">
        <f t="shared" si="1"/>
        <v>449</v>
      </c>
      <c r="E37" s="160">
        <f t="shared" si="1"/>
        <v>0</v>
      </c>
      <c r="F37" s="8">
        <f t="shared" si="1"/>
        <v>0</v>
      </c>
      <c r="G37" s="160">
        <f t="shared" si="1"/>
        <v>0</v>
      </c>
      <c r="H37" s="31">
        <f t="shared" si="1"/>
        <v>0</v>
      </c>
      <c r="I37" s="8">
        <f t="shared" si="1"/>
        <v>0</v>
      </c>
      <c r="J37" s="8">
        <f t="shared" si="2"/>
        <v>0</v>
      </c>
      <c r="K37" s="71">
        <f t="shared" si="3"/>
        <v>-58891.725352112662</v>
      </c>
    </row>
    <row r="38" spans="1:11" x14ac:dyDescent="0.25">
      <c r="A38" s="38">
        <f>Données!A35</f>
        <v>5451</v>
      </c>
      <c r="B38" s="129" t="str">
        <f>Données!B35</f>
        <v>Avenches</v>
      </c>
      <c r="C38" s="8">
        <f>Données!Z35</f>
        <v>4873</v>
      </c>
      <c r="D38" s="8">
        <f t="shared" si="1"/>
        <v>1000</v>
      </c>
      <c r="E38" s="160">
        <f t="shared" si="1"/>
        <v>2000</v>
      </c>
      <c r="F38" s="8">
        <f t="shared" si="1"/>
        <v>1873</v>
      </c>
      <c r="G38" s="160">
        <f t="shared" si="1"/>
        <v>0</v>
      </c>
      <c r="H38" s="31">
        <f t="shared" si="1"/>
        <v>0</v>
      </c>
      <c r="I38" s="8">
        <f t="shared" si="1"/>
        <v>0</v>
      </c>
      <c r="J38" s="8">
        <f t="shared" si="2"/>
        <v>0</v>
      </c>
      <c r="K38" s="71">
        <f t="shared" si="3"/>
        <v>-1848334.5070422532</v>
      </c>
    </row>
    <row r="39" spans="1:11" x14ac:dyDescent="0.25">
      <c r="A39" s="38">
        <f>Données!A36</f>
        <v>5456</v>
      </c>
      <c r="B39" s="129" t="str">
        <f>Données!B36</f>
        <v>Cudrefin</v>
      </c>
      <c r="C39" s="8">
        <f>Données!Z36</f>
        <v>1878</v>
      </c>
      <c r="D39" s="8">
        <f t="shared" si="1"/>
        <v>1000</v>
      </c>
      <c r="E39" s="160">
        <f t="shared" si="1"/>
        <v>878</v>
      </c>
      <c r="F39" s="8">
        <f t="shared" si="1"/>
        <v>0</v>
      </c>
      <c r="G39" s="160">
        <f t="shared" si="1"/>
        <v>0</v>
      </c>
      <c r="H39" s="31">
        <f t="shared" si="1"/>
        <v>0</v>
      </c>
      <c r="I39" s="8">
        <f t="shared" si="1"/>
        <v>0</v>
      </c>
      <c r="J39" s="8">
        <f t="shared" si="2"/>
        <v>0</v>
      </c>
      <c r="K39" s="71">
        <f t="shared" si="3"/>
        <v>-453610.56338028167</v>
      </c>
    </row>
    <row r="40" spans="1:11" x14ac:dyDescent="0.25">
      <c r="A40" s="38">
        <f>Données!A37</f>
        <v>5458</v>
      </c>
      <c r="B40" s="129" t="str">
        <f>Données!B37</f>
        <v>Faoug</v>
      </c>
      <c r="C40" s="8">
        <f>Données!Z37</f>
        <v>906</v>
      </c>
      <c r="D40" s="8">
        <f t="shared" si="1"/>
        <v>906</v>
      </c>
      <c r="E40" s="160">
        <f t="shared" si="1"/>
        <v>0</v>
      </c>
      <c r="F40" s="8">
        <f t="shared" si="1"/>
        <v>0</v>
      </c>
      <c r="G40" s="160">
        <f t="shared" si="1"/>
        <v>0</v>
      </c>
      <c r="H40" s="31">
        <f t="shared" si="1"/>
        <v>0</v>
      </c>
      <c r="I40" s="8">
        <f t="shared" si="1"/>
        <v>0</v>
      </c>
      <c r="J40" s="8">
        <f t="shared" si="2"/>
        <v>0</v>
      </c>
      <c r="K40" s="71">
        <f t="shared" si="3"/>
        <v>-118832.74647887322</v>
      </c>
    </row>
    <row r="41" spans="1:11" x14ac:dyDescent="0.25">
      <c r="A41" s="38">
        <f>Données!A38</f>
        <v>5464</v>
      </c>
      <c r="B41" s="129" t="str">
        <f>Données!B38</f>
        <v>Vully-les-Lacs</v>
      </c>
      <c r="C41" s="8">
        <f>Données!Z38</f>
        <v>3614</v>
      </c>
      <c r="D41" s="8">
        <f t="shared" si="1"/>
        <v>1000</v>
      </c>
      <c r="E41" s="160">
        <f t="shared" si="1"/>
        <v>2000</v>
      </c>
      <c r="F41" s="8">
        <f t="shared" si="1"/>
        <v>614</v>
      </c>
      <c r="G41" s="160">
        <f t="shared" si="1"/>
        <v>0</v>
      </c>
      <c r="H41" s="31">
        <f t="shared" si="1"/>
        <v>0</v>
      </c>
      <c r="I41" s="8">
        <f t="shared" si="1"/>
        <v>0</v>
      </c>
      <c r="J41" s="8">
        <f t="shared" si="2"/>
        <v>0</v>
      </c>
      <c r="K41" s="71">
        <f t="shared" si="3"/>
        <v>-1187802.8169014081</v>
      </c>
    </row>
    <row r="42" spans="1:11" x14ac:dyDescent="0.25">
      <c r="A42" s="38">
        <f>Données!A39</f>
        <v>5471</v>
      </c>
      <c r="B42" s="129" t="str">
        <f>Données!B39</f>
        <v>Bettens</v>
      </c>
      <c r="C42" s="8">
        <f>Données!Z39</f>
        <v>644</v>
      </c>
      <c r="D42" s="8">
        <f t="shared" si="1"/>
        <v>644</v>
      </c>
      <c r="E42" s="160">
        <f t="shared" si="1"/>
        <v>0</v>
      </c>
      <c r="F42" s="8">
        <f t="shared" si="1"/>
        <v>0</v>
      </c>
      <c r="G42" s="160">
        <f t="shared" si="1"/>
        <v>0</v>
      </c>
      <c r="H42" s="31">
        <f t="shared" si="1"/>
        <v>0</v>
      </c>
      <c r="I42" s="8">
        <f t="shared" si="1"/>
        <v>0</v>
      </c>
      <c r="J42" s="8">
        <f t="shared" si="2"/>
        <v>0</v>
      </c>
      <c r="K42" s="71">
        <f t="shared" si="3"/>
        <v>-84468.309859154921</v>
      </c>
    </row>
    <row r="43" spans="1:11" x14ac:dyDescent="0.25">
      <c r="A43" s="38">
        <f>Données!A40</f>
        <v>5472</v>
      </c>
      <c r="B43" s="129" t="str">
        <f>Données!B40</f>
        <v>Bournens</v>
      </c>
      <c r="C43" s="8">
        <f>Données!Z40</f>
        <v>519</v>
      </c>
      <c r="D43" s="8">
        <f t="shared" si="1"/>
        <v>519</v>
      </c>
      <c r="E43" s="160">
        <f t="shared" si="1"/>
        <v>0</v>
      </c>
      <c r="F43" s="8">
        <f t="shared" si="1"/>
        <v>0</v>
      </c>
      <c r="G43" s="160">
        <f t="shared" si="1"/>
        <v>0</v>
      </c>
      <c r="H43" s="31">
        <f t="shared" si="1"/>
        <v>0</v>
      </c>
      <c r="I43" s="8">
        <f t="shared" si="1"/>
        <v>0</v>
      </c>
      <c r="J43" s="8">
        <f t="shared" si="2"/>
        <v>0</v>
      </c>
      <c r="K43" s="71">
        <f t="shared" si="3"/>
        <v>-68073.063380281674</v>
      </c>
    </row>
    <row r="44" spans="1:11" x14ac:dyDescent="0.25">
      <c r="A44" s="38">
        <f>Données!A41</f>
        <v>5473</v>
      </c>
      <c r="B44" s="129" t="str">
        <f>Données!B41</f>
        <v>Boussens</v>
      </c>
      <c r="C44" s="8">
        <f>Données!Z41</f>
        <v>1023</v>
      </c>
      <c r="D44" s="8">
        <f t="shared" si="1"/>
        <v>1000</v>
      </c>
      <c r="E44" s="160">
        <f t="shared" si="1"/>
        <v>23</v>
      </c>
      <c r="F44" s="8">
        <f t="shared" si="1"/>
        <v>0</v>
      </c>
      <c r="G44" s="160">
        <f t="shared" si="1"/>
        <v>0</v>
      </c>
      <c r="H44" s="31">
        <f t="shared" si="1"/>
        <v>0</v>
      </c>
      <c r="I44" s="8">
        <f t="shared" si="1"/>
        <v>0</v>
      </c>
      <c r="J44" s="8">
        <f t="shared" si="2"/>
        <v>0</v>
      </c>
      <c r="K44" s="71">
        <f t="shared" si="3"/>
        <v>-139608.80281690139</v>
      </c>
    </row>
    <row r="45" spans="1:11" x14ac:dyDescent="0.25">
      <c r="A45" s="38">
        <f>Données!A42</f>
        <v>5474</v>
      </c>
      <c r="B45" s="129" t="str">
        <f>Données!B42</f>
        <v>La Chaux (Cossonay)</v>
      </c>
      <c r="C45" s="8">
        <f>Données!Z42</f>
        <v>433</v>
      </c>
      <c r="D45" s="8">
        <f t="shared" si="1"/>
        <v>433</v>
      </c>
      <c r="E45" s="160">
        <f t="shared" si="1"/>
        <v>0</v>
      </c>
      <c r="F45" s="8">
        <f t="shared" si="1"/>
        <v>0</v>
      </c>
      <c r="G45" s="160">
        <f t="shared" si="1"/>
        <v>0</v>
      </c>
      <c r="H45" s="31">
        <f t="shared" si="1"/>
        <v>0</v>
      </c>
      <c r="I45" s="8">
        <f t="shared" si="1"/>
        <v>0</v>
      </c>
      <c r="J45" s="8">
        <f t="shared" si="2"/>
        <v>0</v>
      </c>
      <c r="K45" s="71">
        <f t="shared" si="3"/>
        <v>-56793.13380281689</v>
      </c>
    </row>
    <row r="46" spans="1:11" x14ac:dyDescent="0.25">
      <c r="A46" s="38">
        <f>Données!A43</f>
        <v>5475</v>
      </c>
      <c r="B46" s="129" t="str">
        <f>Données!B43</f>
        <v>Chavannes-le-Veyron</v>
      </c>
      <c r="C46" s="8">
        <f>Données!Z43</f>
        <v>158</v>
      </c>
      <c r="D46" s="8">
        <f t="shared" si="1"/>
        <v>158</v>
      </c>
      <c r="E46" s="160">
        <f t="shared" si="1"/>
        <v>0</v>
      </c>
      <c r="F46" s="8">
        <f t="shared" si="1"/>
        <v>0</v>
      </c>
      <c r="G46" s="160">
        <f t="shared" si="1"/>
        <v>0</v>
      </c>
      <c r="H46" s="31">
        <f t="shared" si="1"/>
        <v>0</v>
      </c>
      <c r="I46" s="8">
        <f t="shared" si="1"/>
        <v>0</v>
      </c>
      <c r="J46" s="8">
        <f t="shared" si="2"/>
        <v>0</v>
      </c>
      <c r="K46" s="71">
        <f t="shared" si="3"/>
        <v>-20723.591549295772</v>
      </c>
    </row>
    <row r="47" spans="1:11" x14ac:dyDescent="0.25">
      <c r="A47" s="38">
        <f>Données!A44</f>
        <v>5476</v>
      </c>
      <c r="B47" s="129" t="str">
        <f>Données!B44</f>
        <v>Chevilly</v>
      </c>
      <c r="C47" s="8">
        <f>Données!Z44</f>
        <v>337</v>
      </c>
      <c r="D47" s="8">
        <f t="shared" si="1"/>
        <v>337</v>
      </c>
      <c r="E47" s="160">
        <f t="shared" si="1"/>
        <v>0</v>
      </c>
      <c r="F47" s="8">
        <f t="shared" si="1"/>
        <v>0</v>
      </c>
      <c r="G47" s="160">
        <f t="shared" si="1"/>
        <v>0</v>
      </c>
      <c r="H47" s="31">
        <f t="shared" si="1"/>
        <v>0</v>
      </c>
      <c r="I47" s="8">
        <f t="shared" si="1"/>
        <v>0</v>
      </c>
      <c r="J47" s="8">
        <f t="shared" si="2"/>
        <v>0</v>
      </c>
      <c r="K47" s="71">
        <f t="shared" si="3"/>
        <v>-44201.584507042244</v>
      </c>
    </row>
    <row r="48" spans="1:11" x14ac:dyDescent="0.25">
      <c r="A48" s="38">
        <f>Données!A45</f>
        <v>5477</v>
      </c>
      <c r="B48" s="129" t="str">
        <f>Données!B45</f>
        <v>Cossonay</v>
      </c>
      <c r="C48" s="8">
        <f>Données!Z45</f>
        <v>4772</v>
      </c>
      <c r="D48" s="8">
        <f t="shared" si="1"/>
        <v>1000</v>
      </c>
      <c r="E48" s="160">
        <f t="shared" si="1"/>
        <v>2000</v>
      </c>
      <c r="F48" s="8">
        <f t="shared" si="1"/>
        <v>1772</v>
      </c>
      <c r="G48" s="160">
        <f t="shared" si="1"/>
        <v>0</v>
      </c>
      <c r="H48" s="31">
        <f t="shared" si="1"/>
        <v>0</v>
      </c>
      <c r="I48" s="8">
        <f t="shared" si="1"/>
        <v>0</v>
      </c>
      <c r="J48" s="8">
        <f t="shared" si="2"/>
        <v>0</v>
      </c>
      <c r="K48" s="71">
        <f t="shared" si="3"/>
        <v>-1795345.0704225348</v>
      </c>
    </row>
    <row r="49" spans="1:11" x14ac:dyDescent="0.25">
      <c r="A49" s="38">
        <f>Données!A46</f>
        <v>5479</v>
      </c>
      <c r="B49" s="129" t="str">
        <f>Données!B46</f>
        <v>Cuarnens</v>
      </c>
      <c r="C49" s="8">
        <f>Données!Z46</f>
        <v>541</v>
      </c>
      <c r="D49" s="8">
        <f t="shared" si="1"/>
        <v>541</v>
      </c>
      <c r="E49" s="160">
        <f t="shared" si="1"/>
        <v>0</v>
      </c>
      <c r="F49" s="8">
        <f t="shared" si="1"/>
        <v>0</v>
      </c>
      <c r="G49" s="160">
        <f t="shared" si="1"/>
        <v>0</v>
      </c>
      <c r="H49" s="31">
        <f t="shared" si="1"/>
        <v>0</v>
      </c>
      <c r="I49" s="8">
        <f t="shared" si="1"/>
        <v>0</v>
      </c>
      <c r="J49" s="8">
        <f t="shared" si="2"/>
        <v>0</v>
      </c>
      <c r="K49" s="71">
        <f t="shared" si="3"/>
        <v>-70958.626760563362</v>
      </c>
    </row>
    <row r="50" spans="1:11" x14ac:dyDescent="0.25">
      <c r="A50" s="38">
        <f>Données!A47</f>
        <v>5480</v>
      </c>
      <c r="B50" s="129" t="str">
        <f>Données!B47</f>
        <v>Daillens</v>
      </c>
      <c r="C50" s="8">
        <f>Données!Z47</f>
        <v>1062</v>
      </c>
      <c r="D50" s="8">
        <f t="shared" si="1"/>
        <v>1000</v>
      </c>
      <c r="E50" s="160">
        <f t="shared" si="1"/>
        <v>62</v>
      </c>
      <c r="F50" s="8">
        <f t="shared" si="1"/>
        <v>0</v>
      </c>
      <c r="G50" s="160">
        <f t="shared" si="1"/>
        <v>0</v>
      </c>
      <c r="H50" s="31">
        <f t="shared" si="1"/>
        <v>0</v>
      </c>
      <c r="I50" s="8">
        <f t="shared" si="1"/>
        <v>0</v>
      </c>
      <c r="J50" s="8">
        <f t="shared" si="2"/>
        <v>0</v>
      </c>
      <c r="K50" s="71">
        <f t="shared" si="3"/>
        <v>-153931.69014084505</v>
      </c>
    </row>
    <row r="51" spans="1:11" x14ac:dyDescent="0.25">
      <c r="A51" s="38">
        <f>Données!A48</f>
        <v>5481</v>
      </c>
      <c r="B51" s="129" t="str">
        <f>Données!B48</f>
        <v>Dizy</v>
      </c>
      <c r="C51" s="8">
        <f>Données!Z48</f>
        <v>237</v>
      </c>
      <c r="D51" s="8">
        <f t="shared" si="1"/>
        <v>237</v>
      </c>
      <c r="E51" s="160">
        <f t="shared" si="1"/>
        <v>0</v>
      </c>
      <c r="F51" s="8">
        <f t="shared" si="1"/>
        <v>0</v>
      </c>
      <c r="G51" s="160">
        <f t="shared" si="1"/>
        <v>0</v>
      </c>
      <c r="H51" s="31">
        <f t="shared" si="1"/>
        <v>0</v>
      </c>
      <c r="I51" s="8">
        <f t="shared" si="1"/>
        <v>0</v>
      </c>
      <c r="J51" s="8">
        <f t="shared" si="2"/>
        <v>0</v>
      </c>
      <c r="K51" s="71">
        <f t="shared" si="3"/>
        <v>-31085.387323943658</v>
      </c>
    </row>
    <row r="52" spans="1:11" x14ac:dyDescent="0.25">
      <c r="A52" s="38">
        <f>Données!A49</f>
        <v>5482</v>
      </c>
      <c r="B52" s="129" t="str">
        <f>Données!B49</f>
        <v>Eclépens</v>
      </c>
      <c r="C52" s="8">
        <f>Données!Z49</f>
        <v>1182</v>
      </c>
      <c r="D52" s="8">
        <f t="shared" si="1"/>
        <v>1000</v>
      </c>
      <c r="E52" s="160">
        <f t="shared" si="1"/>
        <v>182</v>
      </c>
      <c r="F52" s="8">
        <f t="shared" si="1"/>
        <v>0</v>
      </c>
      <c r="G52" s="160">
        <f t="shared" si="1"/>
        <v>0</v>
      </c>
      <c r="H52" s="31">
        <f t="shared" si="1"/>
        <v>0</v>
      </c>
      <c r="I52" s="8">
        <f t="shared" si="1"/>
        <v>0</v>
      </c>
      <c r="J52" s="8">
        <f t="shared" si="2"/>
        <v>0</v>
      </c>
      <c r="K52" s="71">
        <f t="shared" si="3"/>
        <v>-198002.11267605631</v>
      </c>
    </row>
    <row r="53" spans="1:11" x14ac:dyDescent="0.25">
      <c r="A53" s="38">
        <f>Données!A50</f>
        <v>5483</v>
      </c>
      <c r="B53" s="129" t="str">
        <f>Données!B50</f>
        <v>Ferreyres</v>
      </c>
      <c r="C53" s="8">
        <f>Données!Z50</f>
        <v>319</v>
      </c>
      <c r="D53" s="8">
        <f t="shared" si="1"/>
        <v>319</v>
      </c>
      <c r="E53" s="160">
        <f t="shared" si="1"/>
        <v>0</v>
      </c>
      <c r="F53" s="8">
        <f t="shared" si="1"/>
        <v>0</v>
      </c>
      <c r="G53" s="160">
        <f t="shared" si="1"/>
        <v>0</v>
      </c>
      <c r="H53" s="31">
        <f t="shared" si="1"/>
        <v>0</v>
      </c>
      <c r="I53" s="8">
        <f t="shared" si="1"/>
        <v>0</v>
      </c>
      <c r="J53" s="8">
        <f t="shared" si="2"/>
        <v>0</v>
      </c>
      <c r="K53" s="71">
        <f t="shared" si="3"/>
        <v>-41840.669014084502</v>
      </c>
    </row>
    <row r="54" spans="1:11" x14ac:dyDescent="0.25">
      <c r="A54" s="38">
        <f>Données!A51</f>
        <v>5484</v>
      </c>
      <c r="B54" s="129" t="str">
        <f>Données!B51</f>
        <v>Gollion</v>
      </c>
      <c r="C54" s="8">
        <f>Données!Z51</f>
        <v>1064</v>
      </c>
      <c r="D54" s="8">
        <f t="shared" si="1"/>
        <v>1000</v>
      </c>
      <c r="E54" s="160">
        <f t="shared" si="1"/>
        <v>64</v>
      </c>
      <c r="F54" s="8">
        <f t="shared" si="1"/>
        <v>0</v>
      </c>
      <c r="G54" s="160">
        <f t="shared" si="1"/>
        <v>0</v>
      </c>
      <c r="H54" s="31">
        <f t="shared" si="1"/>
        <v>0</v>
      </c>
      <c r="I54" s="8">
        <f t="shared" si="1"/>
        <v>0</v>
      </c>
      <c r="J54" s="8">
        <f t="shared" si="2"/>
        <v>0</v>
      </c>
      <c r="K54" s="71">
        <f t="shared" si="3"/>
        <v>-154666.19718309856</v>
      </c>
    </row>
    <row r="55" spans="1:11" x14ac:dyDescent="0.25">
      <c r="A55" s="38">
        <f>Données!A52</f>
        <v>5485</v>
      </c>
      <c r="B55" s="129" t="str">
        <f>Données!B52</f>
        <v>Grancy</v>
      </c>
      <c r="C55" s="8">
        <f>Données!Z52</f>
        <v>547</v>
      </c>
      <c r="D55" s="8">
        <f t="shared" si="1"/>
        <v>547</v>
      </c>
      <c r="E55" s="160">
        <f t="shared" si="1"/>
        <v>0</v>
      </c>
      <c r="F55" s="8">
        <f t="shared" si="1"/>
        <v>0</v>
      </c>
      <c r="G55" s="160">
        <f t="shared" si="1"/>
        <v>0</v>
      </c>
      <c r="H55" s="31">
        <f t="shared" si="1"/>
        <v>0</v>
      </c>
      <c r="I55" s="8">
        <f t="shared" si="1"/>
        <v>0</v>
      </c>
      <c r="J55" s="8">
        <f t="shared" si="2"/>
        <v>0</v>
      </c>
      <c r="K55" s="71">
        <f t="shared" si="3"/>
        <v>-71745.598591549278</v>
      </c>
    </row>
    <row r="56" spans="1:11" x14ac:dyDescent="0.25">
      <c r="A56" s="38">
        <f>Données!A53</f>
        <v>5486</v>
      </c>
      <c r="B56" s="129" t="str">
        <f>Données!B53</f>
        <v>L'Isle</v>
      </c>
      <c r="C56" s="8">
        <f>Données!Z53</f>
        <v>1088</v>
      </c>
      <c r="D56" s="8">
        <f t="shared" si="1"/>
        <v>1000</v>
      </c>
      <c r="E56" s="160">
        <f t="shared" si="1"/>
        <v>88</v>
      </c>
      <c r="F56" s="8">
        <f t="shared" si="1"/>
        <v>0</v>
      </c>
      <c r="G56" s="160">
        <f t="shared" si="1"/>
        <v>0</v>
      </c>
      <c r="H56" s="31">
        <f t="shared" si="1"/>
        <v>0</v>
      </c>
      <c r="I56" s="8">
        <f t="shared" si="1"/>
        <v>0</v>
      </c>
      <c r="J56" s="8">
        <f t="shared" si="2"/>
        <v>0</v>
      </c>
      <c r="K56" s="71">
        <f t="shared" si="3"/>
        <v>-163480.28169014081</v>
      </c>
    </row>
    <row r="57" spans="1:11" x14ac:dyDescent="0.25">
      <c r="A57" s="38">
        <f>Données!A54</f>
        <v>5487</v>
      </c>
      <c r="B57" s="129" t="str">
        <f>Données!B54</f>
        <v>Lussery-Villars</v>
      </c>
      <c r="C57" s="8">
        <f>Données!Z54</f>
        <v>473</v>
      </c>
      <c r="D57" s="8">
        <f t="shared" si="1"/>
        <v>473</v>
      </c>
      <c r="E57" s="160">
        <f t="shared" si="1"/>
        <v>0</v>
      </c>
      <c r="F57" s="8">
        <f t="shared" si="1"/>
        <v>0</v>
      </c>
      <c r="G57" s="160">
        <f t="shared" si="1"/>
        <v>0</v>
      </c>
      <c r="H57" s="31">
        <f t="shared" si="1"/>
        <v>0</v>
      </c>
      <c r="I57" s="8">
        <f t="shared" si="1"/>
        <v>0</v>
      </c>
      <c r="J57" s="8">
        <f t="shared" si="2"/>
        <v>0</v>
      </c>
      <c r="K57" s="71">
        <f t="shared" si="3"/>
        <v>-62039.612676056327</v>
      </c>
    </row>
    <row r="58" spans="1:11" x14ac:dyDescent="0.25">
      <c r="A58" s="38">
        <f>Données!A55</f>
        <v>5488</v>
      </c>
      <c r="B58" s="129" t="str">
        <f>Données!B55</f>
        <v>Mauraz</v>
      </c>
      <c r="C58" s="8">
        <f>Données!Z55</f>
        <v>64</v>
      </c>
      <c r="D58" s="8">
        <f t="shared" si="1"/>
        <v>64</v>
      </c>
      <c r="E58" s="160">
        <f t="shared" si="1"/>
        <v>0</v>
      </c>
      <c r="F58" s="8">
        <f t="shared" si="1"/>
        <v>0</v>
      </c>
      <c r="G58" s="160">
        <f t="shared" si="1"/>
        <v>0</v>
      </c>
      <c r="H58" s="31">
        <f t="shared" si="1"/>
        <v>0</v>
      </c>
      <c r="I58" s="8">
        <f t="shared" si="1"/>
        <v>0</v>
      </c>
      <c r="J58" s="8">
        <f t="shared" si="2"/>
        <v>0</v>
      </c>
      <c r="K58" s="71">
        <f t="shared" si="3"/>
        <v>-8394.366197183097</v>
      </c>
    </row>
    <row r="59" spans="1:11" x14ac:dyDescent="0.25">
      <c r="A59" s="38">
        <f>Données!A56</f>
        <v>5489</v>
      </c>
      <c r="B59" s="129" t="str">
        <f>Données!B56</f>
        <v>Mex</v>
      </c>
      <c r="C59" s="8">
        <f>Données!Z56</f>
        <v>816</v>
      </c>
      <c r="D59" s="8">
        <f t="shared" si="1"/>
        <v>816</v>
      </c>
      <c r="E59" s="160">
        <f t="shared" si="1"/>
        <v>0</v>
      </c>
      <c r="F59" s="8">
        <f t="shared" si="1"/>
        <v>0</v>
      </c>
      <c r="G59" s="160">
        <f t="shared" si="1"/>
        <v>0</v>
      </c>
      <c r="H59" s="31">
        <f t="shared" si="1"/>
        <v>0</v>
      </c>
      <c r="I59" s="8">
        <f t="shared" si="1"/>
        <v>0</v>
      </c>
      <c r="J59" s="8">
        <f t="shared" si="2"/>
        <v>0</v>
      </c>
      <c r="K59" s="71">
        <f t="shared" si="3"/>
        <v>-107028.16901408449</v>
      </c>
    </row>
    <row r="60" spans="1:11" x14ac:dyDescent="0.25">
      <c r="A60" s="38">
        <f>Données!A57</f>
        <v>5490</v>
      </c>
      <c r="B60" s="129" t="str">
        <f>Données!B57</f>
        <v>Moiry</v>
      </c>
      <c r="C60" s="8">
        <f>Données!Z57</f>
        <v>297</v>
      </c>
      <c r="D60" s="8">
        <f t="shared" si="1"/>
        <v>297</v>
      </c>
      <c r="E60" s="160">
        <f t="shared" si="1"/>
        <v>0</v>
      </c>
      <c r="F60" s="8">
        <f t="shared" si="1"/>
        <v>0</v>
      </c>
      <c r="G60" s="160">
        <f t="shared" si="1"/>
        <v>0</v>
      </c>
      <c r="H60" s="31">
        <f t="shared" si="1"/>
        <v>0</v>
      </c>
      <c r="I60" s="8">
        <f t="shared" si="1"/>
        <v>0</v>
      </c>
      <c r="J60" s="8">
        <f t="shared" si="2"/>
        <v>0</v>
      </c>
      <c r="K60" s="71">
        <f t="shared" si="3"/>
        <v>-38955.105633802807</v>
      </c>
    </row>
    <row r="61" spans="1:11" x14ac:dyDescent="0.25">
      <c r="A61" s="38">
        <f>Données!A58</f>
        <v>5491</v>
      </c>
      <c r="B61" s="129" t="str">
        <f>Données!B58</f>
        <v>Mont-la-Ville</v>
      </c>
      <c r="C61" s="8">
        <f>Données!Z58</f>
        <v>497</v>
      </c>
      <c r="D61" s="8">
        <f t="shared" si="1"/>
        <v>497</v>
      </c>
      <c r="E61" s="160">
        <f t="shared" si="1"/>
        <v>0</v>
      </c>
      <c r="F61" s="8">
        <f t="shared" si="1"/>
        <v>0</v>
      </c>
      <c r="G61" s="160">
        <f t="shared" si="1"/>
        <v>0</v>
      </c>
      <c r="H61" s="31">
        <f t="shared" si="1"/>
        <v>0</v>
      </c>
      <c r="I61" s="8">
        <f t="shared" si="1"/>
        <v>0</v>
      </c>
      <c r="J61" s="8">
        <f t="shared" si="2"/>
        <v>0</v>
      </c>
      <c r="K61" s="71">
        <f t="shared" si="3"/>
        <v>-65187.499999999985</v>
      </c>
    </row>
    <row r="62" spans="1:11" x14ac:dyDescent="0.25">
      <c r="A62" s="38">
        <f>Données!A59</f>
        <v>5492</v>
      </c>
      <c r="B62" s="129" t="str">
        <f>Données!B59</f>
        <v>Montricher</v>
      </c>
      <c r="C62" s="8">
        <f>Données!Z59</f>
        <v>962</v>
      </c>
      <c r="D62" s="8">
        <f t="shared" si="1"/>
        <v>962</v>
      </c>
      <c r="E62" s="160">
        <f t="shared" si="1"/>
        <v>0</v>
      </c>
      <c r="F62" s="8">
        <f t="shared" si="1"/>
        <v>0</v>
      </c>
      <c r="G62" s="160">
        <f t="shared" si="1"/>
        <v>0</v>
      </c>
      <c r="H62" s="31">
        <f t="shared" si="1"/>
        <v>0</v>
      </c>
      <c r="I62" s="8">
        <f t="shared" si="1"/>
        <v>0</v>
      </c>
      <c r="J62" s="8">
        <f t="shared" si="2"/>
        <v>0</v>
      </c>
      <c r="K62" s="71">
        <f t="shared" si="3"/>
        <v>-126177.81690140843</v>
      </c>
    </row>
    <row r="63" spans="1:11" x14ac:dyDescent="0.25">
      <c r="A63" s="38">
        <f>Données!A60</f>
        <v>5493</v>
      </c>
      <c r="B63" s="129" t="str">
        <f>Données!B60</f>
        <v>Orny</v>
      </c>
      <c r="C63" s="8">
        <f>Données!Z60</f>
        <v>500</v>
      </c>
      <c r="D63" s="8">
        <f t="shared" si="1"/>
        <v>500</v>
      </c>
      <c r="E63" s="160">
        <f t="shared" si="1"/>
        <v>0</v>
      </c>
      <c r="F63" s="8">
        <f t="shared" si="1"/>
        <v>0</v>
      </c>
      <c r="G63" s="160">
        <f t="shared" si="1"/>
        <v>0</v>
      </c>
      <c r="H63" s="31">
        <f t="shared" si="1"/>
        <v>0</v>
      </c>
      <c r="I63" s="8">
        <f t="shared" si="1"/>
        <v>0</v>
      </c>
      <c r="J63" s="8">
        <f t="shared" si="2"/>
        <v>0</v>
      </c>
      <c r="K63" s="71">
        <f t="shared" si="3"/>
        <v>-65580.985915492944</v>
      </c>
    </row>
    <row r="64" spans="1:11" x14ac:dyDescent="0.25">
      <c r="A64" s="38">
        <f>Données!A61</f>
        <v>5495</v>
      </c>
      <c r="B64" s="129" t="str">
        <f>Données!B61</f>
        <v>Penthalaz</v>
      </c>
      <c r="C64" s="8">
        <f>Données!Z61</f>
        <v>3199</v>
      </c>
      <c r="D64" s="8">
        <f t="shared" si="1"/>
        <v>1000</v>
      </c>
      <c r="E64" s="160">
        <f t="shared" si="1"/>
        <v>2000</v>
      </c>
      <c r="F64" s="8">
        <f t="shared" si="1"/>
        <v>199</v>
      </c>
      <c r="G64" s="160">
        <f t="shared" si="1"/>
        <v>0</v>
      </c>
      <c r="H64" s="31">
        <f t="shared" si="1"/>
        <v>0</v>
      </c>
      <c r="I64" s="8">
        <f t="shared" si="1"/>
        <v>0</v>
      </c>
      <c r="J64" s="8">
        <f t="shared" si="2"/>
        <v>0</v>
      </c>
      <c r="K64" s="71">
        <f t="shared" si="3"/>
        <v>-970073.94366197172</v>
      </c>
    </row>
    <row r="65" spans="1:11" x14ac:dyDescent="0.25">
      <c r="A65" s="38">
        <f>Données!A62</f>
        <v>5496</v>
      </c>
      <c r="B65" s="129" t="str">
        <f>Données!B62</f>
        <v>Penthaz</v>
      </c>
      <c r="C65" s="8">
        <f>Données!Z62</f>
        <v>1899</v>
      </c>
      <c r="D65" s="8">
        <f t="shared" ref="D65:I107" si="4">IF($C65&gt;D$5,IF($C65&lt;D$6,$C65-D$5,D$6-D$5),0)</f>
        <v>1000</v>
      </c>
      <c r="E65" s="160">
        <f t="shared" si="4"/>
        <v>899</v>
      </c>
      <c r="F65" s="8">
        <f t="shared" si="4"/>
        <v>0</v>
      </c>
      <c r="G65" s="160">
        <f t="shared" si="4"/>
        <v>0</v>
      </c>
      <c r="H65" s="31">
        <f t="shared" si="4"/>
        <v>0</v>
      </c>
      <c r="I65" s="8">
        <f t="shared" si="4"/>
        <v>0</v>
      </c>
      <c r="J65" s="8">
        <f t="shared" si="2"/>
        <v>0</v>
      </c>
      <c r="K65" s="71">
        <f t="shared" si="3"/>
        <v>-461322.88732394355</v>
      </c>
    </row>
    <row r="66" spans="1:11" x14ac:dyDescent="0.25">
      <c r="A66" s="38">
        <f>Données!A63</f>
        <v>5497</v>
      </c>
      <c r="B66" s="129" t="str">
        <f>Données!B63</f>
        <v>Pompaples</v>
      </c>
      <c r="C66" s="8">
        <f>Données!Z63</f>
        <v>926</v>
      </c>
      <c r="D66" s="8">
        <f t="shared" si="4"/>
        <v>926</v>
      </c>
      <c r="E66" s="160">
        <f t="shared" si="4"/>
        <v>0</v>
      </c>
      <c r="F66" s="8">
        <f t="shared" si="4"/>
        <v>0</v>
      </c>
      <c r="G66" s="160">
        <f t="shared" si="4"/>
        <v>0</v>
      </c>
      <c r="H66" s="31">
        <f t="shared" si="4"/>
        <v>0</v>
      </c>
      <c r="I66" s="8">
        <f t="shared" si="4"/>
        <v>0</v>
      </c>
      <c r="J66" s="8">
        <f t="shared" si="2"/>
        <v>0</v>
      </c>
      <c r="K66" s="71">
        <f t="shared" si="3"/>
        <v>-121455.98591549293</v>
      </c>
    </row>
    <row r="67" spans="1:11" x14ac:dyDescent="0.25">
      <c r="A67" s="38">
        <f>Données!A64</f>
        <v>5498</v>
      </c>
      <c r="B67" s="129" t="str">
        <f>Données!B64</f>
        <v>La Sarraz</v>
      </c>
      <c r="C67" s="8">
        <f>Données!Z64</f>
        <v>2599</v>
      </c>
      <c r="D67" s="8">
        <f t="shared" si="4"/>
        <v>1000</v>
      </c>
      <c r="E67" s="160">
        <f t="shared" si="4"/>
        <v>1599</v>
      </c>
      <c r="F67" s="8">
        <f t="shared" si="4"/>
        <v>0</v>
      </c>
      <c r="G67" s="160">
        <f t="shared" si="4"/>
        <v>0</v>
      </c>
      <c r="H67" s="31">
        <f t="shared" si="4"/>
        <v>0</v>
      </c>
      <c r="I67" s="8">
        <f t="shared" si="4"/>
        <v>0</v>
      </c>
      <c r="J67" s="8">
        <f t="shared" si="2"/>
        <v>0</v>
      </c>
      <c r="K67" s="71">
        <f t="shared" si="3"/>
        <v>-718400.3521126759</v>
      </c>
    </row>
    <row r="68" spans="1:11" x14ac:dyDescent="0.25">
      <c r="A68" s="38">
        <f>Données!A65</f>
        <v>5499</v>
      </c>
      <c r="B68" s="129" t="str">
        <f>Données!B65</f>
        <v>Senarclens</v>
      </c>
      <c r="C68" s="8">
        <f>Données!Z65</f>
        <v>491</v>
      </c>
      <c r="D68" s="8">
        <f t="shared" si="4"/>
        <v>491</v>
      </c>
      <c r="E68" s="160">
        <f t="shared" si="4"/>
        <v>0</v>
      </c>
      <c r="F68" s="8">
        <f t="shared" si="4"/>
        <v>0</v>
      </c>
      <c r="G68" s="160">
        <f t="shared" si="4"/>
        <v>0</v>
      </c>
      <c r="H68" s="31">
        <f t="shared" si="4"/>
        <v>0</v>
      </c>
      <c r="I68" s="8">
        <f t="shared" si="4"/>
        <v>0</v>
      </c>
      <c r="J68" s="8">
        <f t="shared" si="2"/>
        <v>0</v>
      </c>
      <c r="K68" s="71">
        <f t="shared" si="3"/>
        <v>-64400.528169014069</v>
      </c>
    </row>
    <row r="69" spans="1:11" x14ac:dyDescent="0.25">
      <c r="A69" s="38">
        <f>Données!A66</f>
        <v>5501</v>
      </c>
      <c r="B69" s="129" t="str">
        <f>Données!B66</f>
        <v>Sullens</v>
      </c>
      <c r="C69" s="8">
        <f>Données!Z66</f>
        <v>1198</v>
      </c>
      <c r="D69" s="8">
        <f t="shared" si="4"/>
        <v>1000</v>
      </c>
      <c r="E69" s="160">
        <f t="shared" si="4"/>
        <v>198</v>
      </c>
      <c r="F69" s="8">
        <f t="shared" si="4"/>
        <v>0</v>
      </c>
      <c r="G69" s="160">
        <f t="shared" si="4"/>
        <v>0</v>
      </c>
      <c r="H69" s="31">
        <f t="shared" si="4"/>
        <v>0</v>
      </c>
      <c r="I69" s="8">
        <f t="shared" si="4"/>
        <v>0</v>
      </c>
      <c r="J69" s="8">
        <f t="shared" si="2"/>
        <v>0</v>
      </c>
      <c r="K69" s="71">
        <f t="shared" si="3"/>
        <v>-203878.16901408447</v>
      </c>
    </row>
    <row r="70" spans="1:11" x14ac:dyDescent="0.25">
      <c r="A70" s="38">
        <f>Données!A67</f>
        <v>5503</v>
      </c>
      <c r="B70" s="129" t="str">
        <f>Données!B67</f>
        <v>Vufflens-la-Ville</v>
      </c>
      <c r="C70" s="8">
        <f>Données!Z67</f>
        <v>1336</v>
      </c>
      <c r="D70" s="8">
        <f t="shared" si="4"/>
        <v>1000</v>
      </c>
      <c r="E70" s="160">
        <f t="shared" si="4"/>
        <v>336</v>
      </c>
      <c r="F70" s="8">
        <f t="shared" si="4"/>
        <v>0</v>
      </c>
      <c r="G70" s="160">
        <f t="shared" si="4"/>
        <v>0</v>
      </c>
      <c r="H70" s="31">
        <f t="shared" si="4"/>
        <v>0</v>
      </c>
      <c r="I70" s="8">
        <f t="shared" si="4"/>
        <v>0</v>
      </c>
      <c r="J70" s="8">
        <f t="shared" si="2"/>
        <v>0</v>
      </c>
      <c r="K70" s="71">
        <f t="shared" si="3"/>
        <v>-254559.15492957743</v>
      </c>
    </row>
    <row r="71" spans="1:11" x14ac:dyDescent="0.25">
      <c r="A71" s="38">
        <f>Données!A68</f>
        <v>5511</v>
      </c>
      <c r="B71" s="129" t="str">
        <f>Données!B68</f>
        <v>Assens</v>
      </c>
      <c r="C71" s="8">
        <f>Données!Z68</f>
        <v>1698</v>
      </c>
      <c r="D71" s="8">
        <f t="shared" si="4"/>
        <v>1000</v>
      </c>
      <c r="E71" s="160">
        <f t="shared" si="4"/>
        <v>698</v>
      </c>
      <c r="F71" s="8">
        <f t="shared" si="4"/>
        <v>0</v>
      </c>
      <c r="G71" s="160">
        <f t="shared" si="4"/>
        <v>0</v>
      </c>
      <c r="H71" s="31">
        <f t="shared" si="4"/>
        <v>0</v>
      </c>
      <c r="I71" s="8">
        <f t="shared" si="4"/>
        <v>0</v>
      </c>
      <c r="J71" s="8">
        <f t="shared" si="2"/>
        <v>0</v>
      </c>
      <c r="K71" s="71">
        <f t="shared" si="3"/>
        <v>-387504.9295774647</v>
      </c>
    </row>
    <row r="72" spans="1:11" x14ac:dyDescent="0.25">
      <c r="A72" s="38">
        <f>Données!A69</f>
        <v>5512</v>
      </c>
      <c r="B72" s="129" t="str">
        <f>Données!B69</f>
        <v>Bercher</v>
      </c>
      <c r="C72" s="8">
        <f>Données!Z69</f>
        <v>1330</v>
      </c>
      <c r="D72" s="8">
        <f t="shared" si="4"/>
        <v>1000</v>
      </c>
      <c r="E72" s="160">
        <f t="shared" si="4"/>
        <v>330</v>
      </c>
      <c r="F72" s="8">
        <f t="shared" si="4"/>
        <v>0</v>
      </c>
      <c r="G72" s="160">
        <f t="shared" si="4"/>
        <v>0</v>
      </c>
      <c r="H72" s="31">
        <f t="shared" si="4"/>
        <v>0</v>
      </c>
      <c r="I72" s="8">
        <f t="shared" si="4"/>
        <v>0</v>
      </c>
      <c r="J72" s="8">
        <f t="shared" si="2"/>
        <v>0</v>
      </c>
      <c r="K72" s="71">
        <f t="shared" si="3"/>
        <v>-252355.63380281685</v>
      </c>
    </row>
    <row r="73" spans="1:11" x14ac:dyDescent="0.25">
      <c r="A73" s="38">
        <f>Données!A70</f>
        <v>5514</v>
      </c>
      <c r="B73" s="129" t="str">
        <f>Données!B70</f>
        <v>Bottens</v>
      </c>
      <c r="C73" s="8">
        <f>Données!Z70</f>
        <v>1378</v>
      </c>
      <c r="D73" s="8">
        <f t="shared" si="4"/>
        <v>1000</v>
      </c>
      <c r="E73" s="160">
        <f t="shared" si="4"/>
        <v>378</v>
      </c>
      <c r="F73" s="8">
        <f t="shared" si="4"/>
        <v>0</v>
      </c>
      <c r="G73" s="160">
        <f t="shared" si="4"/>
        <v>0</v>
      </c>
      <c r="H73" s="31">
        <f t="shared" si="4"/>
        <v>0</v>
      </c>
      <c r="I73" s="8">
        <f t="shared" si="4"/>
        <v>0</v>
      </c>
      <c r="J73" s="8">
        <f t="shared" si="2"/>
        <v>0</v>
      </c>
      <c r="K73" s="71">
        <f t="shared" si="3"/>
        <v>-269983.80281690136</v>
      </c>
    </row>
    <row r="74" spans="1:11" x14ac:dyDescent="0.25">
      <c r="A74" s="38">
        <f>Données!A71</f>
        <v>5515</v>
      </c>
      <c r="B74" s="129" t="str">
        <f>Données!B71</f>
        <v>Bretigny-sur-Morrens</v>
      </c>
      <c r="C74" s="8">
        <f>Données!Z71</f>
        <v>893</v>
      </c>
      <c r="D74" s="8">
        <f t="shared" si="4"/>
        <v>893</v>
      </c>
      <c r="E74" s="160">
        <f t="shared" si="4"/>
        <v>0</v>
      </c>
      <c r="F74" s="8">
        <f t="shared" si="4"/>
        <v>0</v>
      </c>
      <c r="G74" s="160">
        <f t="shared" si="4"/>
        <v>0</v>
      </c>
      <c r="H74" s="31">
        <f t="shared" si="4"/>
        <v>0</v>
      </c>
      <c r="I74" s="8">
        <f t="shared" si="4"/>
        <v>0</v>
      </c>
      <c r="J74" s="8">
        <f t="shared" ref="J74:J137" si="5">IF(C74&gt;$J$5,C74-$J$5,0)</f>
        <v>0</v>
      </c>
      <c r="K74" s="71">
        <f t="shared" ref="K74:K137" si="6">-((D74*D$8)+(E74*E$8)+(F74*F$8)+(G74*G$8)+(H74*H$8)+(I74*I$8)+(J74*J$8))</f>
        <v>-117127.6408450704</v>
      </c>
    </row>
    <row r="75" spans="1:11" x14ac:dyDescent="0.25">
      <c r="A75" s="38">
        <f>Données!A72</f>
        <v>5516</v>
      </c>
      <c r="B75" s="129" t="str">
        <f>Données!B72</f>
        <v>Cugy</v>
      </c>
      <c r="C75" s="8">
        <f>Données!Z72</f>
        <v>2733</v>
      </c>
      <c r="D75" s="8">
        <f t="shared" si="4"/>
        <v>1000</v>
      </c>
      <c r="E75" s="160">
        <f t="shared" si="4"/>
        <v>1733</v>
      </c>
      <c r="F75" s="8">
        <f t="shared" si="4"/>
        <v>0</v>
      </c>
      <c r="G75" s="160">
        <f t="shared" si="4"/>
        <v>0</v>
      </c>
      <c r="H75" s="31">
        <f t="shared" si="4"/>
        <v>0</v>
      </c>
      <c r="I75" s="8">
        <f t="shared" si="4"/>
        <v>0</v>
      </c>
      <c r="J75" s="8">
        <f t="shared" si="5"/>
        <v>0</v>
      </c>
      <c r="K75" s="71">
        <f t="shared" si="6"/>
        <v>-767612.32394366188</v>
      </c>
    </row>
    <row r="76" spans="1:11" x14ac:dyDescent="0.25">
      <c r="A76" s="38">
        <f>Données!A73</f>
        <v>5518</v>
      </c>
      <c r="B76" s="129" t="str">
        <f>Données!B73</f>
        <v>Echallens</v>
      </c>
      <c r="C76" s="8">
        <f>Données!Z73</f>
        <v>6572</v>
      </c>
      <c r="D76" s="8">
        <f t="shared" si="4"/>
        <v>1000</v>
      </c>
      <c r="E76" s="160">
        <f t="shared" si="4"/>
        <v>2000</v>
      </c>
      <c r="F76" s="8">
        <f t="shared" si="4"/>
        <v>2000</v>
      </c>
      <c r="G76" s="160">
        <f t="shared" si="4"/>
        <v>1572</v>
      </c>
      <c r="H76" s="31">
        <f t="shared" si="4"/>
        <v>0</v>
      </c>
      <c r="I76" s="8">
        <f t="shared" si="4"/>
        <v>0</v>
      </c>
      <c r="J76" s="8">
        <f t="shared" si="5"/>
        <v>0</v>
      </c>
      <c r="K76" s="71">
        <f t="shared" si="6"/>
        <v>-2904660.5633802814</v>
      </c>
    </row>
    <row r="77" spans="1:11" x14ac:dyDescent="0.25">
      <c r="A77" s="38">
        <f>Données!A74</f>
        <v>5520</v>
      </c>
      <c r="B77" s="129" t="str">
        <f>Données!B74</f>
        <v>Essertines-sur-Yverdon</v>
      </c>
      <c r="C77" s="8">
        <f>Données!Z74</f>
        <v>1105</v>
      </c>
      <c r="D77" s="8">
        <f t="shared" si="4"/>
        <v>1000</v>
      </c>
      <c r="E77" s="160">
        <f t="shared" si="4"/>
        <v>105</v>
      </c>
      <c r="F77" s="8">
        <f t="shared" si="4"/>
        <v>0</v>
      </c>
      <c r="G77" s="160">
        <f t="shared" si="4"/>
        <v>0</v>
      </c>
      <c r="H77" s="31">
        <f t="shared" si="4"/>
        <v>0</v>
      </c>
      <c r="I77" s="8">
        <f t="shared" si="4"/>
        <v>0</v>
      </c>
      <c r="J77" s="8">
        <f t="shared" si="5"/>
        <v>0</v>
      </c>
      <c r="K77" s="71">
        <f t="shared" si="6"/>
        <v>-169723.59154929576</v>
      </c>
    </row>
    <row r="78" spans="1:11" x14ac:dyDescent="0.25">
      <c r="A78" s="38">
        <f>Données!A75</f>
        <v>5521</v>
      </c>
      <c r="B78" s="129" t="str">
        <f>Données!B75</f>
        <v>Etagnières</v>
      </c>
      <c r="C78" s="8">
        <f>Données!Z75</f>
        <v>1172</v>
      </c>
      <c r="D78" s="8">
        <f t="shared" si="4"/>
        <v>1000</v>
      </c>
      <c r="E78" s="160">
        <f t="shared" si="4"/>
        <v>172</v>
      </c>
      <c r="F78" s="8">
        <f t="shared" si="4"/>
        <v>0</v>
      </c>
      <c r="G78" s="160">
        <f t="shared" si="4"/>
        <v>0</v>
      </c>
      <c r="H78" s="31">
        <f t="shared" si="4"/>
        <v>0</v>
      </c>
      <c r="I78" s="8">
        <f t="shared" si="4"/>
        <v>0</v>
      </c>
      <c r="J78" s="8">
        <f t="shared" si="5"/>
        <v>0</v>
      </c>
      <c r="K78" s="71">
        <f t="shared" si="6"/>
        <v>-194329.57746478869</v>
      </c>
    </row>
    <row r="79" spans="1:11" x14ac:dyDescent="0.25">
      <c r="A79" s="38">
        <f>Données!A76</f>
        <v>5522</v>
      </c>
      <c r="B79" s="129" t="str">
        <f>Données!B76</f>
        <v>Fey</v>
      </c>
      <c r="C79" s="8">
        <f>Données!Z76</f>
        <v>763</v>
      </c>
      <c r="D79" s="8">
        <f t="shared" si="4"/>
        <v>763</v>
      </c>
      <c r="E79" s="160">
        <f t="shared" si="4"/>
        <v>0</v>
      </c>
      <c r="F79" s="8">
        <f t="shared" si="4"/>
        <v>0</v>
      </c>
      <c r="G79" s="160">
        <f t="shared" si="4"/>
        <v>0</v>
      </c>
      <c r="H79" s="31">
        <f t="shared" si="4"/>
        <v>0</v>
      </c>
      <c r="I79" s="8">
        <f t="shared" si="4"/>
        <v>0</v>
      </c>
      <c r="J79" s="8">
        <f t="shared" si="5"/>
        <v>0</v>
      </c>
      <c r="K79" s="71">
        <f t="shared" si="6"/>
        <v>-100076.58450704224</v>
      </c>
    </row>
    <row r="80" spans="1:11" x14ac:dyDescent="0.25">
      <c r="A80" s="38">
        <f>Données!A77</f>
        <v>5523</v>
      </c>
      <c r="B80" s="129" t="str">
        <f>Données!B77</f>
        <v>Froideville</v>
      </c>
      <c r="C80" s="8">
        <f>Données!Z77</f>
        <v>2728</v>
      </c>
      <c r="D80" s="8">
        <f t="shared" si="4"/>
        <v>1000</v>
      </c>
      <c r="E80" s="160">
        <f t="shared" si="4"/>
        <v>1728</v>
      </c>
      <c r="F80" s="8">
        <f t="shared" si="4"/>
        <v>0</v>
      </c>
      <c r="G80" s="160">
        <f t="shared" si="4"/>
        <v>0</v>
      </c>
      <c r="H80" s="31">
        <f t="shared" si="4"/>
        <v>0</v>
      </c>
      <c r="I80" s="8">
        <f t="shared" si="4"/>
        <v>0</v>
      </c>
      <c r="J80" s="8">
        <f t="shared" si="5"/>
        <v>0</v>
      </c>
      <c r="K80" s="71">
        <f t="shared" si="6"/>
        <v>-765776.05633802805</v>
      </c>
    </row>
    <row r="81" spans="1:11" x14ac:dyDescent="0.25">
      <c r="A81" s="38">
        <f>Données!A78</f>
        <v>5527</v>
      </c>
      <c r="B81" s="129" t="str">
        <f>Données!B78</f>
        <v>Morrens</v>
      </c>
      <c r="C81" s="8">
        <f>Données!Z78</f>
        <v>1142</v>
      </c>
      <c r="D81" s="8">
        <f t="shared" si="4"/>
        <v>1000</v>
      </c>
      <c r="E81" s="160">
        <f t="shared" si="4"/>
        <v>142</v>
      </c>
      <c r="F81" s="8">
        <f t="shared" si="4"/>
        <v>0</v>
      </c>
      <c r="G81" s="160">
        <f t="shared" si="4"/>
        <v>0</v>
      </c>
      <c r="H81" s="31">
        <f t="shared" si="4"/>
        <v>0</v>
      </c>
      <c r="I81" s="8">
        <f t="shared" si="4"/>
        <v>0</v>
      </c>
      <c r="J81" s="8">
        <f t="shared" si="5"/>
        <v>0</v>
      </c>
      <c r="K81" s="71">
        <f t="shared" si="6"/>
        <v>-183311.97183098589</v>
      </c>
    </row>
    <row r="82" spans="1:11" x14ac:dyDescent="0.25">
      <c r="A82" s="38">
        <f>Données!A79</f>
        <v>5529</v>
      </c>
      <c r="B82" s="129" t="str">
        <f>Données!B79</f>
        <v>Oulens-sous-Echallens</v>
      </c>
      <c r="C82" s="8">
        <f>Données!Z79</f>
        <v>600</v>
      </c>
      <c r="D82" s="8">
        <f t="shared" si="4"/>
        <v>600</v>
      </c>
      <c r="E82" s="160">
        <f t="shared" si="4"/>
        <v>0</v>
      </c>
      <c r="F82" s="8">
        <f t="shared" si="4"/>
        <v>0</v>
      </c>
      <c r="G82" s="160">
        <f t="shared" si="4"/>
        <v>0</v>
      </c>
      <c r="H82" s="31">
        <f t="shared" si="4"/>
        <v>0</v>
      </c>
      <c r="I82" s="8">
        <f t="shared" si="4"/>
        <v>0</v>
      </c>
      <c r="J82" s="8">
        <f t="shared" si="5"/>
        <v>0</v>
      </c>
      <c r="K82" s="71">
        <f t="shared" si="6"/>
        <v>-78697.183098591529</v>
      </c>
    </row>
    <row r="83" spans="1:11" x14ac:dyDescent="0.25">
      <c r="A83" s="38">
        <f>Données!A80</f>
        <v>5530</v>
      </c>
      <c r="B83" s="129" t="str">
        <f>Données!B80</f>
        <v>Pailly</v>
      </c>
      <c r="C83" s="8">
        <f>Données!Z80</f>
        <v>576</v>
      </c>
      <c r="D83" s="8">
        <f t="shared" si="4"/>
        <v>576</v>
      </c>
      <c r="E83" s="160">
        <f t="shared" si="4"/>
        <v>0</v>
      </c>
      <c r="F83" s="8">
        <f t="shared" si="4"/>
        <v>0</v>
      </c>
      <c r="G83" s="160">
        <f t="shared" si="4"/>
        <v>0</v>
      </c>
      <c r="H83" s="31">
        <f t="shared" si="4"/>
        <v>0</v>
      </c>
      <c r="I83" s="8">
        <f t="shared" si="4"/>
        <v>0</v>
      </c>
      <c r="J83" s="8">
        <f t="shared" si="5"/>
        <v>0</v>
      </c>
      <c r="K83" s="71">
        <f t="shared" si="6"/>
        <v>-75549.295774647879</v>
      </c>
    </row>
    <row r="84" spans="1:11" x14ac:dyDescent="0.25">
      <c r="A84" s="38">
        <f>Données!A81</f>
        <v>5531</v>
      </c>
      <c r="B84" s="129" t="str">
        <f>Données!B81</f>
        <v>Penthéréaz</v>
      </c>
      <c r="C84" s="8">
        <f>Données!Z81</f>
        <v>437</v>
      </c>
      <c r="D84" s="8">
        <f t="shared" si="4"/>
        <v>437</v>
      </c>
      <c r="E84" s="160">
        <f t="shared" si="4"/>
        <v>0</v>
      </c>
      <c r="F84" s="8">
        <f t="shared" si="4"/>
        <v>0</v>
      </c>
      <c r="G84" s="160">
        <f t="shared" si="4"/>
        <v>0</v>
      </c>
      <c r="H84" s="31">
        <f t="shared" si="4"/>
        <v>0</v>
      </c>
      <c r="I84" s="8">
        <f t="shared" si="4"/>
        <v>0</v>
      </c>
      <c r="J84" s="8">
        <f t="shared" si="5"/>
        <v>0</v>
      </c>
      <c r="K84" s="71">
        <f t="shared" si="6"/>
        <v>-57317.781690140837</v>
      </c>
    </row>
    <row r="85" spans="1:11" x14ac:dyDescent="0.25">
      <c r="A85" s="38">
        <f>Données!A82</f>
        <v>5533</v>
      </c>
      <c r="B85" s="129" t="str">
        <f>Données!B82</f>
        <v>Poliez-Pittet</v>
      </c>
      <c r="C85" s="8">
        <f>Données!Z82</f>
        <v>876</v>
      </c>
      <c r="D85" s="8">
        <f t="shared" si="4"/>
        <v>876</v>
      </c>
      <c r="E85" s="160">
        <f t="shared" si="4"/>
        <v>0</v>
      </c>
      <c r="F85" s="8">
        <f t="shared" si="4"/>
        <v>0</v>
      </c>
      <c r="G85" s="160">
        <f t="shared" si="4"/>
        <v>0</v>
      </c>
      <c r="H85" s="31">
        <f t="shared" si="4"/>
        <v>0</v>
      </c>
      <c r="I85" s="8">
        <f t="shared" si="4"/>
        <v>0</v>
      </c>
      <c r="J85" s="8">
        <f t="shared" si="5"/>
        <v>0</v>
      </c>
      <c r="K85" s="71">
        <f t="shared" si="6"/>
        <v>-114897.88732394364</v>
      </c>
    </row>
    <row r="86" spans="1:11" x14ac:dyDescent="0.25">
      <c r="A86" s="38">
        <f>Données!A83</f>
        <v>5534</v>
      </c>
      <c r="B86" s="129" t="str">
        <f>Données!B83</f>
        <v>Rueyres</v>
      </c>
      <c r="C86" s="8">
        <f>Données!Z83</f>
        <v>302</v>
      </c>
      <c r="D86" s="8">
        <f t="shared" si="4"/>
        <v>302</v>
      </c>
      <c r="E86" s="160">
        <f t="shared" si="4"/>
        <v>0</v>
      </c>
      <c r="F86" s="8">
        <f t="shared" si="4"/>
        <v>0</v>
      </c>
      <c r="G86" s="160">
        <f t="shared" si="4"/>
        <v>0</v>
      </c>
      <c r="H86" s="31">
        <f t="shared" si="4"/>
        <v>0</v>
      </c>
      <c r="I86" s="8">
        <f t="shared" si="4"/>
        <v>0</v>
      </c>
      <c r="J86" s="8">
        <f t="shared" si="5"/>
        <v>0</v>
      </c>
      <c r="K86" s="71">
        <f t="shared" si="6"/>
        <v>-39610.915492957742</v>
      </c>
    </row>
    <row r="87" spans="1:11" x14ac:dyDescent="0.25">
      <c r="A87" s="38">
        <f>Données!A84</f>
        <v>5535</v>
      </c>
      <c r="B87" s="129" t="str">
        <f>Données!B84</f>
        <v>Saint-Barthélemy</v>
      </c>
      <c r="C87" s="8">
        <f>Données!Z84</f>
        <v>829</v>
      </c>
      <c r="D87" s="8">
        <f t="shared" si="4"/>
        <v>829</v>
      </c>
      <c r="E87" s="160">
        <f t="shared" si="4"/>
        <v>0</v>
      </c>
      <c r="F87" s="8">
        <f t="shared" si="4"/>
        <v>0</v>
      </c>
      <c r="G87" s="160">
        <f t="shared" si="4"/>
        <v>0</v>
      </c>
      <c r="H87" s="31">
        <f t="shared" si="4"/>
        <v>0</v>
      </c>
      <c r="I87" s="8">
        <f t="shared" si="4"/>
        <v>0</v>
      </c>
      <c r="J87" s="8">
        <f t="shared" si="5"/>
        <v>0</v>
      </c>
      <c r="K87" s="71">
        <f t="shared" si="6"/>
        <v>-108733.2746478873</v>
      </c>
    </row>
    <row r="88" spans="1:11" x14ac:dyDescent="0.25">
      <c r="A88" s="38">
        <f>Données!A85</f>
        <v>5537</v>
      </c>
      <c r="B88" s="129" t="str">
        <f>Données!B85</f>
        <v>Villars-le-Terroir</v>
      </c>
      <c r="C88" s="8">
        <f>Données!Z85</f>
        <v>1298</v>
      </c>
      <c r="D88" s="8">
        <f t="shared" si="4"/>
        <v>1000</v>
      </c>
      <c r="E88" s="160">
        <f t="shared" si="4"/>
        <v>298</v>
      </c>
      <c r="F88" s="8">
        <f t="shared" si="4"/>
        <v>0</v>
      </c>
      <c r="G88" s="160">
        <f t="shared" si="4"/>
        <v>0</v>
      </c>
      <c r="H88" s="31">
        <f t="shared" si="4"/>
        <v>0</v>
      </c>
      <c r="I88" s="8">
        <f t="shared" si="4"/>
        <v>0</v>
      </c>
      <c r="J88" s="8">
        <f t="shared" si="5"/>
        <v>0</v>
      </c>
      <c r="K88" s="71">
        <f t="shared" si="6"/>
        <v>-240603.52112676052</v>
      </c>
    </row>
    <row r="89" spans="1:11" x14ac:dyDescent="0.25">
      <c r="A89" s="38">
        <f>Données!A86</f>
        <v>5539</v>
      </c>
      <c r="B89" s="129" t="str">
        <f>Données!B86</f>
        <v>Vuarrens</v>
      </c>
      <c r="C89" s="8">
        <f>Données!Z86</f>
        <v>1103</v>
      </c>
      <c r="D89" s="8">
        <f t="shared" si="4"/>
        <v>1000</v>
      </c>
      <c r="E89" s="160">
        <f t="shared" si="4"/>
        <v>103</v>
      </c>
      <c r="F89" s="8">
        <f t="shared" si="4"/>
        <v>0</v>
      </c>
      <c r="G89" s="160">
        <f t="shared" si="4"/>
        <v>0</v>
      </c>
      <c r="H89" s="31">
        <f t="shared" si="4"/>
        <v>0</v>
      </c>
      <c r="I89" s="8">
        <f t="shared" si="4"/>
        <v>0</v>
      </c>
      <c r="J89" s="8">
        <f t="shared" si="5"/>
        <v>0</v>
      </c>
      <c r="K89" s="71">
        <f t="shared" si="6"/>
        <v>-168989.08450704222</v>
      </c>
    </row>
    <row r="90" spans="1:11" x14ac:dyDescent="0.25">
      <c r="A90" s="38">
        <f>Données!A87</f>
        <v>5540</v>
      </c>
      <c r="B90" s="129" t="str">
        <f>Données!B87</f>
        <v>Montilliez</v>
      </c>
      <c r="C90" s="8">
        <f>Données!Z87</f>
        <v>1894</v>
      </c>
      <c r="D90" s="8">
        <f t="shared" si="4"/>
        <v>1000</v>
      </c>
      <c r="E90" s="160">
        <f t="shared" si="4"/>
        <v>894</v>
      </c>
      <c r="F90" s="8">
        <f t="shared" si="4"/>
        <v>0</v>
      </c>
      <c r="G90" s="160">
        <f t="shared" si="4"/>
        <v>0</v>
      </c>
      <c r="H90" s="31">
        <f t="shared" si="4"/>
        <v>0</v>
      </c>
      <c r="I90" s="8">
        <f t="shared" si="4"/>
        <v>0</v>
      </c>
      <c r="J90" s="8">
        <f t="shared" si="5"/>
        <v>0</v>
      </c>
      <c r="K90" s="71">
        <f t="shared" si="6"/>
        <v>-459486.61971830984</v>
      </c>
    </row>
    <row r="91" spans="1:11" x14ac:dyDescent="0.25">
      <c r="A91" s="38">
        <f>Données!A88</f>
        <v>5541</v>
      </c>
      <c r="B91" s="129" t="str">
        <f>Données!B88</f>
        <v>Goumoëns</v>
      </c>
      <c r="C91" s="8">
        <f>Données!Z88</f>
        <v>1212</v>
      </c>
      <c r="D91" s="8">
        <f t="shared" si="4"/>
        <v>1000</v>
      </c>
      <c r="E91" s="160">
        <f t="shared" si="4"/>
        <v>212</v>
      </c>
      <c r="F91" s="8">
        <f t="shared" si="4"/>
        <v>0</v>
      </c>
      <c r="G91" s="160">
        <f t="shared" si="4"/>
        <v>0</v>
      </c>
      <c r="H91" s="31">
        <f t="shared" si="4"/>
        <v>0</v>
      </c>
      <c r="I91" s="8">
        <f t="shared" si="4"/>
        <v>0</v>
      </c>
      <c r="J91" s="8">
        <f t="shared" si="5"/>
        <v>0</v>
      </c>
      <c r="K91" s="71">
        <f t="shared" si="6"/>
        <v>-209019.7183098591</v>
      </c>
    </row>
    <row r="92" spans="1:11" x14ac:dyDescent="0.25">
      <c r="A92" s="38">
        <f>Données!A89</f>
        <v>5551</v>
      </c>
      <c r="B92" s="129" t="str">
        <f>Données!B89</f>
        <v>Bonvillars</v>
      </c>
      <c r="C92" s="8">
        <f>Données!Z89</f>
        <v>526</v>
      </c>
      <c r="D92" s="8">
        <f t="shared" si="4"/>
        <v>526</v>
      </c>
      <c r="E92" s="160">
        <f t="shared" si="4"/>
        <v>0</v>
      </c>
      <c r="F92" s="8">
        <f t="shared" si="4"/>
        <v>0</v>
      </c>
      <c r="G92" s="160">
        <f t="shared" si="4"/>
        <v>0</v>
      </c>
      <c r="H92" s="31">
        <f t="shared" si="4"/>
        <v>0</v>
      </c>
      <c r="I92" s="8">
        <f t="shared" si="4"/>
        <v>0</v>
      </c>
      <c r="J92" s="8">
        <f t="shared" si="5"/>
        <v>0</v>
      </c>
      <c r="K92" s="71">
        <f t="shared" si="6"/>
        <v>-68991.197183098586</v>
      </c>
    </row>
    <row r="93" spans="1:11" x14ac:dyDescent="0.25">
      <c r="A93" s="38">
        <f>Données!A90</f>
        <v>5552</v>
      </c>
      <c r="B93" s="129" t="str">
        <f>Données!B90</f>
        <v>Bullet</v>
      </c>
      <c r="C93" s="8">
        <f>Données!Z90</f>
        <v>675</v>
      </c>
      <c r="D93" s="8">
        <f t="shared" si="4"/>
        <v>675</v>
      </c>
      <c r="E93" s="160">
        <f t="shared" si="4"/>
        <v>0</v>
      </c>
      <c r="F93" s="8">
        <f t="shared" si="4"/>
        <v>0</v>
      </c>
      <c r="G93" s="160">
        <f t="shared" si="4"/>
        <v>0</v>
      </c>
      <c r="H93" s="31">
        <f t="shared" si="4"/>
        <v>0</v>
      </c>
      <c r="I93" s="8">
        <f t="shared" si="4"/>
        <v>0</v>
      </c>
      <c r="J93" s="8">
        <f t="shared" si="5"/>
        <v>0</v>
      </c>
      <c r="K93" s="71">
        <f t="shared" si="6"/>
        <v>-88534.330985915483</v>
      </c>
    </row>
    <row r="94" spans="1:11" x14ac:dyDescent="0.25">
      <c r="A94" s="38">
        <f>Données!A91</f>
        <v>5553</v>
      </c>
      <c r="B94" s="129" t="str">
        <f>Données!B91</f>
        <v>Champagne</v>
      </c>
      <c r="C94" s="8">
        <f>Données!Z91</f>
        <v>1071</v>
      </c>
      <c r="D94" s="8">
        <f t="shared" si="4"/>
        <v>1000</v>
      </c>
      <c r="E94" s="160">
        <f t="shared" si="4"/>
        <v>71</v>
      </c>
      <c r="F94" s="8">
        <f t="shared" si="4"/>
        <v>0</v>
      </c>
      <c r="G94" s="160">
        <f t="shared" si="4"/>
        <v>0</v>
      </c>
      <c r="H94" s="31">
        <f t="shared" si="4"/>
        <v>0</v>
      </c>
      <c r="I94" s="8">
        <f t="shared" si="4"/>
        <v>0</v>
      </c>
      <c r="J94" s="8">
        <f t="shared" si="5"/>
        <v>0</v>
      </c>
      <c r="K94" s="71">
        <f t="shared" si="6"/>
        <v>-157236.97183098589</v>
      </c>
    </row>
    <row r="95" spans="1:11" x14ac:dyDescent="0.25">
      <c r="A95" s="38">
        <f>Données!A92</f>
        <v>5554</v>
      </c>
      <c r="B95" s="129" t="str">
        <f>Données!B92</f>
        <v>Concise</v>
      </c>
      <c r="C95" s="8">
        <f>Données!Z92</f>
        <v>1022</v>
      </c>
      <c r="D95" s="8">
        <f t="shared" si="4"/>
        <v>1000</v>
      </c>
      <c r="E95" s="160">
        <f t="shared" si="4"/>
        <v>22</v>
      </c>
      <c r="F95" s="8">
        <f t="shared" si="4"/>
        <v>0</v>
      </c>
      <c r="G95" s="160">
        <f t="shared" si="4"/>
        <v>0</v>
      </c>
      <c r="H95" s="31">
        <f t="shared" si="4"/>
        <v>0</v>
      </c>
      <c r="I95" s="8">
        <f t="shared" si="4"/>
        <v>0</v>
      </c>
      <c r="J95" s="8">
        <f t="shared" si="5"/>
        <v>0</v>
      </c>
      <c r="K95" s="71">
        <f t="shared" si="6"/>
        <v>-139241.54929577463</v>
      </c>
    </row>
    <row r="96" spans="1:11" x14ac:dyDescent="0.25">
      <c r="A96" s="38">
        <f>Données!A93</f>
        <v>5555</v>
      </c>
      <c r="B96" s="129" t="str">
        <f>Données!B93</f>
        <v>Corcelles-près-Concise</v>
      </c>
      <c r="C96" s="8">
        <f>Données!Z93</f>
        <v>425</v>
      </c>
      <c r="D96" s="8">
        <f t="shared" si="4"/>
        <v>425</v>
      </c>
      <c r="E96" s="160">
        <f t="shared" si="4"/>
        <v>0</v>
      </c>
      <c r="F96" s="8">
        <f t="shared" si="4"/>
        <v>0</v>
      </c>
      <c r="G96" s="160">
        <f t="shared" si="4"/>
        <v>0</v>
      </c>
      <c r="H96" s="31">
        <f t="shared" si="4"/>
        <v>0</v>
      </c>
      <c r="I96" s="8">
        <f t="shared" si="4"/>
        <v>0</v>
      </c>
      <c r="J96" s="8">
        <f t="shared" si="5"/>
        <v>0</v>
      </c>
      <c r="K96" s="71">
        <f t="shared" si="6"/>
        <v>-55743.838028169004</v>
      </c>
    </row>
    <row r="97" spans="1:11" x14ac:dyDescent="0.25">
      <c r="A97" s="38">
        <f>Données!A94</f>
        <v>5556</v>
      </c>
      <c r="B97" s="129" t="str">
        <f>Données!B94</f>
        <v>Fiez</v>
      </c>
      <c r="C97" s="8">
        <f>Données!Z94</f>
        <v>436</v>
      </c>
      <c r="D97" s="8">
        <f t="shared" si="4"/>
        <v>436</v>
      </c>
      <c r="E97" s="160">
        <f t="shared" si="4"/>
        <v>0</v>
      </c>
      <c r="F97" s="8">
        <f t="shared" si="4"/>
        <v>0</v>
      </c>
      <c r="G97" s="160">
        <f t="shared" si="4"/>
        <v>0</v>
      </c>
      <c r="H97" s="31">
        <f t="shared" si="4"/>
        <v>0</v>
      </c>
      <c r="I97" s="8">
        <f t="shared" si="4"/>
        <v>0</v>
      </c>
      <c r="J97" s="8">
        <f t="shared" si="5"/>
        <v>0</v>
      </c>
      <c r="K97" s="71">
        <f t="shared" si="6"/>
        <v>-57186.619718309848</v>
      </c>
    </row>
    <row r="98" spans="1:11" x14ac:dyDescent="0.25">
      <c r="A98" s="38">
        <f>Données!A95</f>
        <v>5557</v>
      </c>
      <c r="B98" s="129" t="str">
        <f>Données!B95</f>
        <v>Fontaines-sur-Grandson</v>
      </c>
      <c r="C98" s="8">
        <f>Données!Z95</f>
        <v>199</v>
      </c>
      <c r="D98" s="8">
        <f t="shared" si="4"/>
        <v>199</v>
      </c>
      <c r="E98" s="160">
        <f t="shared" si="4"/>
        <v>0</v>
      </c>
      <c r="F98" s="8">
        <f t="shared" si="4"/>
        <v>0</v>
      </c>
      <c r="G98" s="160">
        <f t="shared" si="4"/>
        <v>0</v>
      </c>
      <c r="H98" s="31">
        <f t="shared" si="4"/>
        <v>0</v>
      </c>
      <c r="I98" s="8">
        <f t="shared" si="4"/>
        <v>0</v>
      </c>
      <c r="J98" s="8">
        <f t="shared" si="5"/>
        <v>0</v>
      </c>
      <c r="K98" s="71">
        <f t="shared" si="6"/>
        <v>-26101.232394366194</v>
      </c>
    </row>
    <row r="99" spans="1:11" x14ac:dyDescent="0.25">
      <c r="A99" s="38">
        <f>Données!A96</f>
        <v>5559</v>
      </c>
      <c r="B99" s="129" t="str">
        <f>Données!B96</f>
        <v>Giez</v>
      </c>
      <c r="C99" s="8">
        <f>Données!Z96</f>
        <v>459</v>
      </c>
      <c r="D99" s="8">
        <f t="shared" si="4"/>
        <v>459</v>
      </c>
      <c r="E99" s="160">
        <f t="shared" si="4"/>
        <v>0</v>
      </c>
      <c r="F99" s="8">
        <f t="shared" si="4"/>
        <v>0</v>
      </c>
      <c r="G99" s="160">
        <f t="shared" si="4"/>
        <v>0</v>
      </c>
      <c r="H99" s="31">
        <f t="shared" si="4"/>
        <v>0</v>
      </c>
      <c r="I99" s="8">
        <f t="shared" si="4"/>
        <v>0</v>
      </c>
      <c r="J99" s="8">
        <f t="shared" si="5"/>
        <v>0</v>
      </c>
      <c r="K99" s="71">
        <f t="shared" si="6"/>
        <v>-60203.345070422525</v>
      </c>
    </row>
    <row r="100" spans="1:11" x14ac:dyDescent="0.25">
      <c r="A100" s="38">
        <f>Données!A97</f>
        <v>5560</v>
      </c>
      <c r="B100" s="129" t="str">
        <f>Données!B97</f>
        <v>Grandevent</v>
      </c>
      <c r="C100" s="8">
        <f>Données!Z97</f>
        <v>237</v>
      </c>
      <c r="D100" s="8">
        <f t="shared" si="4"/>
        <v>237</v>
      </c>
      <c r="E100" s="160">
        <f t="shared" si="4"/>
        <v>0</v>
      </c>
      <c r="F100" s="8">
        <f t="shared" si="4"/>
        <v>0</v>
      </c>
      <c r="G100" s="160">
        <f t="shared" si="4"/>
        <v>0</v>
      </c>
      <c r="H100" s="31">
        <f t="shared" si="4"/>
        <v>0</v>
      </c>
      <c r="I100" s="8">
        <f t="shared" si="4"/>
        <v>0</v>
      </c>
      <c r="J100" s="8">
        <f t="shared" si="5"/>
        <v>0</v>
      </c>
      <c r="K100" s="71">
        <f t="shared" si="6"/>
        <v>-31085.387323943658</v>
      </c>
    </row>
    <row r="101" spans="1:11" x14ac:dyDescent="0.25">
      <c r="A101" s="38">
        <f>Données!A98</f>
        <v>5561</v>
      </c>
      <c r="B101" s="129" t="str">
        <f>Données!B98</f>
        <v>Grandson</v>
      </c>
      <c r="C101" s="8">
        <f>Données!Z98</f>
        <v>3386</v>
      </c>
      <c r="D101" s="8">
        <f t="shared" si="4"/>
        <v>1000</v>
      </c>
      <c r="E101" s="160">
        <f t="shared" si="4"/>
        <v>2000</v>
      </c>
      <c r="F101" s="8">
        <f t="shared" si="4"/>
        <v>386</v>
      </c>
      <c r="G101" s="160">
        <f t="shared" si="4"/>
        <v>0</v>
      </c>
      <c r="H101" s="31">
        <f t="shared" si="4"/>
        <v>0</v>
      </c>
      <c r="I101" s="8">
        <f t="shared" si="4"/>
        <v>0</v>
      </c>
      <c r="J101" s="8">
        <f t="shared" si="5"/>
        <v>0</v>
      </c>
      <c r="K101" s="71">
        <f t="shared" si="6"/>
        <v>-1068183.0985915491</v>
      </c>
    </row>
    <row r="102" spans="1:11" x14ac:dyDescent="0.25">
      <c r="A102" s="38">
        <f>Données!A99</f>
        <v>5562</v>
      </c>
      <c r="B102" s="129" t="str">
        <f>Données!B99</f>
        <v>Mauborget</v>
      </c>
      <c r="C102" s="8">
        <f>Données!Z99</f>
        <v>134</v>
      </c>
      <c r="D102" s="8">
        <f t="shared" si="4"/>
        <v>134</v>
      </c>
      <c r="E102" s="160">
        <f t="shared" si="4"/>
        <v>0</v>
      </c>
      <c r="F102" s="8">
        <f t="shared" si="4"/>
        <v>0</v>
      </c>
      <c r="G102" s="160">
        <f t="shared" si="4"/>
        <v>0</v>
      </c>
      <c r="H102" s="31">
        <f t="shared" si="4"/>
        <v>0</v>
      </c>
      <c r="I102" s="8">
        <f t="shared" si="4"/>
        <v>0</v>
      </c>
      <c r="J102" s="8">
        <f t="shared" si="5"/>
        <v>0</v>
      </c>
      <c r="K102" s="71">
        <f t="shared" si="6"/>
        <v>-17575.70422535211</v>
      </c>
    </row>
    <row r="103" spans="1:11" x14ac:dyDescent="0.25">
      <c r="A103" s="38">
        <f>Données!A100</f>
        <v>5563</v>
      </c>
      <c r="B103" s="129" t="str">
        <f>Données!B100</f>
        <v>Mutrux</v>
      </c>
      <c r="C103" s="8">
        <f>Données!Z100</f>
        <v>145</v>
      </c>
      <c r="D103" s="8">
        <f t="shared" si="4"/>
        <v>145</v>
      </c>
      <c r="E103" s="160">
        <f t="shared" si="4"/>
        <v>0</v>
      </c>
      <c r="F103" s="8">
        <f t="shared" si="4"/>
        <v>0</v>
      </c>
      <c r="G103" s="160">
        <f t="shared" si="4"/>
        <v>0</v>
      </c>
      <c r="H103" s="31">
        <f t="shared" si="4"/>
        <v>0</v>
      </c>
      <c r="I103" s="8">
        <f t="shared" si="4"/>
        <v>0</v>
      </c>
      <c r="J103" s="8">
        <f t="shared" si="5"/>
        <v>0</v>
      </c>
      <c r="K103" s="71">
        <f t="shared" si="6"/>
        <v>-19018.485915492955</v>
      </c>
    </row>
    <row r="104" spans="1:11" x14ac:dyDescent="0.25">
      <c r="A104" s="38">
        <f>Données!A101</f>
        <v>5564</v>
      </c>
      <c r="B104" s="129" t="str">
        <f>Données!B101</f>
        <v>Novalles</v>
      </c>
      <c r="C104" s="8">
        <f>Données!Z101</f>
        <v>102</v>
      </c>
      <c r="D104" s="8">
        <f t="shared" si="4"/>
        <v>102</v>
      </c>
      <c r="E104" s="160">
        <f t="shared" si="4"/>
        <v>0</v>
      </c>
      <c r="F104" s="8">
        <f t="shared" si="4"/>
        <v>0</v>
      </c>
      <c r="G104" s="160">
        <f t="shared" si="4"/>
        <v>0</v>
      </c>
      <c r="H104" s="31">
        <f t="shared" si="4"/>
        <v>0</v>
      </c>
      <c r="I104" s="8">
        <f t="shared" si="4"/>
        <v>0</v>
      </c>
      <c r="J104" s="8">
        <f t="shared" si="5"/>
        <v>0</v>
      </c>
      <c r="K104" s="71">
        <f t="shared" si="6"/>
        <v>-13378.521126760561</v>
      </c>
    </row>
    <row r="105" spans="1:11" x14ac:dyDescent="0.25">
      <c r="A105" s="38">
        <f>Données!A102</f>
        <v>5565</v>
      </c>
      <c r="B105" s="129" t="str">
        <f>Données!B102</f>
        <v>Onnens</v>
      </c>
      <c r="C105" s="8">
        <f>Données!Z102</f>
        <v>498</v>
      </c>
      <c r="D105" s="8">
        <f t="shared" si="4"/>
        <v>498</v>
      </c>
      <c r="E105" s="160">
        <f t="shared" si="4"/>
        <v>0</v>
      </c>
      <c r="F105" s="8">
        <f t="shared" si="4"/>
        <v>0</v>
      </c>
      <c r="G105" s="160">
        <f t="shared" si="4"/>
        <v>0</v>
      </c>
      <c r="H105" s="31">
        <f t="shared" si="4"/>
        <v>0</v>
      </c>
      <c r="I105" s="8">
        <f t="shared" si="4"/>
        <v>0</v>
      </c>
      <c r="J105" s="8">
        <f t="shared" si="5"/>
        <v>0</v>
      </c>
      <c r="K105" s="71">
        <f t="shared" si="6"/>
        <v>-65318.661971830974</v>
      </c>
    </row>
    <row r="106" spans="1:11" x14ac:dyDescent="0.25">
      <c r="A106" s="38">
        <f>Données!A103</f>
        <v>5566</v>
      </c>
      <c r="B106" s="129" t="str">
        <f>Données!B103</f>
        <v>Provence</v>
      </c>
      <c r="C106" s="8">
        <f>Données!Z103</f>
        <v>415</v>
      </c>
      <c r="D106" s="8">
        <f t="shared" si="4"/>
        <v>415</v>
      </c>
      <c r="E106" s="160">
        <f t="shared" si="4"/>
        <v>0</v>
      </c>
      <c r="F106" s="8">
        <f t="shared" si="4"/>
        <v>0</v>
      </c>
      <c r="G106" s="160">
        <f t="shared" si="4"/>
        <v>0</v>
      </c>
      <c r="H106" s="31">
        <f t="shared" si="4"/>
        <v>0</v>
      </c>
      <c r="I106" s="8">
        <f t="shared" si="4"/>
        <v>0</v>
      </c>
      <c r="J106" s="8">
        <f t="shared" si="5"/>
        <v>0</v>
      </c>
      <c r="K106" s="71">
        <f t="shared" si="6"/>
        <v>-54432.218309859141</v>
      </c>
    </row>
    <row r="107" spans="1:11" x14ac:dyDescent="0.25">
      <c r="A107" s="38">
        <f>Données!A104</f>
        <v>5568</v>
      </c>
      <c r="B107" s="129" t="str">
        <f>Données!B104</f>
        <v>Sainte-Croix</v>
      </c>
      <c r="C107" s="8">
        <f>Données!Z104</f>
        <v>5051</v>
      </c>
      <c r="D107" s="8">
        <f t="shared" si="4"/>
        <v>1000</v>
      </c>
      <c r="E107" s="160">
        <f t="shared" si="4"/>
        <v>2000</v>
      </c>
      <c r="F107" s="8">
        <f t="shared" si="4"/>
        <v>2000</v>
      </c>
      <c r="G107" s="160">
        <f t="shared" ref="E107:I158" si="7">IF($C107&gt;G$5,IF($C107&lt;G$6,$C107-G$5,G$6-G$5),0)</f>
        <v>51</v>
      </c>
      <c r="H107" s="31">
        <f t="shared" si="7"/>
        <v>0</v>
      </c>
      <c r="I107" s="8">
        <f t="shared" si="7"/>
        <v>0</v>
      </c>
      <c r="J107" s="8">
        <f t="shared" si="5"/>
        <v>0</v>
      </c>
      <c r="K107" s="71">
        <f t="shared" si="6"/>
        <v>-1947073.2394366194</v>
      </c>
    </row>
    <row r="108" spans="1:11" x14ac:dyDescent="0.25">
      <c r="A108" s="38">
        <f>Données!A105</f>
        <v>5571</v>
      </c>
      <c r="B108" s="129" t="str">
        <f>Données!B105</f>
        <v>Tévenon</v>
      </c>
      <c r="C108" s="8">
        <f>Données!Z105</f>
        <v>865</v>
      </c>
      <c r="D108" s="8">
        <f t="shared" ref="D108:D171" si="8">IF($C108&gt;D$5,IF($C108&lt;D$6,$C108-D$5,D$6-D$5),0)</f>
        <v>865</v>
      </c>
      <c r="E108" s="160">
        <f t="shared" si="7"/>
        <v>0</v>
      </c>
      <c r="F108" s="8">
        <f t="shared" si="7"/>
        <v>0</v>
      </c>
      <c r="G108" s="160">
        <f t="shared" si="7"/>
        <v>0</v>
      </c>
      <c r="H108" s="31">
        <f t="shared" si="7"/>
        <v>0</v>
      </c>
      <c r="I108" s="8">
        <f t="shared" si="7"/>
        <v>0</v>
      </c>
      <c r="J108" s="8">
        <f t="shared" si="5"/>
        <v>0</v>
      </c>
      <c r="K108" s="71">
        <f t="shared" si="6"/>
        <v>-113455.1056338028</v>
      </c>
    </row>
    <row r="109" spans="1:11" x14ac:dyDescent="0.25">
      <c r="A109" s="38">
        <f>Données!A106</f>
        <v>5581</v>
      </c>
      <c r="B109" s="129" t="str">
        <f>Données!B106</f>
        <v>Belmont-sur-Lausanne</v>
      </c>
      <c r="C109" s="8">
        <f>Données!Z106</f>
        <v>3896</v>
      </c>
      <c r="D109" s="8">
        <f t="shared" si="8"/>
        <v>1000</v>
      </c>
      <c r="E109" s="160">
        <f t="shared" si="7"/>
        <v>2000</v>
      </c>
      <c r="F109" s="8">
        <f t="shared" si="7"/>
        <v>896</v>
      </c>
      <c r="G109" s="160">
        <f t="shared" si="7"/>
        <v>0</v>
      </c>
      <c r="H109" s="31">
        <f t="shared" si="7"/>
        <v>0</v>
      </c>
      <c r="I109" s="8">
        <f t="shared" si="7"/>
        <v>0</v>
      </c>
      <c r="J109" s="8">
        <f t="shared" si="5"/>
        <v>0</v>
      </c>
      <c r="K109" s="71">
        <f t="shared" si="6"/>
        <v>-1335753.5211267604</v>
      </c>
    </row>
    <row r="110" spans="1:11" x14ac:dyDescent="0.25">
      <c r="A110" s="38">
        <f>Données!A107</f>
        <v>5582</v>
      </c>
      <c r="B110" s="129" t="str">
        <f>Données!B107</f>
        <v>Cheseaux-sur-Lausanne</v>
      </c>
      <c r="C110" s="8">
        <f>Données!Z107</f>
        <v>4842</v>
      </c>
      <c r="D110" s="8">
        <f t="shared" si="8"/>
        <v>1000</v>
      </c>
      <c r="E110" s="160">
        <f t="shared" si="7"/>
        <v>2000</v>
      </c>
      <c r="F110" s="8">
        <f t="shared" si="7"/>
        <v>1842</v>
      </c>
      <c r="G110" s="160">
        <f t="shared" si="7"/>
        <v>0</v>
      </c>
      <c r="H110" s="31">
        <f t="shared" si="7"/>
        <v>0</v>
      </c>
      <c r="I110" s="8">
        <f t="shared" si="7"/>
        <v>0</v>
      </c>
      <c r="J110" s="8">
        <f t="shared" si="5"/>
        <v>0</v>
      </c>
      <c r="K110" s="71">
        <f t="shared" si="6"/>
        <v>-1832070.4225352108</v>
      </c>
    </row>
    <row r="111" spans="1:11" x14ac:dyDescent="0.25">
      <c r="A111" s="38">
        <f>Données!A108</f>
        <v>5583</v>
      </c>
      <c r="B111" s="129" t="str">
        <f>Données!B108</f>
        <v>Crissier</v>
      </c>
      <c r="C111" s="8">
        <f>Données!Z108</f>
        <v>9327</v>
      </c>
      <c r="D111" s="8">
        <f t="shared" si="8"/>
        <v>1000</v>
      </c>
      <c r="E111" s="160">
        <f t="shared" si="7"/>
        <v>2000</v>
      </c>
      <c r="F111" s="8">
        <f t="shared" si="7"/>
        <v>2000</v>
      </c>
      <c r="G111" s="160">
        <f t="shared" si="7"/>
        <v>4000</v>
      </c>
      <c r="H111" s="31">
        <f t="shared" si="7"/>
        <v>327</v>
      </c>
      <c r="I111" s="8">
        <f t="shared" si="7"/>
        <v>0</v>
      </c>
      <c r="J111" s="8">
        <f t="shared" si="5"/>
        <v>0</v>
      </c>
      <c r="K111" s="71">
        <f t="shared" si="6"/>
        <v>-4724926.4084507031</v>
      </c>
    </row>
    <row r="112" spans="1:11" x14ac:dyDescent="0.25">
      <c r="A112" s="38">
        <f>Données!A109</f>
        <v>5584</v>
      </c>
      <c r="B112" s="129" t="str">
        <f>Données!B109</f>
        <v>Epalinges</v>
      </c>
      <c r="C112" s="8">
        <f>Données!Z109</f>
        <v>9910</v>
      </c>
      <c r="D112" s="8">
        <f t="shared" si="8"/>
        <v>1000</v>
      </c>
      <c r="E112" s="160">
        <f t="shared" si="7"/>
        <v>2000</v>
      </c>
      <c r="F112" s="8">
        <f t="shared" si="7"/>
        <v>2000</v>
      </c>
      <c r="G112" s="160">
        <f t="shared" si="7"/>
        <v>4000</v>
      </c>
      <c r="H112" s="31">
        <f t="shared" si="7"/>
        <v>910</v>
      </c>
      <c r="I112" s="8">
        <f t="shared" si="7"/>
        <v>0</v>
      </c>
      <c r="J112" s="8">
        <f t="shared" si="5"/>
        <v>0</v>
      </c>
      <c r="K112" s="71">
        <f t="shared" si="6"/>
        <v>-5244904.9295774642</v>
      </c>
    </row>
    <row r="113" spans="1:11" x14ac:dyDescent="0.25">
      <c r="A113" s="38">
        <f>Données!A110</f>
        <v>5585</v>
      </c>
      <c r="B113" s="129" t="str">
        <f>Données!B110</f>
        <v>Jouxtens-Mézery</v>
      </c>
      <c r="C113" s="8">
        <f>Données!Z110</f>
        <v>1493</v>
      </c>
      <c r="D113" s="8">
        <f t="shared" si="8"/>
        <v>1000</v>
      </c>
      <c r="E113" s="160">
        <f t="shared" si="7"/>
        <v>493</v>
      </c>
      <c r="F113" s="8">
        <f t="shared" si="7"/>
        <v>0</v>
      </c>
      <c r="G113" s="160">
        <f t="shared" si="7"/>
        <v>0</v>
      </c>
      <c r="H113" s="31">
        <f t="shared" si="7"/>
        <v>0</v>
      </c>
      <c r="I113" s="8">
        <f t="shared" si="7"/>
        <v>0</v>
      </c>
      <c r="J113" s="8">
        <f t="shared" si="5"/>
        <v>0</v>
      </c>
      <c r="K113" s="71">
        <f t="shared" si="6"/>
        <v>-312217.95774647885</v>
      </c>
    </row>
    <row r="114" spans="1:11" x14ac:dyDescent="0.25">
      <c r="A114" s="38">
        <f>Données!A111</f>
        <v>5586</v>
      </c>
      <c r="B114" s="129" t="str">
        <f>Données!B111</f>
        <v>Lausanne</v>
      </c>
      <c r="C114" s="8">
        <f>Données!Z111</f>
        <v>144365</v>
      </c>
      <c r="D114" s="8">
        <f t="shared" si="8"/>
        <v>1000</v>
      </c>
      <c r="E114" s="160">
        <f t="shared" si="7"/>
        <v>2000</v>
      </c>
      <c r="F114" s="8">
        <f t="shared" si="7"/>
        <v>2000</v>
      </c>
      <c r="G114" s="160">
        <f t="shared" si="7"/>
        <v>4000</v>
      </c>
      <c r="H114" s="31">
        <f t="shared" si="7"/>
        <v>3000</v>
      </c>
      <c r="I114" s="8">
        <f t="shared" si="7"/>
        <v>3000</v>
      </c>
      <c r="J114" s="8">
        <f t="shared" si="5"/>
        <v>129365</v>
      </c>
      <c r="K114" s="71">
        <f t="shared" si="6"/>
        <v>-152786121.47887322</v>
      </c>
    </row>
    <row r="115" spans="1:11" x14ac:dyDescent="0.25">
      <c r="A115" s="38">
        <f>Données!A112</f>
        <v>5587</v>
      </c>
      <c r="B115" s="129" t="str">
        <f>Données!B112</f>
        <v>Le Mont-sur-Lausanne</v>
      </c>
      <c r="C115" s="8">
        <f>Données!Z112</f>
        <v>9274</v>
      </c>
      <c r="D115" s="8">
        <f t="shared" si="8"/>
        <v>1000</v>
      </c>
      <c r="E115" s="160">
        <f t="shared" si="7"/>
        <v>2000</v>
      </c>
      <c r="F115" s="8">
        <f t="shared" si="7"/>
        <v>2000</v>
      </c>
      <c r="G115" s="160">
        <f t="shared" si="7"/>
        <v>4000</v>
      </c>
      <c r="H115" s="31">
        <f t="shared" si="7"/>
        <v>274</v>
      </c>
      <c r="I115" s="8">
        <f t="shared" si="7"/>
        <v>0</v>
      </c>
      <c r="J115" s="8">
        <f t="shared" si="5"/>
        <v>0</v>
      </c>
      <c r="K115" s="71">
        <f t="shared" si="6"/>
        <v>-4677655.6338028163</v>
      </c>
    </row>
    <row r="116" spans="1:11" x14ac:dyDescent="0.25">
      <c r="A116" s="38">
        <f>Données!A113</f>
        <v>5588</v>
      </c>
      <c r="B116" s="129" t="str">
        <f>Données!B113</f>
        <v>Paudex</v>
      </c>
      <c r="C116" s="8">
        <f>Données!Z113</f>
        <v>1538</v>
      </c>
      <c r="D116" s="8">
        <f t="shared" si="8"/>
        <v>1000</v>
      </c>
      <c r="E116" s="160">
        <f t="shared" si="7"/>
        <v>538</v>
      </c>
      <c r="F116" s="8">
        <f t="shared" si="7"/>
        <v>0</v>
      </c>
      <c r="G116" s="160">
        <f t="shared" si="7"/>
        <v>0</v>
      </c>
      <c r="H116" s="31">
        <f t="shared" si="7"/>
        <v>0</v>
      </c>
      <c r="I116" s="8">
        <f t="shared" si="7"/>
        <v>0</v>
      </c>
      <c r="J116" s="8">
        <f t="shared" si="5"/>
        <v>0</v>
      </c>
      <c r="K116" s="71">
        <f t="shared" si="6"/>
        <v>-328744.36619718303</v>
      </c>
    </row>
    <row r="117" spans="1:11" x14ac:dyDescent="0.25">
      <c r="A117" s="38">
        <f>Données!A114</f>
        <v>5589</v>
      </c>
      <c r="B117" s="129" t="str">
        <f>Données!B114</f>
        <v>Prilly</v>
      </c>
      <c r="C117" s="8">
        <f>Données!Z114</f>
        <v>12439</v>
      </c>
      <c r="D117" s="8">
        <f t="shared" si="8"/>
        <v>1000</v>
      </c>
      <c r="E117" s="160">
        <f t="shared" si="7"/>
        <v>2000</v>
      </c>
      <c r="F117" s="8">
        <f t="shared" si="7"/>
        <v>2000</v>
      </c>
      <c r="G117" s="160">
        <f t="shared" si="7"/>
        <v>4000</v>
      </c>
      <c r="H117" s="31">
        <f t="shared" si="7"/>
        <v>3000</v>
      </c>
      <c r="I117" s="8">
        <f t="shared" si="7"/>
        <v>439</v>
      </c>
      <c r="J117" s="8">
        <f t="shared" si="5"/>
        <v>0</v>
      </c>
      <c r="K117" s="71">
        <f t="shared" si="6"/>
        <v>-7569619.7183098579</v>
      </c>
    </row>
    <row r="118" spans="1:11" x14ac:dyDescent="0.25">
      <c r="A118" s="38">
        <f>Données!A115</f>
        <v>5590</v>
      </c>
      <c r="B118" s="129" t="str">
        <f>Données!B115</f>
        <v>Pully</v>
      </c>
      <c r="C118" s="8">
        <f>Données!Z115</f>
        <v>19298</v>
      </c>
      <c r="D118" s="8">
        <f t="shared" si="8"/>
        <v>1000</v>
      </c>
      <c r="E118" s="160">
        <f t="shared" si="7"/>
        <v>2000</v>
      </c>
      <c r="F118" s="8">
        <f t="shared" si="7"/>
        <v>2000</v>
      </c>
      <c r="G118" s="160">
        <f t="shared" si="7"/>
        <v>4000</v>
      </c>
      <c r="H118" s="31">
        <f t="shared" si="7"/>
        <v>3000</v>
      </c>
      <c r="I118" s="8">
        <f t="shared" si="7"/>
        <v>3000</v>
      </c>
      <c r="J118" s="8">
        <f t="shared" si="5"/>
        <v>4298</v>
      </c>
      <c r="K118" s="71">
        <f t="shared" si="6"/>
        <v>-14992233.098591547</v>
      </c>
    </row>
    <row r="119" spans="1:11" x14ac:dyDescent="0.25">
      <c r="A119" s="38">
        <f>Données!A116</f>
        <v>5591</v>
      </c>
      <c r="B119" s="129" t="str">
        <f>Données!B116</f>
        <v>Renens</v>
      </c>
      <c r="C119" s="8">
        <f>Données!Z116</f>
        <v>21466</v>
      </c>
      <c r="D119" s="8">
        <f t="shared" si="8"/>
        <v>1000</v>
      </c>
      <c r="E119" s="160">
        <f t="shared" si="7"/>
        <v>2000</v>
      </c>
      <c r="F119" s="8">
        <f t="shared" si="7"/>
        <v>2000</v>
      </c>
      <c r="G119" s="160">
        <f t="shared" si="7"/>
        <v>4000</v>
      </c>
      <c r="H119" s="31">
        <f t="shared" si="7"/>
        <v>3000</v>
      </c>
      <c r="I119" s="8">
        <f t="shared" si="7"/>
        <v>3000</v>
      </c>
      <c r="J119" s="8">
        <f t="shared" si="5"/>
        <v>6466</v>
      </c>
      <c r="K119" s="71">
        <f t="shared" si="6"/>
        <v>-17380850</v>
      </c>
    </row>
    <row r="120" spans="1:11" x14ac:dyDescent="0.25">
      <c r="A120" s="38">
        <f>Données!A117</f>
        <v>5592</v>
      </c>
      <c r="B120" s="129" t="str">
        <f>Données!B117</f>
        <v>Romanel-sur-Lausanne</v>
      </c>
      <c r="C120" s="8">
        <f>Données!Z117</f>
        <v>3992</v>
      </c>
      <c r="D120" s="8">
        <f t="shared" si="8"/>
        <v>1000</v>
      </c>
      <c r="E120" s="160">
        <f t="shared" si="7"/>
        <v>2000</v>
      </c>
      <c r="F120" s="8">
        <f t="shared" si="7"/>
        <v>992</v>
      </c>
      <c r="G120" s="160">
        <f t="shared" si="7"/>
        <v>0</v>
      </c>
      <c r="H120" s="31">
        <f t="shared" si="7"/>
        <v>0</v>
      </c>
      <c r="I120" s="8">
        <f t="shared" si="7"/>
        <v>0</v>
      </c>
      <c r="J120" s="8">
        <f t="shared" si="5"/>
        <v>0</v>
      </c>
      <c r="K120" s="71">
        <f t="shared" si="6"/>
        <v>-1386119.7183098588</v>
      </c>
    </row>
    <row r="121" spans="1:11" x14ac:dyDescent="0.25">
      <c r="A121" s="38">
        <f>Données!A118</f>
        <v>5601</v>
      </c>
      <c r="B121" s="129" t="str">
        <f>Données!B118</f>
        <v>Chexbres</v>
      </c>
      <c r="C121" s="8">
        <f>Données!Z118</f>
        <v>2230</v>
      </c>
      <c r="D121" s="8">
        <f t="shared" si="8"/>
        <v>1000</v>
      </c>
      <c r="E121" s="160">
        <f t="shared" si="7"/>
        <v>1230</v>
      </c>
      <c r="F121" s="8">
        <f t="shared" si="7"/>
        <v>0</v>
      </c>
      <c r="G121" s="160">
        <f t="shared" si="7"/>
        <v>0</v>
      </c>
      <c r="H121" s="31">
        <f t="shared" si="7"/>
        <v>0</v>
      </c>
      <c r="I121" s="8">
        <f t="shared" si="7"/>
        <v>0</v>
      </c>
      <c r="J121" s="8">
        <f t="shared" si="5"/>
        <v>0</v>
      </c>
      <c r="K121" s="71">
        <f t="shared" si="6"/>
        <v>-582883.80281690136</v>
      </c>
    </row>
    <row r="122" spans="1:11" x14ac:dyDescent="0.25">
      <c r="A122" s="38">
        <f>Données!A119</f>
        <v>5604</v>
      </c>
      <c r="B122" s="129" t="str">
        <f>Données!B119</f>
        <v>Forel (Lavaux)</v>
      </c>
      <c r="C122" s="8">
        <f>Données!Z119</f>
        <v>2068</v>
      </c>
      <c r="D122" s="8">
        <f t="shared" si="8"/>
        <v>1000</v>
      </c>
      <c r="E122" s="160">
        <f t="shared" si="7"/>
        <v>1068</v>
      </c>
      <c r="F122" s="8">
        <f t="shared" si="7"/>
        <v>0</v>
      </c>
      <c r="G122" s="160">
        <f t="shared" si="7"/>
        <v>0</v>
      </c>
      <c r="H122" s="31">
        <f t="shared" si="7"/>
        <v>0</v>
      </c>
      <c r="I122" s="8">
        <f t="shared" si="7"/>
        <v>0</v>
      </c>
      <c r="J122" s="8">
        <f t="shared" si="5"/>
        <v>0</v>
      </c>
      <c r="K122" s="71">
        <f t="shared" si="6"/>
        <v>-523388.73239436618</v>
      </c>
    </row>
    <row r="123" spans="1:11" x14ac:dyDescent="0.25">
      <c r="A123" s="38">
        <f>Données!A120</f>
        <v>5606</v>
      </c>
      <c r="B123" s="129" t="str">
        <f>Données!B120</f>
        <v>Lutry</v>
      </c>
      <c r="C123" s="8">
        <f>Données!Z120</f>
        <v>10796</v>
      </c>
      <c r="D123" s="8">
        <f t="shared" si="8"/>
        <v>1000</v>
      </c>
      <c r="E123" s="160">
        <f t="shared" si="7"/>
        <v>2000</v>
      </c>
      <c r="F123" s="8">
        <f t="shared" si="7"/>
        <v>2000</v>
      </c>
      <c r="G123" s="160">
        <f t="shared" si="7"/>
        <v>4000</v>
      </c>
      <c r="H123" s="31">
        <f t="shared" si="7"/>
        <v>1796</v>
      </c>
      <c r="I123" s="8">
        <f t="shared" si="7"/>
        <v>0</v>
      </c>
      <c r="J123" s="8">
        <f t="shared" si="5"/>
        <v>0</v>
      </c>
      <c r="K123" s="71">
        <f t="shared" si="6"/>
        <v>-6035129.5774647873</v>
      </c>
    </row>
    <row r="124" spans="1:11" x14ac:dyDescent="0.25">
      <c r="A124" s="38">
        <f>Données!A121</f>
        <v>5607</v>
      </c>
      <c r="B124" s="129" t="str">
        <f>Données!B121</f>
        <v>Puidoux</v>
      </c>
      <c r="C124" s="8">
        <f>Données!Z121</f>
        <v>3012</v>
      </c>
      <c r="D124" s="8">
        <f t="shared" si="8"/>
        <v>1000</v>
      </c>
      <c r="E124" s="160">
        <f t="shared" si="7"/>
        <v>2000</v>
      </c>
      <c r="F124" s="8">
        <f t="shared" si="7"/>
        <v>12</v>
      </c>
      <c r="G124" s="160">
        <f t="shared" si="7"/>
        <v>0</v>
      </c>
      <c r="H124" s="31">
        <f t="shared" si="7"/>
        <v>0</v>
      </c>
      <c r="I124" s="8">
        <f t="shared" si="7"/>
        <v>0</v>
      </c>
      <c r="J124" s="8">
        <f t="shared" si="5"/>
        <v>0</v>
      </c>
      <c r="K124" s="71">
        <f t="shared" si="6"/>
        <v>-871964.78873239423</v>
      </c>
    </row>
    <row r="125" spans="1:11" x14ac:dyDescent="0.25">
      <c r="A125" s="38">
        <f>Données!A122</f>
        <v>5609</v>
      </c>
      <c r="B125" s="129" t="str">
        <f>Données!B122</f>
        <v>Rivaz</v>
      </c>
      <c r="C125" s="8">
        <f>Données!Z122</f>
        <v>326</v>
      </c>
      <c r="D125" s="8">
        <f t="shared" si="8"/>
        <v>326</v>
      </c>
      <c r="E125" s="160">
        <f t="shared" si="7"/>
        <v>0</v>
      </c>
      <c r="F125" s="8">
        <f t="shared" si="7"/>
        <v>0</v>
      </c>
      <c r="G125" s="160">
        <f t="shared" si="7"/>
        <v>0</v>
      </c>
      <c r="H125" s="31">
        <f t="shared" si="7"/>
        <v>0</v>
      </c>
      <c r="I125" s="8">
        <f t="shared" si="7"/>
        <v>0</v>
      </c>
      <c r="J125" s="8">
        <f t="shared" si="5"/>
        <v>0</v>
      </c>
      <c r="K125" s="71">
        <f t="shared" si="6"/>
        <v>-42758.8028169014</v>
      </c>
    </row>
    <row r="126" spans="1:11" x14ac:dyDescent="0.25">
      <c r="A126" s="38">
        <f>Données!A123</f>
        <v>5610</v>
      </c>
      <c r="B126" s="129" t="str">
        <f>Données!B123</f>
        <v>St-Saphorin (Lavaux)</v>
      </c>
      <c r="C126" s="8">
        <f>Données!Z123</f>
        <v>391</v>
      </c>
      <c r="D126" s="8">
        <f t="shared" si="8"/>
        <v>391</v>
      </c>
      <c r="E126" s="160">
        <f t="shared" si="7"/>
        <v>0</v>
      </c>
      <c r="F126" s="8">
        <f t="shared" si="7"/>
        <v>0</v>
      </c>
      <c r="G126" s="160">
        <f t="shared" si="7"/>
        <v>0</v>
      </c>
      <c r="H126" s="31">
        <f t="shared" si="7"/>
        <v>0</v>
      </c>
      <c r="I126" s="8">
        <f t="shared" si="7"/>
        <v>0</v>
      </c>
      <c r="J126" s="8">
        <f t="shared" si="5"/>
        <v>0</v>
      </c>
      <c r="K126" s="71">
        <f t="shared" si="6"/>
        <v>-51284.330985915483</v>
      </c>
    </row>
    <row r="127" spans="1:11" x14ac:dyDescent="0.25">
      <c r="A127" s="38">
        <f>Données!A124</f>
        <v>5611</v>
      </c>
      <c r="B127" s="129" t="str">
        <f>Données!B124</f>
        <v>Savigny</v>
      </c>
      <c r="C127" s="8">
        <f>Données!Z124</f>
        <v>3448</v>
      </c>
      <c r="D127" s="8">
        <f t="shared" si="8"/>
        <v>1000</v>
      </c>
      <c r="E127" s="160">
        <f t="shared" si="7"/>
        <v>2000</v>
      </c>
      <c r="F127" s="8">
        <f t="shared" si="7"/>
        <v>448</v>
      </c>
      <c r="G127" s="160">
        <f t="shared" si="7"/>
        <v>0</v>
      </c>
      <c r="H127" s="31">
        <f t="shared" si="7"/>
        <v>0</v>
      </c>
      <c r="I127" s="8">
        <f t="shared" si="7"/>
        <v>0</v>
      </c>
      <c r="J127" s="8">
        <f t="shared" si="5"/>
        <v>0</v>
      </c>
      <c r="K127" s="71">
        <f t="shared" si="6"/>
        <v>-1100711.2676056337</v>
      </c>
    </row>
    <row r="128" spans="1:11" x14ac:dyDescent="0.25">
      <c r="A128" s="38">
        <f>Données!A125</f>
        <v>5613</v>
      </c>
      <c r="B128" s="129" t="str">
        <f>Données!B125</f>
        <v>Bourg-en-Lavaux</v>
      </c>
      <c r="C128" s="8">
        <f>Données!Z125</f>
        <v>5411</v>
      </c>
      <c r="D128" s="8">
        <f t="shared" si="8"/>
        <v>1000</v>
      </c>
      <c r="E128" s="160">
        <f t="shared" si="7"/>
        <v>2000</v>
      </c>
      <c r="F128" s="8">
        <f t="shared" si="7"/>
        <v>2000</v>
      </c>
      <c r="G128" s="160">
        <f t="shared" si="7"/>
        <v>411</v>
      </c>
      <c r="H128" s="31">
        <f t="shared" si="7"/>
        <v>0</v>
      </c>
      <c r="I128" s="8">
        <f t="shared" si="7"/>
        <v>0</v>
      </c>
      <c r="J128" s="8">
        <f t="shared" si="5"/>
        <v>0</v>
      </c>
      <c r="K128" s="71">
        <f t="shared" si="6"/>
        <v>-2173721.1267605629</v>
      </c>
    </row>
    <row r="129" spans="1:11" x14ac:dyDescent="0.25">
      <c r="A129" s="38">
        <f>Données!A126</f>
        <v>5621</v>
      </c>
      <c r="B129" s="129" t="str">
        <f>Données!B126</f>
        <v>Aclens</v>
      </c>
      <c r="C129" s="8">
        <f>Données!Z126</f>
        <v>578</v>
      </c>
      <c r="D129" s="8">
        <f t="shared" si="8"/>
        <v>578</v>
      </c>
      <c r="E129" s="160">
        <f t="shared" si="7"/>
        <v>0</v>
      </c>
      <c r="F129" s="8">
        <f t="shared" si="7"/>
        <v>0</v>
      </c>
      <c r="G129" s="160">
        <f t="shared" si="7"/>
        <v>0</v>
      </c>
      <c r="H129" s="31">
        <f t="shared" si="7"/>
        <v>0</v>
      </c>
      <c r="I129" s="8">
        <f t="shared" si="7"/>
        <v>0</v>
      </c>
      <c r="J129" s="8">
        <f t="shared" si="5"/>
        <v>0</v>
      </c>
      <c r="K129" s="71">
        <f t="shared" si="6"/>
        <v>-75811.619718309841</v>
      </c>
    </row>
    <row r="130" spans="1:11" x14ac:dyDescent="0.25">
      <c r="A130" s="38">
        <f>Données!A127</f>
        <v>5622</v>
      </c>
      <c r="B130" s="129" t="str">
        <f>Données!B127</f>
        <v>Bremblens</v>
      </c>
      <c r="C130" s="8">
        <f>Données!Z127</f>
        <v>614</v>
      </c>
      <c r="D130" s="8">
        <f t="shared" si="8"/>
        <v>614</v>
      </c>
      <c r="E130" s="160">
        <f t="shared" si="7"/>
        <v>0</v>
      </c>
      <c r="F130" s="8">
        <f t="shared" si="7"/>
        <v>0</v>
      </c>
      <c r="G130" s="160">
        <f t="shared" si="7"/>
        <v>0</v>
      </c>
      <c r="H130" s="31">
        <f t="shared" si="7"/>
        <v>0</v>
      </c>
      <c r="I130" s="8">
        <f t="shared" si="7"/>
        <v>0</v>
      </c>
      <c r="J130" s="8">
        <f t="shared" si="5"/>
        <v>0</v>
      </c>
      <c r="K130" s="71">
        <f t="shared" si="6"/>
        <v>-80533.450704225339</v>
      </c>
    </row>
    <row r="131" spans="1:11" x14ac:dyDescent="0.25">
      <c r="A131" s="38">
        <f>Données!A128</f>
        <v>5623</v>
      </c>
      <c r="B131" s="129" t="str">
        <f>Données!B128</f>
        <v>Buchillon</v>
      </c>
      <c r="C131" s="8">
        <f>Données!Z128</f>
        <v>687</v>
      </c>
      <c r="D131" s="8">
        <f t="shared" si="8"/>
        <v>687</v>
      </c>
      <c r="E131" s="160">
        <f t="shared" si="7"/>
        <v>0</v>
      </c>
      <c r="F131" s="8">
        <f t="shared" si="7"/>
        <v>0</v>
      </c>
      <c r="G131" s="160">
        <f t="shared" si="7"/>
        <v>0</v>
      </c>
      <c r="H131" s="31">
        <f t="shared" si="7"/>
        <v>0</v>
      </c>
      <c r="I131" s="8">
        <f t="shared" si="7"/>
        <v>0</v>
      </c>
      <c r="J131" s="8">
        <f t="shared" si="5"/>
        <v>0</v>
      </c>
      <c r="K131" s="71">
        <f t="shared" si="6"/>
        <v>-90108.274647887301</v>
      </c>
    </row>
    <row r="132" spans="1:11" x14ac:dyDescent="0.25">
      <c r="A132" s="38">
        <f>Données!A129</f>
        <v>5624</v>
      </c>
      <c r="B132" s="129" t="str">
        <f>Données!B129</f>
        <v>Bussigny</v>
      </c>
      <c r="C132" s="8">
        <f>Données!Z129</f>
        <v>10645</v>
      </c>
      <c r="D132" s="8">
        <f t="shared" si="8"/>
        <v>1000</v>
      </c>
      <c r="E132" s="160">
        <f t="shared" si="7"/>
        <v>2000</v>
      </c>
      <c r="F132" s="8">
        <f t="shared" si="7"/>
        <v>2000</v>
      </c>
      <c r="G132" s="160">
        <f t="shared" si="7"/>
        <v>4000</v>
      </c>
      <c r="H132" s="31">
        <f t="shared" si="7"/>
        <v>1645</v>
      </c>
      <c r="I132" s="8">
        <f t="shared" si="7"/>
        <v>0</v>
      </c>
      <c r="J132" s="8">
        <f t="shared" si="5"/>
        <v>0</v>
      </c>
      <c r="K132" s="71">
        <f t="shared" si="6"/>
        <v>-5900452.4647887312</v>
      </c>
    </row>
    <row r="133" spans="1:11" x14ac:dyDescent="0.25">
      <c r="A133" s="38">
        <f>Données!A130</f>
        <v>5627</v>
      </c>
      <c r="B133" s="129" t="str">
        <f>Données!B130</f>
        <v>Chavannes-près-Renens</v>
      </c>
      <c r="C133" s="8">
        <f>Données!Z130</f>
        <v>9337</v>
      </c>
      <c r="D133" s="8">
        <f t="shared" si="8"/>
        <v>1000</v>
      </c>
      <c r="E133" s="160">
        <f t="shared" si="7"/>
        <v>2000</v>
      </c>
      <c r="F133" s="8">
        <f t="shared" si="7"/>
        <v>2000</v>
      </c>
      <c r="G133" s="160">
        <f t="shared" si="7"/>
        <v>4000</v>
      </c>
      <c r="H133" s="31">
        <f t="shared" si="7"/>
        <v>337</v>
      </c>
      <c r="I133" s="8">
        <f t="shared" si="7"/>
        <v>0</v>
      </c>
      <c r="J133" s="8">
        <f t="shared" si="5"/>
        <v>0</v>
      </c>
      <c r="K133" s="71">
        <f t="shared" si="6"/>
        <v>-4733845.4225352099</v>
      </c>
    </row>
    <row r="134" spans="1:11" x14ac:dyDescent="0.25">
      <c r="A134" s="38">
        <f>Données!A131</f>
        <v>5628</v>
      </c>
      <c r="B134" s="129" t="str">
        <f>Données!B131</f>
        <v>Chigny</v>
      </c>
      <c r="C134" s="8">
        <f>Données!Z131</f>
        <v>422</v>
      </c>
      <c r="D134" s="8">
        <f t="shared" si="8"/>
        <v>422</v>
      </c>
      <c r="E134" s="160">
        <f t="shared" si="7"/>
        <v>0</v>
      </c>
      <c r="F134" s="8">
        <f t="shared" si="7"/>
        <v>0</v>
      </c>
      <c r="G134" s="160">
        <f t="shared" si="7"/>
        <v>0</v>
      </c>
      <c r="H134" s="31">
        <f t="shared" si="7"/>
        <v>0</v>
      </c>
      <c r="I134" s="8">
        <f t="shared" si="7"/>
        <v>0</v>
      </c>
      <c r="J134" s="8">
        <f t="shared" si="5"/>
        <v>0</v>
      </c>
      <c r="K134" s="71">
        <f t="shared" si="6"/>
        <v>-55350.352112676046</v>
      </c>
    </row>
    <row r="135" spans="1:11" x14ac:dyDescent="0.25">
      <c r="A135" s="38">
        <f>Données!A132</f>
        <v>5629</v>
      </c>
      <c r="B135" s="129" t="str">
        <f>Données!B132</f>
        <v>Clarmont</v>
      </c>
      <c r="C135" s="8">
        <f>Données!Z132</f>
        <v>219</v>
      </c>
      <c r="D135" s="8">
        <f t="shared" si="8"/>
        <v>219</v>
      </c>
      <c r="E135" s="160">
        <f t="shared" si="7"/>
        <v>0</v>
      </c>
      <c r="F135" s="8">
        <f t="shared" si="7"/>
        <v>0</v>
      </c>
      <c r="G135" s="160">
        <f t="shared" si="7"/>
        <v>0</v>
      </c>
      <c r="H135" s="31">
        <f t="shared" si="7"/>
        <v>0</v>
      </c>
      <c r="I135" s="8">
        <f t="shared" si="7"/>
        <v>0</v>
      </c>
      <c r="J135" s="8">
        <f t="shared" si="5"/>
        <v>0</v>
      </c>
      <c r="K135" s="71">
        <f t="shared" si="6"/>
        <v>-28724.471830985909</v>
      </c>
    </row>
    <row r="136" spans="1:11" x14ac:dyDescent="0.25">
      <c r="A136" s="38">
        <f>Données!A133</f>
        <v>5631</v>
      </c>
      <c r="B136" s="129" t="str">
        <f>Données!B133</f>
        <v>Denens</v>
      </c>
      <c r="C136" s="8">
        <f>Données!Z133</f>
        <v>742</v>
      </c>
      <c r="D136" s="8">
        <f t="shared" si="8"/>
        <v>742</v>
      </c>
      <c r="E136" s="160">
        <f t="shared" si="7"/>
        <v>0</v>
      </c>
      <c r="F136" s="8">
        <f t="shared" si="7"/>
        <v>0</v>
      </c>
      <c r="G136" s="160">
        <f t="shared" si="7"/>
        <v>0</v>
      </c>
      <c r="H136" s="31">
        <f t="shared" si="7"/>
        <v>0</v>
      </c>
      <c r="I136" s="8">
        <f t="shared" si="7"/>
        <v>0</v>
      </c>
      <c r="J136" s="8">
        <f t="shared" si="5"/>
        <v>0</v>
      </c>
      <c r="K136" s="71">
        <f t="shared" si="6"/>
        <v>-97322.183098591529</v>
      </c>
    </row>
    <row r="137" spans="1:11" x14ac:dyDescent="0.25">
      <c r="A137" s="38">
        <f>Données!A134</f>
        <v>5632</v>
      </c>
      <c r="B137" s="129" t="str">
        <f>Données!B134</f>
        <v>Denges</v>
      </c>
      <c r="C137" s="8">
        <f>Données!Z134</f>
        <v>1821</v>
      </c>
      <c r="D137" s="8">
        <f t="shared" si="8"/>
        <v>1000</v>
      </c>
      <c r="E137" s="160">
        <f t="shared" si="7"/>
        <v>821</v>
      </c>
      <c r="F137" s="8">
        <f t="shared" si="7"/>
        <v>0</v>
      </c>
      <c r="G137" s="160">
        <f t="shared" si="7"/>
        <v>0</v>
      </c>
      <c r="H137" s="31">
        <f t="shared" si="7"/>
        <v>0</v>
      </c>
      <c r="I137" s="8">
        <f t="shared" si="7"/>
        <v>0</v>
      </c>
      <c r="J137" s="8">
        <f t="shared" si="5"/>
        <v>0</v>
      </c>
      <c r="K137" s="71">
        <f t="shared" si="6"/>
        <v>-432677.11267605622</v>
      </c>
    </row>
    <row r="138" spans="1:11" x14ac:dyDescent="0.25">
      <c r="A138" s="38">
        <f>Données!A135</f>
        <v>5633</v>
      </c>
      <c r="B138" s="129" t="str">
        <f>Données!B135</f>
        <v>Echandens</v>
      </c>
      <c r="C138" s="8">
        <f>Données!Z135</f>
        <v>2910</v>
      </c>
      <c r="D138" s="8">
        <f t="shared" si="8"/>
        <v>1000</v>
      </c>
      <c r="E138" s="160">
        <f t="shared" si="7"/>
        <v>1910</v>
      </c>
      <c r="F138" s="8">
        <f t="shared" si="7"/>
        <v>0</v>
      </c>
      <c r="G138" s="160">
        <f t="shared" si="7"/>
        <v>0</v>
      </c>
      <c r="H138" s="31">
        <f t="shared" si="7"/>
        <v>0</v>
      </c>
      <c r="I138" s="8">
        <f t="shared" si="7"/>
        <v>0</v>
      </c>
      <c r="J138" s="8">
        <f t="shared" ref="J138:J201" si="9">IF(C138&gt;$J$5,C138-$J$5,0)</f>
        <v>0</v>
      </c>
      <c r="K138" s="71">
        <f t="shared" ref="K138:K201" si="10">-((D138*D$8)+(E138*E$8)+(F138*F$8)+(G138*G$8)+(H138*H$8)+(I138*I$8)+(J138*J$8))</f>
        <v>-832616.19718309841</v>
      </c>
    </row>
    <row r="139" spans="1:11" x14ac:dyDescent="0.25">
      <c r="A139" s="38">
        <f>Données!A136</f>
        <v>5634</v>
      </c>
      <c r="B139" s="129" t="str">
        <f>Données!B136</f>
        <v>Echichens</v>
      </c>
      <c r="C139" s="8">
        <f>Données!Z136</f>
        <v>3181</v>
      </c>
      <c r="D139" s="8">
        <f t="shared" si="8"/>
        <v>1000</v>
      </c>
      <c r="E139" s="160">
        <f t="shared" si="7"/>
        <v>2000</v>
      </c>
      <c r="F139" s="8">
        <f t="shared" si="7"/>
        <v>181</v>
      </c>
      <c r="G139" s="160">
        <f t="shared" si="7"/>
        <v>0</v>
      </c>
      <c r="H139" s="31">
        <f t="shared" si="7"/>
        <v>0</v>
      </c>
      <c r="I139" s="8">
        <f t="shared" si="7"/>
        <v>0</v>
      </c>
      <c r="J139" s="8">
        <f t="shared" si="9"/>
        <v>0</v>
      </c>
      <c r="K139" s="71">
        <f t="shared" si="10"/>
        <v>-960630.28169014072</v>
      </c>
    </row>
    <row r="140" spans="1:11" x14ac:dyDescent="0.25">
      <c r="A140" s="38">
        <f>Données!A137</f>
        <v>5635</v>
      </c>
      <c r="B140" s="129" t="str">
        <f>Données!B137</f>
        <v>Ecublens</v>
      </c>
      <c r="C140" s="8">
        <f>Données!Z137</f>
        <v>13334</v>
      </c>
      <c r="D140" s="8">
        <f t="shared" si="8"/>
        <v>1000</v>
      </c>
      <c r="E140" s="160">
        <f t="shared" si="7"/>
        <v>2000</v>
      </c>
      <c r="F140" s="8">
        <f t="shared" si="7"/>
        <v>2000</v>
      </c>
      <c r="G140" s="160">
        <f t="shared" si="7"/>
        <v>4000</v>
      </c>
      <c r="H140" s="31">
        <f t="shared" si="7"/>
        <v>3000</v>
      </c>
      <c r="I140" s="8">
        <f t="shared" si="7"/>
        <v>1334</v>
      </c>
      <c r="J140" s="8">
        <f t="shared" si="9"/>
        <v>0</v>
      </c>
      <c r="K140" s="71">
        <f t="shared" si="10"/>
        <v>-8508739.4366197176</v>
      </c>
    </row>
    <row r="141" spans="1:11" x14ac:dyDescent="0.25">
      <c r="A141" s="38">
        <f>Données!A138</f>
        <v>5636</v>
      </c>
      <c r="B141" s="129" t="str">
        <f>Données!B138</f>
        <v>Etoy</v>
      </c>
      <c r="C141" s="8">
        <f>Données!Z138</f>
        <v>2920</v>
      </c>
      <c r="D141" s="8">
        <f t="shared" si="8"/>
        <v>1000</v>
      </c>
      <c r="E141" s="160">
        <f t="shared" si="7"/>
        <v>1920</v>
      </c>
      <c r="F141" s="8">
        <f t="shared" si="7"/>
        <v>0</v>
      </c>
      <c r="G141" s="160">
        <f t="shared" si="7"/>
        <v>0</v>
      </c>
      <c r="H141" s="31">
        <f t="shared" si="7"/>
        <v>0</v>
      </c>
      <c r="I141" s="8">
        <f t="shared" si="7"/>
        <v>0</v>
      </c>
      <c r="J141" s="8">
        <f t="shared" si="9"/>
        <v>0</v>
      </c>
      <c r="K141" s="71">
        <f t="shared" si="10"/>
        <v>-836288.73239436606</v>
      </c>
    </row>
    <row r="142" spans="1:11" x14ac:dyDescent="0.25">
      <c r="A142" s="38">
        <f>Données!A139</f>
        <v>5637</v>
      </c>
      <c r="B142" s="129" t="str">
        <f>Données!B139</f>
        <v>Lavigny</v>
      </c>
      <c r="C142" s="8">
        <f>Données!Z139</f>
        <v>1052</v>
      </c>
      <c r="D142" s="8">
        <f t="shared" si="8"/>
        <v>1000</v>
      </c>
      <c r="E142" s="160">
        <f t="shared" si="7"/>
        <v>52</v>
      </c>
      <c r="F142" s="8">
        <f t="shared" si="7"/>
        <v>0</v>
      </c>
      <c r="G142" s="160">
        <f t="shared" si="7"/>
        <v>0</v>
      </c>
      <c r="H142" s="31">
        <f t="shared" si="7"/>
        <v>0</v>
      </c>
      <c r="I142" s="8">
        <f t="shared" si="7"/>
        <v>0</v>
      </c>
      <c r="J142" s="8">
        <f t="shared" si="9"/>
        <v>0</v>
      </c>
      <c r="K142" s="71">
        <f t="shared" si="10"/>
        <v>-150259.15492957743</v>
      </c>
    </row>
    <row r="143" spans="1:11" x14ac:dyDescent="0.25">
      <c r="A143" s="38">
        <f>Données!A140</f>
        <v>5638</v>
      </c>
      <c r="B143" s="129" t="str">
        <f>Données!B140</f>
        <v>Lonay</v>
      </c>
      <c r="C143" s="8">
        <f>Données!Z140</f>
        <v>2693</v>
      </c>
      <c r="D143" s="8">
        <f t="shared" si="8"/>
        <v>1000</v>
      </c>
      <c r="E143" s="160">
        <f t="shared" si="7"/>
        <v>1693</v>
      </c>
      <c r="F143" s="8">
        <f t="shared" si="7"/>
        <v>0</v>
      </c>
      <c r="G143" s="160">
        <f t="shared" si="7"/>
        <v>0</v>
      </c>
      <c r="H143" s="31">
        <f t="shared" si="7"/>
        <v>0</v>
      </c>
      <c r="I143" s="8">
        <f t="shared" si="7"/>
        <v>0</v>
      </c>
      <c r="J143" s="8">
        <f t="shared" si="9"/>
        <v>0</v>
      </c>
      <c r="K143" s="71">
        <f t="shared" si="10"/>
        <v>-752922.1830985914</v>
      </c>
    </row>
    <row r="144" spans="1:11" x14ac:dyDescent="0.25">
      <c r="A144" s="38">
        <f>Données!A141</f>
        <v>5639</v>
      </c>
      <c r="B144" s="129" t="str">
        <f>Données!B141</f>
        <v>Lully</v>
      </c>
      <c r="C144" s="8">
        <f>Données!Z141</f>
        <v>833</v>
      </c>
      <c r="D144" s="8">
        <f t="shared" si="8"/>
        <v>833</v>
      </c>
      <c r="E144" s="160">
        <f t="shared" si="7"/>
        <v>0</v>
      </c>
      <c r="F144" s="8">
        <f t="shared" si="7"/>
        <v>0</v>
      </c>
      <c r="G144" s="160">
        <f t="shared" si="7"/>
        <v>0</v>
      </c>
      <c r="H144" s="31">
        <f t="shared" si="7"/>
        <v>0</v>
      </c>
      <c r="I144" s="8">
        <f t="shared" si="7"/>
        <v>0</v>
      </c>
      <c r="J144" s="8">
        <f t="shared" si="9"/>
        <v>0</v>
      </c>
      <c r="K144" s="71">
        <f t="shared" si="10"/>
        <v>-109257.92253521124</v>
      </c>
    </row>
    <row r="145" spans="1:11" x14ac:dyDescent="0.25">
      <c r="A145" s="38">
        <f>Données!A142</f>
        <v>5640</v>
      </c>
      <c r="B145" s="129" t="str">
        <f>Données!B142</f>
        <v>Lussy-sur-Morges</v>
      </c>
      <c r="C145" s="8">
        <f>Données!Z142</f>
        <v>732</v>
      </c>
      <c r="D145" s="8">
        <f t="shared" si="8"/>
        <v>732</v>
      </c>
      <c r="E145" s="160">
        <f t="shared" si="7"/>
        <v>0</v>
      </c>
      <c r="F145" s="8">
        <f t="shared" si="7"/>
        <v>0</v>
      </c>
      <c r="G145" s="160">
        <f t="shared" si="7"/>
        <v>0</v>
      </c>
      <c r="H145" s="31">
        <f t="shared" si="7"/>
        <v>0</v>
      </c>
      <c r="I145" s="8">
        <f t="shared" si="7"/>
        <v>0</v>
      </c>
      <c r="J145" s="8">
        <f t="shared" si="9"/>
        <v>0</v>
      </c>
      <c r="K145" s="71">
        <f t="shared" si="10"/>
        <v>-96010.563380281674</v>
      </c>
    </row>
    <row r="146" spans="1:11" x14ac:dyDescent="0.25">
      <c r="A146" s="38">
        <f>Données!A143</f>
        <v>5642</v>
      </c>
      <c r="B146" s="129" t="str">
        <f>Données!B143</f>
        <v>Morges</v>
      </c>
      <c r="C146" s="8">
        <f>Données!Z143</f>
        <v>17755</v>
      </c>
      <c r="D146" s="8">
        <f t="shared" si="8"/>
        <v>1000</v>
      </c>
      <c r="E146" s="160">
        <f t="shared" si="7"/>
        <v>2000</v>
      </c>
      <c r="F146" s="8">
        <f t="shared" si="7"/>
        <v>2000</v>
      </c>
      <c r="G146" s="160">
        <f t="shared" si="7"/>
        <v>4000</v>
      </c>
      <c r="H146" s="31">
        <f t="shared" si="7"/>
        <v>3000</v>
      </c>
      <c r="I146" s="8">
        <f t="shared" si="7"/>
        <v>3000</v>
      </c>
      <c r="J146" s="8">
        <f t="shared" si="9"/>
        <v>2755</v>
      </c>
      <c r="K146" s="71">
        <f t="shared" si="10"/>
        <v>-13292216.549295772</v>
      </c>
    </row>
    <row r="147" spans="1:11" x14ac:dyDescent="0.25">
      <c r="A147" s="38">
        <f>Données!A144</f>
        <v>5643</v>
      </c>
      <c r="B147" s="129" t="str">
        <f>Données!B144</f>
        <v>Préverenges</v>
      </c>
      <c r="C147" s="8">
        <f>Données!Z144</f>
        <v>5223</v>
      </c>
      <c r="D147" s="8">
        <f t="shared" si="8"/>
        <v>1000</v>
      </c>
      <c r="E147" s="160">
        <f t="shared" si="7"/>
        <v>2000</v>
      </c>
      <c r="F147" s="8">
        <f t="shared" si="7"/>
        <v>2000</v>
      </c>
      <c r="G147" s="160">
        <f t="shared" si="7"/>
        <v>223</v>
      </c>
      <c r="H147" s="31">
        <f t="shared" si="7"/>
        <v>0</v>
      </c>
      <c r="I147" s="8">
        <f t="shared" si="7"/>
        <v>0</v>
      </c>
      <c r="J147" s="8">
        <f t="shared" si="9"/>
        <v>0</v>
      </c>
      <c r="K147" s="71">
        <f t="shared" si="10"/>
        <v>-2055360.5633802814</v>
      </c>
    </row>
    <row r="148" spans="1:11" x14ac:dyDescent="0.25">
      <c r="A148" s="38">
        <f>Données!A145</f>
        <v>5645</v>
      </c>
      <c r="B148" s="129" t="str">
        <f>Données!B145</f>
        <v>Romanel-sur-Morges</v>
      </c>
      <c r="C148" s="8">
        <f>Données!Z145</f>
        <v>462</v>
      </c>
      <c r="D148" s="8">
        <f t="shared" si="8"/>
        <v>462</v>
      </c>
      <c r="E148" s="160">
        <f t="shared" si="7"/>
        <v>0</v>
      </c>
      <c r="F148" s="8">
        <f t="shared" si="7"/>
        <v>0</v>
      </c>
      <c r="G148" s="160">
        <f t="shared" si="7"/>
        <v>0</v>
      </c>
      <c r="H148" s="31">
        <f t="shared" si="7"/>
        <v>0</v>
      </c>
      <c r="I148" s="8">
        <f t="shared" si="7"/>
        <v>0</v>
      </c>
      <c r="J148" s="8">
        <f t="shared" si="9"/>
        <v>0</v>
      </c>
      <c r="K148" s="71">
        <f t="shared" si="10"/>
        <v>-60596.830985915483</v>
      </c>
    </row>
    <row r="149" spans="1:11" x14ac:dyDescent="0.25">
      <c r="A149" s="38">
        <f>Données!A146</f>
        <v>5646</v>
      </c>
      <c r="B149" s="129" t="str">
        <f>Données!B146</f>
        <v>Saint-Prex</v>
      </c>
      <c r="C149" s="8">
        <f>Données!Z146</f>
        <v>5907</v>
      </c>
      <c r="D149" s="8">
        <f t="shared" si="8"/>
        <v>1000</v>
      </c>
      <c r="E149" s="160">
        <f t="shared" si="7"/>
        <v>2000</v>
      </c>
      <c r="F149" s="8">
        <f t="shared" si="7"/>
        <v>2000</v>
      </c>
      <c r="G149" s="160">
        <f t="shared" si="7"/>
        <v>907</v>
      </c>
      <c r="H149" s="31">
        <f t="shared" si="7"/>
        <v>0</v>
      </c>
      <c r="I149" s="8">
        <f t="shared" si="7"/>
        <v>0</v>
      </c>
      <c r="J149" s="8">
        <f t="shared" si="9"/>
        <v>0</v>
      </c>
      <c r="K149" s="71">
        <f t="shared" si="10"/>
        <v>-2485991.5492957742</v>
      </c>
    </row>
    <row r="150" spans="1:11" x14ac:dyDescent="0.25">
      <c r="A150" s="38">
        <f>Données!A147</f>
        <v>5648</v>
      </c>
      <c r="B150" s="129" t="str">
        <f>Données!B147</f>
        <v>Saint-Sulpice</v>
      </c>
      <c r="C150" s="8">
        <f>Données!Z147</f>
        <v>5138</v>
      </c>
      <c r="D150" s="8">
        <f t="shared" si="8"/>
        <v>1000</v>
      </c>
      <c r="E150" s="160">
        <f t="shared" si="7"/>
        <v>2000</v>
      </c>
      <c r="F150" s="8">
        <f t="shared" si="7"/>
        <v>2000</v>
      </c>
      <c r="G150" s="160">
        <f t="shared" si="7"/>
        <v>138</v>
      </c>
      <c r="H150" s="31">
        <f t="shared" si="7"/>
        <v>0</v>
      </c>
      <c r="I150" s="8">
        <f t="shared" si="7"/>
        <v>0</v>
      </c>
      <c r="J150" s="8">
        <f t="shared" si="9"/>
        <v>0</v>
      </c>
      <c r="K150" s="71">
        <f t="shared" si="10"/>
        <v>-2001846.4788732391</v>
      </c>
    </row>
    <row r="151" spans="1:11" x14ac:dyDescent="0.25">
      <c r="A151" s="38">
        <f>Données!A148</f>
        <v>5649</v>
      </c>
      <c r="B151" s="129" t="str">
        <f>Données!B148</f>
        <v>Tolochenaz</v>
      </c>
      <c r="C151" s="8">
        <f>Données!Z148</f>
        <v>1922</v>
      </c>
      <c r="D151" s="8">
        <f t="shared" si="8"/>
        <v>1000</v>
      </c>
      <c r="E151" s="160">
        <f t="shared" si="7"/>
        <v>922</v>
      </c>
      <c r="F151" s="8">
        <f t="shared" si="7"/>
        <v>0</v>
      </c>
      <c r="G151" s="160">
        <f t="shared" si="7"/>
        <v>0</v>
      </c>
      <c r="H151" s="31">
        <f t="shared" si="7"/>
        <v>0</v>
      </c>
      <c r="I151" s="8">
        <f t="shared" si="7"/>
        <v>0</v>
      </c>
      <c r="J151" s="8">
        <f t="shared" si="9"/>
        <v>0</v>
      </c>
      <c r="K151" s="71">
        <f t="shared" si="10"/>
        <v>-469769.71830985905</v>
      </c>
    </row>
    <row r="152" spans="1:11" x14ac:dyDescent="0.25">
      <c r="A152" s="38">
        <f>Données!A149</f>
        <v>5650</v>
      </c>
      <c r="B152" s="129" t="str">
        <f>Données!B149</f>
        <v>Vaux-sur-Morges</v>
      </c>
      <c r="C152" s="8">
        <f>Données!Z149</f>
        <v>180</v>
      </c>
      <c r="D152" s="8">
        <f t="shared" si="8"/>
        <v>180</v>
      </c>
      <c r="E152" s="160">
        <f t="shared" si="7"/>
        <v>0</v>
      </c>
      <c r="F152" s="8">
        <f t="shared" si="7"/>
        <v>0</v>
      </c>
      <c r="G152" s="160">
        <f t="shared" si="7"/>
        <v>0</v>
      </c>
      <c r="H152" s="31">
        <f t="shared" si="7"/>
        <v>0</v>
      </c>
      <c r="I152" s="8">
        <f t="shared" si="7"/>
        <v>0</v>
      </c>
      <c r="J152" s="8">
        <f t="shared" si="9"/>
        <v>0</v>
      </c>
      <c r="K152" s="71">
        <f t="shared" si="10"/>
        <v>-23609.15492957746</v>
      </c>
    </row>
    <row r="153" spans="1:11" x14ac:dyDescent="0.25">
      <c r="A153" s="38">
        <f>Données!A150</f>
        <v>5651</v>
      </c>
      <c r="B153" s="129" t="str">
        <f>Données!B150</f>
        <v>Villars-Sainte-Croix</v>
      </c>
      <c r="C153" s="8">
        <f>Données!Z150</f>
        <v>980</v>
      </c>
      <c r="D153" s="8">
        <f t="shared" si="8"/>
        <v>980</v>
      </c>
      <c r="E153" s="160">
        <f t="shared" si="7"/>
        <v>0</v>
      </c>
      <c r="F153" s="8">
        <f t="shared" si="7"/>
        <v>0</v>
      </c>
      <c r="G153" s="160">
        <f t="shared" si="7"/>
        <v>0</v>
      </c>
      <c r="H153" s="31">
        <f t="shared" si="7"/>
        <v>0</v>
      </c>
      <c r="I153" s="8">
        <f t="shared" si="7"/>
        <v>0</v>
      </c>
      <c r="J153" s="8">
        <f t="shared" si="9"/>
        <v>0</v>
      </c>
      <c r="K153" s="71">
        <f t="shared" si="10"/>
        <v>-128538.73239436618</v>
      </c>
    </row>
    <row r="154" spans="1:11" x14ac:dyDescent="0.25">
      <c r="A154" s="38">
        <f>Données!A151</f>
        <v>5652</v>
      </c>
      <c r="B154" s="129" t="str">
        <f>Données!B151</f>
        <v>Villars-sous-Yens</v>
      </c>
      <c r="C154" s="8">
        <f>Données!Z151</f>
        <v>609</v>
      </c>
      <c r="D154" s="8">
        <f t="shared" si="8"/>
        <v>609</v>
      </c>
      <c r="E154" s="160">
        <f t="shared" si="7"/>
        <v>0</v>
      </c>
      <c r="F154" s="8">
        <f t="shared" si="7"/>
        <v>0</v>
      </c>
      <c r="G154" s="160">
        <f t="shared" si="7"/>
        <v>0</v>
      </c>
      <c r="H154" s="31">
        <f t="shared" si="7"/>
        <v>0</v>
      </c>
      <c r="I154" s="8">
        <f t="shared" si="7"/>
        <v>0</v>
      </c>
      <c r="J154" s="8">
        <f t="shared" si="9"/>
        <v>0</v>
      </c>
      <c r="K154" s="71">
        <f t="shared" si="10"/>
        <v>-79877.640845070404</v>
      </c>
    </row>
    <row r="155" spans="1:11" x14ac:dyDescent="0.25">
      <c r="A155" s="38">
        <f>Données!A152</f>
        <v>5653</v>
      </c>
      <c r="B155" s="129" t="str">
        <f>Données!B152</f>
        <v>Vufflens-le-Château</v>
      </c>
      <c r="C155" s="8">
        <f>Données!Z152</f>
        <v>882</v>
      </c>
      <c r="D155" s="8">
        <f t="shared" si="8"/>
        <v>882</v>
      </c>
      <c r="E155" s="160">
        <f t="shared" si="7"/>
        <v>0</v>
      </c>
      <c r="F155" s="8">
        <f t="shared" si="7"/>
        <v>0</v>
      </c>
      <c r="G155" s="160">
        <f t="shared" si="7"/>
        <v>0</v>
      </c>
      <c r="H155" s="31">
        <f t="shared" si="7"/>
        <v>0</v>
      </c>
      <c r="I155" s="8">
        <f t="shared" si="7"/>
        <v>0</v>
      </c>
      <c r="J155" s="8">
        <f t="shared" si="9"/>
        <v>0</v>
      </c>
      <c r="K155" s="71">
        <f t="shared" si="10"/>
        <v>-115684.85915492955</v>
      </c>
    </row>
    <row r="156" spans="1:11" x14ac:dyDescent="0.25">
      <c r="A156" s="38">
        <f>Données!A153</f>
        <v>5654</v>
      </c>
      <c r="B156" s="129" t="str">
        <f>Données!B153</f>
        <v>Vullierens</v>
      </c>
      <c r="C156" s="8">
        <f>Données!Z153</f>
        <v>571</v>
      </c>
      <c r="D156" s="8">
        <f t="shared" si="8"/>
        <v>571</v>
      </c>
      <c r="E156" s="160">
        <f t="shared" si="7"/>
        <v>0</v>
      </c>
      <c r="F156" s="8">
        <f t="shared" si="7"/>
        <v>0</v>
      </c>
      <c r="G156" s="160">
        <f t="shared" si="7"/>
        <v>0</v>
      </c>
      <c r="H156" s="31">
        <f t="shared" si="7"/>
        <v>0</v>
      </c>
      <c r="I156" s="8">
        <f t="shared" si="7"/>
        <v>0</v>
      </c>
      <c r="J156" s="8">
        <f t="shared" si="9"/>
        <v>0</v>
      </c>
      <c r="K156" s="71">
        <f t="shared" si="10"/>
        <v>-74893.485915492944</v>
      </c>
    </row>
    <row r="157" spans="1:11" x14ac:dyDescent="0.25">
      <c r="A157" s="38">
        <f>Données!A154</f>
        <v>5655</v>
      </c>
      <c r="B157" s="129" t="str">
        <f>Données!B154</f>
        <v>Yens</v>
      </c>
      <c r="C157" s="8">
        <f>Données!Z154</f>
        <v>1505</v>
      </c>
      <c r="D157" s="8">
        <f t="shared" si="8"/>
        <v>1000</v>
      </c>
      <c r="E157" s="160">
        <f t="shared" si="7"/>
        <v>505</v>
      </c>
      <c r="F157" s="8">
        <f t="shared" si="7"/>
        <v>0</v>
      </c>
      <c r="G157" s="160">
        <f t="shared" si="7"/>
        <v>0</v>
      </c>
      <c r="H157" s="31">
        <f t="shared" si="7"/>
        <v>0</v>
      </c>
      <c r="I157" s="8">
        <f t="shared" si="7"/>
        <v>0</v>
      </c>
      <c r="J157" s="8">
        <f t="shared" si="9"/>
        <v>0</v>
      </c>
      <c r="K157" s="71">
        <f t="shared" si="10"/>
        <v>-316624.99999999994</v>
      </c>
    </row>
    <row r="158" spans="1:11" x14ac:dyDescent="0.25">
      <c r="A158" s="38">
        <f>Données!A155</f>
        <v>5656</v>
      </c>
      <c r="B158" s="129" t="str">
        <f>Données!B155</f>
        <v>Hautemorges</v>
      </c>
      <c r="C158" s="8">
        <f>Données!Z155</f>
        <v>4343</v>
      </c>
      <c r="D158" s="8">
        <f t="shared" si="8"/>
        <v>1000</v>
      </c>
      <c r="E158" s="160">
        <f t="shared" si="7"/>
        <v>2000</v>
      </c>
      <c r="F158" s="8">
        <f t="shared" si="7"/>
        <v>1343</v>
      </c>
      <c r="G158" s="160">
        <f t="shared" ref="E158:I209" si="11">IF($C158&gt;G$5,IF($C158&lt;G$6,$C158-G$5,G$6-G$5),0)</f>
        <v>0</v>
      </c>
      <c r="H158" s="31">
        <f t="shared" si="11"/>
        <v>0</v>
      </c>
      <c r="I158" s="8">
        <f t="shared" si="11"/>
        <v>0</v>
      </c>
      <c r="J158" s="8">
        <f t="shared" si="9"/>
        <v>0</v>
      </c>
      <c r="K158" s="71">
        <f t="shared" si="10"/>
        <v>-1570271.1267605631</v>
      </c>
    </row>
    <row r="159" spans="1:11" x14ac:dyDescent="0.25">
      <c r="A159" s="38">
        <f>Données!A156</f>
        <v>5661</v>
      </c>
      <c r="B159" s="129" t="str">
        <f>Données!B156</f>
        <v>Boulens</v>
      </c>
      <c r="C159" s="8">
        <f>Données!Z156</f>
        <v>379</v>
      </c>
      <c r="D159" s="8">
        <f t="shared" si="8"/>
        <v>379</v>
      </c>
      <c r="E159" s="160">
        <f t="shared" si="11"/>
        <v>0</v>
      </c>
      <c r="F159" s="8">
        <f t="shared" si="11"/>
        <v>0</v>
      </c>
      <c r="G159" s="160">
        <f t="shared" si="11"/>
        <v>0</v>
      </c>
      <c r="H159" s="31">
        <f t="shared" si="11"/>
        <v>0</v>
      </c>
      <c r="I159" s="8">
        <f t="shared" si="11"/>
        <v>0</v>
      </c>
      <c r="J159" s="8">
        <f t="shared" si="9"/>
        <v>0</v>
      </c>
      <c r="K159" s="71">
        <f t="shared" si="10"/>
        <v>-49710.387323943651</v>
      </c>
    </row>
    <row r="160" spans="1:11" x14ac:dyDescent="0.25">
      <c r="A160" s="38">
        <f>Données!A157</f>
        <v>5663</v>
      </c>
      <c r="B160" s="129" t="str">
        <f>Données!B157</f>
        <v>Bussy-sur-Moudon</v>
      </c>
      <c r="C160" s="8">
        <f>Données!Z157</f>
        <v>251</v>
      </c>
      <c r="D160" s="8">
        <f t="shared" si="8"/>
        <v>251</v>
      </c>
      <c r="E160" s="160">
        <f t="shared" si="11"/>
        <v>0</v>
      </c>
      <c r="F160" s="8">
        <f t="shared" si="11"/>
        <v>0</v>
      </c>
      <c r="G160" s="160">
        <f t="shared" si="11"/>
        <v>0</v>
      </c>
      <c r="H160" s="31">
        <f t="shared" si="11"/>
        <v>0</v>
      </c>
      <c r="I160" s="8">
        <f t="shared" si="11"/>
        <v>0</v>
      </c>
      <c r="J160" s="8">
        <f t="shared" si="9"/>
        <v>0</v>
      </c>
      <c r="K160" s="71">
        <f t="shared" si="10"/>
        <v>-32921.65492957746</v>
      </c>
    </row>
    <row r="161" spans="1:11" x14ac:dyDescent="0.25">
      <c r="A161" s="38">
        <f>Données!A158</f>
        <v>5665</v>
      </c>
      <c r="B161" s="129" t="str">
        <f>Données!B158</f>
        <v>Chavannes-sur-Moudon</v>
      </c>
      <c r="C161" s="8">
        <f>Données!Z158</f>
        <v>238</v>
      </c>
      <c r="D161" s="8">
        <f t="shared" si="8"/>
        <v>238</v>
      </c>
      <c r="E161" s="160">
        <f t="shared" si="11"/>
        <v>0</v>
      </c>
      <c r="F161" s="8">
        <f t="shared" si="11"/>
        <v>0</v>
      </c>
      <c r="G161" s="160">
        <f t="shared" si="11"/>
        <v>0</v>
      </c>
      <c r="H161" s="31">
        <f t="shared" si="11"/>
        <v>0</v>
      </c>
      <c r="I161" s="8">
        <f t="shared" si="11"/>
        <v>0</v>
      </c>
      <c r="J161" s="8">
        <f t="shared" si="9"/>
        <v>0</v>
      </c>
      <c r="K161" s="71">
        <f t="shared" si="10"/>
        <v>-31216.549295774643</v>
      </c>
    </row>
    <row r="162" spans="1:11" x14ac:dyDescent="0.25">
      <c r="A162" s="38">
        <f>Données!A159</f>
        <v>5669</v>
      </c>
      <c r="B162" s="129" t="str">
        <f>Données!B159</f>
        <v>Curtilles</v>
      </c>
      <c r="C162" s="8">
        <f>Données!Z159</f>
        <v>310</v>
      </c>
      <c r="D162" s="8">
        <f t="shared" si="8"/>
        <v>310</v>
      </c>
      <c r="E162" s="160">
        <f t="shared" si="11"/>
        <v>0</v>
      </c>
      <c r="F162" s="8">
        <f t="shared" si="11"/>
        <v>0</v>
      </c>
      <c r="G162" s="160">
        <f t="shared" si="11"/>
        <v>0</v>
      </c>
      <c r="H162" s="31">
        <f t="shared" si="11"/>
        <v>0</v>
      </c>
      <c r="I162" s="8">
        <f t="shared" si="11"/>
        <v>0</v>
      </c>
      <c r="J162" s="8">
        <f t="shared" si="9"/>
        <v>0</v>
      </c>
      <c r="K162" s="71">
        <f t="shared" si="10"/>
        <v>-40660.211267605628</v>
      </c>
    </row>
    <row r="163" spans="1:11" x14ac:dyDescent="0.25">
      <c r="A163" s="38">
        <f>Données!A160</f>
        <v>5671</v>
      </c>
      <c r="B163" s="129" t="str">
        <f>Données!B160</f>
        <v>Dompierre</v>
      </c>
      <c r="C163" s="8">
        <f>Données!Z160</f>
        <v>253</v>
      </c>
      <c r="D163" s="8">
        <f t="shared" si="8"/>
        <v>253</v>
      </c>
      <c r="E163" s="160">
        <f t="shared" si="11"/>
        <v>0</v>
      </c>
      <c r="F163" s="8">
        <f t="shared" si="11"/>
        <v>0</v>
      </c>
      <c r="G163" s="160">
        <f t="shared" si="11"/>
        <v>0</v>
      </c>
      <c r="H163" s="31">
        <f t="shared" si="11"/>
        <v>0</v>
      </c>
      <c r="I163" s="8">
        <f t="shared" si="11"/>
        <v>0</v>
      </c>
      <c r="J163" s="8">
        <f t="shared" si="9"/>
        <v>0</v>
      </c>
      <c r="K163" s="71">
        <f t="shared" si="10"/>
        <v>-33183.97887323943</v>
      </c>
    </row>
    <row r="164" spans="1:11" x14ac:dyDescent="0.25">
      <c r="A164" s="38">
        <f>Données!A161</f>
        <v>5673</v>
      </c>
      <c r="B164" s="129" t="str">
        <f>Données!B161</f>
        <v>Hermenches</v>
      </c>
      <c r="C164" s="8">
        <f>Données!Z161</f>
        <v>377</v>
      </c>
      <c r="D164" s="8">
        <f t="shared" si="8"/>
        <v>377</v>
      </c>
      <c r="E164" s="160">
        <f t="shared" si="11"/>
        <v>0</v>
      </c>
      <c r="F164" s="8">
        <f t="shared" si="11"/>
        <v>0</v>
      </c>
      <c r="G164" s="160">
        <f t="shared" si="11"/>
        <v>0</v>
      </c>
      <c r="H164" s="31">
        <f t="shared" si="11"/>
        <v>0</v>
      </c>
      <c r="I164" s="8">
        <f t="shared" si="11"/>
        <v>0</v>
      </c>
      <c r="J164" s="8">
        <f t="shared" si="9"/>
        <v>0</v>
      </c>
      <c r="K164" s="71">
        <f t="shared" si="10"/>
        <v>-49448.063380281681</v>
      </c>
    </row>
    <row r="165" spans="1:11" x14ac:dyDescent="0.25">
      <c r="A165" s="38">
        <f>Données!A162</f>
        <v>5674</v>
      </c>
      <c r="B165" s="129" t="str">
        <f>Données!B162</f>
        <v>Lovatens</v>
      </c>
      <c r="C165" s="8">
        <f>Données!Z162</f>
        <v>142</v>
      </c>
      <c r="D165" s="8">
        <f t="shared" si="8"/>
        <v>142</v>
      </c>
      <c r="E165" s="160">
        <f t="shared" si="11"/>
        <v>0</v>
      </c>
      <c r="F165" s="8">
        <f t="shared" si="11"/>
        <v>0</v>
      </c>
      <c r="G165" s="160">
        <f t="shared" si="11"/>
        <v>0</v>
      </c>
      <c r="H165" s="31">
        <f t="shared" si="11"/>
        <v>0</v>
      </c>
      <c r="I165" s="8">
        <f t="shared" si="11"/>
        <v>0</v>
      </c>
      <c r="J165" s="8">
        <f t="shared" si="9"/>
        <v>0</v>
      </c>
      <c r="K165" s="71">
        <f t="shared" si="10"/>
        <v>-18624.999999999996</v>
      </c>
    </row>
    <row r="166" spans="1:11" x14ac:dyDescent="0.25">
      <c r="A166" s="38">
        <f>Données!A163</f>
        <v>5675</v>
      </c>
      <c r="B166" s="129" t="str">
        <f>Données!B163</f>
        <v>Lucens</v>
      </c>
      <c r="C166" s="8">
        <f>Données!Z163</f>
        <v>4599</v>
      </c>
      <c r="D166" s="8">
        <f t="shared" si="8"/>
        <v>1000</v>
      </c>
      <c r="E166" s="160">
        <f t="shared" si="11"/>
        <v>2000</v>
      </c>
      <c r="F166" s="8">
        <f t="shared" si="11"/>
        <v>1599</v>
      </c>
      <c r="G166" s="160">
        <f t="shared" si="11"/>
        <v>0</v>
      </c>
      <c r="H166" s="31">
        <f t="shared" si="11"/>
        <v>0</v>
      </c>
      <c r="I166" s="8">
        <f t="shared" si="11"/>
        <v>0</v>
      </c>
      <c r="J166" s="8">
        <f t="shared" si="9"/>
        <v>0</v>
      </c>
      <c r="K166" s="71">
        <f t="shared" si="10"/>
        <v>-1704580.9859154928</v>
      </c>
    </row>
    <row r="167" spans="1:11" x14ac:dyDescent="0.25">
      <c r="A167" s="38">
        <f>Données!A164</f>
        <v>5678</v>
      </c>
      <c r="B167" s="129" t="str">
        <f>Données!B164</f>
        <v>Moudon</v>
      </c>
      <c r="C167" s="8">
        <f>Données!Z164</f>
        <v>6375</v>
      </c>
      <c r="D167" s="8">
        <f t="shared" si="8"/>
        <v>1000</v>
      </c>
      <c r="E167" s="160">
        <f t="shared" si="11"/>
        <v>2000</v>
      </c>
      <c r="F167" s="8">
        <f t="shared" si="11"/>
        <v>2000</v>
      </c>
      <c r="G167" s="160">
        <f t="shared" si="11"/>
        <v>1375</v>
      </c>
      <c r="H167" s="31">
        <f t="shared" si="11"/>
        <v>0</v>
      </c>
      <c r="I167" s="8">
        <f t="shared" si="11"/>
        <v>0</v>
      </c>
      <c r="J167" s="8">
        <f t="shared" si="9"/>
        <v>0</v>
      </c>
      <c r="K167" s="71">
        <f t="shared" si="10"/>
        <v>-2780633.8028169009</v>
      </c>
    </row>
    <row r="168" spans="1:11" x14ac:dyDescent="0.25">
      <c r="A168" s="38">
        <f>Données!A165</f>
        <v>5680</v>
      </c>
      <c r="B168" s="129" t="str">
        <f>Données!B165</f>
        <v>Ogens</v>
      </c>
      <c r="C168" s="8">
        <f>Données!Z165</f>
        <v>332</v>
      </c>
      <c r="D168" s="8">
        <f t="shared" si="8"/>
        <v>332</v>
      </c>
      <c r="E168" s="160">
        <f t="shared" si="11"/>
        <v>0</v>
      </c>
      <c r="F168" s="8">
        <f t="shared" si="11"/>
        <v>0</v>
      </c>
      <c r="G168" s="160">
        <f t="shared" si="11"/>
        <v>0</v>
      </c>
      <c r="H168" s="31">
        <f t="shared" si="11"/>
        <v>0</v>
      </c>
      <c r="I168" s="8">
        <f t="shared" si="11"/>
        <v>0</v>
      </c>
      <c r="J168" s="8">
        <f t="shared" si="9"/>
        <v>0</v>
      </c>
      <c r="K168" s="71">
        <f t="shared" si="10"/>
        <v>-43545.774647887316</v>
      </c>
    </row>
    <row r="169" spans="1:11" x14ac:dyDescent="0.25">
      <c r="A169" s="38">
        <f>Données!A166</f>
        <v>5683</v>
      </c>
      <c r="B169" s="129" t="str">
        <f>Données!B166</f>
        <v>Prévonloup</v>
      </c>
      <c r="C169" s="8">
        <f>Données!Z166</f>
        <v>226</v>
      </c>
      <c r="D169" s="8">
        <f t="shared" si="8"/>
        <v>226</v>
      </c>
      <c r="E169" s="160">
        <f t="shared" si="11"/>
        <v>0</v>
      </c>
      <c r="F169" s="8">
        <f t="shared" si="11"/>
        <v>0</v>
      </c>
      <c r="G169" s="160">
        <f t="shared" si="11"/>
        <v>0</v>
      </c>
      <c r="H169" s="31">
        <f t="shared" si="11"/>
        <v>0</v>
      </c>
      <c r="I169" s="8">
        <f t="shared" si="11"/>
        <v>0</v>
      </c>
      <c r="J169" s="8">
        <f t="shared" si="9"/>
        <v>0</v>
      </c>
      <c r="K169" s="71">
        <f t="shared" si="10"/>
        <v>-29642.60563380281</v>
      </c>
    </row>
    <row r="170" spans="1:11" x14ac:dyDescent="0.25">
      <c r="A170" s="38">
        <f>Données!A167</f>
        <v>5684</v>
      </c>
      <c r="B170" s="129" t="str">
        <f>Données!B167</f>
        <v>Rossenges</v>
      </c>
      <c r="C170" s="8">
        <f>Données!Z167</f>
        <v>88</v>
      </c>
      <c r="D170" s="8">
        <f t="shared" si="8"/>
        <v>88</v>
      </c>
      <c r="E170" s="160">
        <f t="shared" si="11"/>
        <v>0</v>
      </c>
      <c r="F170" s="8">
        <f t="shared" si="11"/>
        <v>0</v>
      </c>
      <c r="G170" s="160">
        <f t="shared" si="11"/>
        <v>0</v>
      </c>
      <c r="H170" s="31">
        <f t="shared" si="11"/>
        <v>0</v>
      </c>
      <c r="I170" s="8">
        <f t="shared" si="11"/>
        <v>0</v>
      </c>
      <c r="J170" s="8">
        <f t="shared" si="9"/>
        <v>0</v>
      </c>
      <c r="K170" s="71">
        <f t="shared" si="10"/>
        <v>-11542.253521126759</v>
      </c>
    </row>
    <row r="171" spans="1:11" x14ac:dyDescent="0.25">
      <c r="A171" s="38">
        <f>Données!A168</f>
        <v>5688</v>
      </c>
      <c r="B171" s="129" t="str">
        <f>Données!B168</f>
        <v>Syens</v>
      </c>
      <c r="C171" s="8">
        <f>Données!Z168</f>
        <v>166</v>
      </c>
      <c r="D171" s="8">
        <f t="shared" si="8"/>
        <v>166</v>
      </c>
      <c r="E171" s="160">
        <f t="shared" si="11"/>
        <v>0</v>
      </c>
      <c r="F171" s="8">
        <f t="shared" si="11"/>
        <v>0</v>
      </c>
      <c r="G171" s="160">
        <f t="shared" si="11"/>
        <v>0</v>
      </c>
      <c r="H171" s="31">
        <f t="shared" si="11"/>
        <v>0</v>
      </c>
      <c r="I171" s="8">
        <f t="shared" si="11"/>
        <v>0</v>
      </c>
      <c r="J171" s="8">
        <f t="shared" si="9"/>
        <v>0</v>
      </c>
      <c r="K171" s="71">
        <f t="shared" si="10"/>
        <v>-21772.887323943658</v>
      </c>
    </row>
    <row r="172" spans="1:11" x14ac:dyDescent="0.25">
      <c r="A172" s="38">
        <f>Données!A169</f>
        <v>5690</v>
      </c>
      <c r="B172" s="129" t="str">
        <f>Données!B169</f>
        <v>Villars-le-Comte</v>
      </c>
      <c r="C172" s="8">
        <f>Données!Z169</f>
        <v>135</v>
      </c>
      <c r="D172" s="8">
        <f t="shared" ref="D172:D235" si="12">IF($C172&gt;D$5,IF($C172&lt;D$6,$C172-D$5,D$6-D$5),0)</f>
        <v>135</v>
      </c>
      <c r="E172" s="160">
        <f t="shared" si="11"/>
        <v>0</v>
      </c>
      <c r="F172" s="8">
        <f t="shared" si="11"/>
        <v>0</v>
      </c>
      <c r="G172" s="160">
        <f t="shared" si="11"/>
        <v>0</v>
      </c>
      <c r="H172" s="31">
        <f t="shared" si="11"/>
        <v>0</v>
      </c>
      <c r="I172" s="8">
        <f t="shared" si="11"/>
        <v>0</v>
      </c>
      <c r="J172" s="8">
        <f t="shared" si="9"/>
        <v>0</v>
      </c>
      <c r="K172" s="71">
        <f t="shared" si="10"/>
        <v>-17706.866197183095</v>
      </c>
    </row>
    <row r="173" spans="1:11" x14ac:dyDescent="0.25">
      <c r="A173" s="38">
        <f>Données!A170</f>
        <v>5692</v>
      </c>
      <c r="B173" s="129" t="str">
        <f>Données!B170</f>
        <v>Vucherens</v>
      </c>
      <c r="C173" s="8">
        <f>Données!Z170</f>
        <v>635</v>
      </c>
      <c r="D173" s="8">
        <f t="shared" si="12"/>
        <v>635</v>
      </c>
      <c r="E173" s="160">
        <f t="shared" si="11"/>
        <v>0</v>
      </c>
      <c r="F173" s="8">
        <f t="shared" si="11"/>
        <v>0</v>
      </c>
      <c r="G173" s="160">
        <f t="shared" si="11"/>
        <v>0</v>
      </c>
      <c r="H173" s="31">
        <f t="shared" si="11"/>
        <v>0</v>
      </c>
      <c r="I173" s="8">
        <f t="shared" si="11"/>
        <v>0</v>
      </c>
      <c r="J173" s="8">
        <f t="shared" si="9"/>
        <v>0</v>
      </c>
      <c r="K173" s="71">
        <f t="shared" si="10"/>
        <v>-83287.852112676046</v>
      </c>
    </row>
    <row r="174" spans="1:11" x14ac:dyDescent="0.25">
      <c r="A174" s="38">
        <f>Données!A171</f>
        <v>5693</v>
      </c>
      <c r="B174" s="129" t="str">
        <f>Données!B171</f>
        <v>Montanaire</v>
      </c>
      <c r="C174" s="8">
        <f>Données!Z171</f>
        <v>2835</v>
      </c>
      <c r="D174" s="8">
        <f t="shared" si="12"/>
        <v>1000</v>
      </c>
      <c r="E174" s="160">
        <f t="shared" si="11"/>
        <v>1835</v>
      </c>
      <c r="F174" s="8">
        <f t="shared" si="11"/>
        <v>0</v>
      </c>
      <c r="G174" s="160">
        <f t="shared" si="11"/>
        <v>0</v>
      </c>
      <c r="H174" s="31">
        <f t="shared" si="11"/>
        <v>0</v>
      </c>
      <c r="I174" s="8">
        <f t="shared" si="11"/>
        <v>0</v>
      </c>
      <c r="J174" s="8">
        <f t="shared" si="9"/>
        <v>0</v>
      </c>
      <c r="K174" s="71">
        <f t="shared" si="10"/>
        <v>-805072.1830985914</v>
      </c>
    </row>
    <row r="175" spans="1:11" x14ac:dyDescent="0.25">
      <c r="A175" s="38">
        <f>Données!A172</f>
        <v>5701</v>
      </c>
      <c r="B175" s="129" t="str">
        <f>Données!B172</f>
        <v>Arnex-sur-Nyon</v>
      </c>
      <c r="C175" s="8">
        <f>Données!Z172</f>
        <v>242</v>
      </c>
      <c r="D175" s="8">
        <f t="shared" si="12"/>
        <v>242</v>
      </c>
      <c r="E175" s="160">
        <f t="shared" si="11"/>
        <v>0</v>
      </c>
      <c r="F175" s="8">
        <f t="shared" si="11"/>
        <v>0</v>
      </c>
      <c r="G175" s="160">
        <f t="shared" si="11"/>
        <v>0</v>
      </c>
      <c r="H175" s="31">
        <f t="shared" si="11"/>
        <v>0</v>
      </c>
      <c r="I175" s="8">
        <f t="shared" si="11"/>
        <v>0</v>
      </c>
      <c r="J175" s="8">
        <f t="shared" si="9"/>
        <v>0</v>
      </c>
      <c r="K175" s="71">
        <f t="shared" si="10"/>
        <v>-31741.197183098586</v>
      </c>
    </row>
    <row r="176" spans="1:11" x14ac:dyDescent="0.25">
      <c r="A176" s="38">
        <f>Données!A173</f>
        <v>5702</v>
      </c>
      <c r="B176" s="129" t="str">
        <f>Données!B173</f>
        <v>Arzier-Le Muids</v>
      </c>
      <c r="C176" s="8">
        <f>Données!Z173</f>
        <v>2971</v>
      </c>
      <c r="D176" s="8">
        <f t="shared" si="12"/>
        <v>1000</v>
      </c>
      <c r="E176" s="160">
        <f t="shared" si="11"/>
        <v>1971</v>
      </c>
      <c r="F176" s="8">
        <f t="shared" si="11"/>
        <v>0</v>
      </c>
      <c r="G176" s="160">
        <f t="shared" si="11"/>
        <v>0</v>
      </c>
      <c r="H176" s="31">
        <f t="shared" si="11"/>
        <v>0</v>
      </c>
      <c r="I176" s="8">
        <f t="shared" si="11"/>
        <v>0</v>
      </c>
      <c r="J176" s="8">
        <f t="shared" si="9"/>
        <v>0</v>
      </c>
      <c r="K176" s="71">
        <f t="shared" si="10"/>
        <v>-855018.66197183088</v>
      </c>
    </row>
    <row r="177" spans="1:11" x14ac:dyDescent="0.25">
      <c r="A177" s="38">
        <f>Données!A174</f>
        <v>5703</v>
      </c>
      <c r="B177" s="129" t="str">
        <f>Données!B174</f>
        <v>Bassins</v>
      </c>
      <c r="C177" s="8">
        <f>Données!Z174</f>
        <v>1483</v>
      </c>
      <c r="D177" s="8">
        <f t="shared" si="12"/>
        <v>1000</v>
      </c>
      <c r="E177" s="160">
        <f t="shared" si="11"/>
        <v>483</v>
      </c>
      <c r="F177" s="8">
        <f t="shared" si="11"/>
        <v>0</v>
      </c>
      <c r="G177" s="160">
        <f t="shared" si="11"/>
        <v>0</v>
      </c>
      <c r="H177" s="31">
        <f t="shared" si="11"/>
        <v>0</v>
      </c>
      <c r="I177" s="8">
        <f t="shared" si="11"/>
        <v>0</v>
      </c>
      <c r="J177" s="8">
        <f t="shared" si="9"/>
        <v>0</v>
      </c>
      <c r="K177" s="71">
        <f t="shared" si="10"/>
        <v>-308545.4225352112</v>
      </c>
    </row>
    <row r="178" spans="1:11" x14ac:dyDescent="0.25">
      <c r="A178" s="38">
        <f>Données!A175</f>
        <v>5704</v>
      </c>
      <c r="B178" s="129" t="str">
        <f>Données!B175</f>
        <v>Begnins</v>
      </c>
      <c r="C178" s="8">
        <f>Données!Z175</f>
        <v>2008</v>
      </c>
      <c r="D178" s="8">
        <f t="shared" si="12"/>
        <v>1000</v>
      </c>
      <c r="E178" s="160">
        <f t="shared" si="11"/>
        <v>1008</v>
      </c>
      <c r="F178" s="8">
        <f t="shared" si="11"/>
        <v>0</v>
      </c>
      <c r="G178" s="160">
        <f t="shared" si="11"/>
        <v>0</v>
      </c>
      <c r="H178" s="31">
        <f t="shared" si="11"/>
        <v>0</v>
      </c>
      <c r="I178" s="8">
        <f t="shared" si="11"/>
        <v>0</v>
      </c>
      <c r="J178" s="8">
        <f t="shared" si="9"/>
        <v>0</v>
      </c>
      <c r="K178" s="71">
        <f t="shared" si="10"/>
        <v>-501353.52112676052</v>
      </c>
    </row>
    <row r="179" spans="1:11" x14ac:dyDescent="0.25">
      <c r="A179" s="38">
        <f>Données!A176</f>
        <v>5705</v>
      </c>
      <c r="B179" s="129" t="str">
        <f>Données!B176</f>
        <v>Bogis-Bossey</v>
      </c>
      <c r="C179" s="8">
        <f>Données!Z176</f>
        <v>983</v>
      </c>
      <c r="D179" s="8">
        <f t="shared" si="12"/>
        <v>983</v>
      </c>
      <c r="E179" s="160">
        <f t="shared" si="11"/>
        <v>0</v>
      </c>
      <c r="F179" s="8">
        <f t="shared" si="11"/>
        <v>0</v>
      </c>
      <c r="G179" s="160">
        <f t="shared" si="11"/>
        <v>0</v>
      </c>
      <c r="H179" s="31">
        <f t="shared" si="11"/>
        <v>0</v>
      </c>
      <c r="I179" s="8">
        <f t="shared" si="11"/>
        <v>0</v>
      </c>
      <c r="J179" s="8">
        <f t="shared" si="9"/>
        <v>0</v>
      </c>
      <c r="K179" s="71">
        <f t="shared" si="10"/>
        <v>-128932.21830985913</v>
      </c>
    </row>
    <row r="180" spans="1:11" x14ac:dyDescent="0.25">
      <c r="A180" s="38">
        <f>Données!A177</f>
        <v>5706</v>
      </c>
      <c r="B180" s="129" t="str">
        <f>Données!B177</f>
        <v>Borex</v>
      </c>
      <c r="C180" s="8">
        <f>Données!Z177</f>
        <v>1135</v>
      </c>
      <c r="D180" s="8">
        <f t="shared" si="12"/>
        <v>1000</v>
      </c>
      <c r="E180" s="160">
        <f t="shared" si="11"/>
        <v>135</v>
      </c>
      <c r="F180" s="8">
        <f t="shared" si="11"/>
        <v>0</v>
      </c>
      <c r="G180" s="160">
        <f t="shared" si="11"/>
        <v>0</v>
      </c>
      <c r="H180" s="31">
        <f t="shared" si="11"/>
        <v>0</v>
      </c>
      <c r="I180" s="8">
        <f t="shared" si="11"/>
        <v>0</v>
      </c>
      <c r="J180" s="8">
        <f t="shared" si="9"/>
        <v>0</v>
      </c>
      <c r="K180" s="71">
        <f t="shared" si="10"/>
        <v>-180741.19718309856</v>
      </c>
    </row>
    <row r="181" spans="1:11" x14ac:dyDescent="0.25">
      <c r="A181" s="38">
        <f>Données!A178</f>
        <v>5707</v>
      </c>
      <c r="B181" s="129" t="str">
        <f>Données!B178</f>
        <v>Chavannes-de-Bogis</v>
      </c>
      <c r="C181" s="8">
        <f>Données!Z178</f>
        <v>1394</v>
      </c>
      <c r="D181" s="8">
        <f t="shared" si="12"/>
        <v>1000</v>
      </c>
      <c r="E181" s="160">
        <f t="shared" si="11"/>
        <v>394</v>
      </c>
      <c r="F181" s="8">
        <f t="shared" si="11"/>
        <v>0</v>
      </c>
      <c r="G181" s="160">
        <f t="shared" si="11"/>
        <v>0</v>
      </c>
      <c r="H181" s="31">
        <f t="shared" si="11"/>
        <v>0</v>
      </c>
      <c r="I181" s="8">
        <f t="shared" si="11"/>
        <v>0</v>
      </c>
      <c r="J181" s="8">
        <f t="shared" si="9"/>
        <v>0</v>
      </c>
      <c r="K181" s="71">
        <f t="shared" si="10"/>
        <v>-275859.85915492952</v>
      </c>
    </row>
    <row r="182" spans="1:11" x14ac:dyDescent="0.25">
      <c r="A182" s="38">
        <f>Données!A179</f>
        <v>5708</v>
      </c>
      <c r="B182" s="129" t="str">
        <f>Données!B179</f>
        <v>Chavannes-des-Bois</v>
      </c>
      <c r="C182" s="8">
        <f>Données!Z179</f>
        <v>1011</v>
      </c>
      <c r="D182" s="8">
        <f t="shared" si="12"/>
        <v>1000</v>
      </c>
      <c r="E182" s="160">
        <f t="shared" si="11"/>
        <v>11</v>
      </c>
      <c r="F182" s="8">
        <f t="shared" si="11"/>
        <v>0</v>
      </c>
      <c r="G182" s="160">
        <f t="shared" si="11"/>
        <v>0</v>
      </c>
      <c r="H182" s="31">
        <f t="shared" si="11"/>
        <v>0</v>
      </c>
      <c r="I182" s="8">
        <f t="shared" si="11"/>
        <v>0</v>
      </c>
      <c r="J182" s="8">
        <f t="shared" si="9"/>
        <v>0</v>
      </c>
      <c r="K182" s="71">
        <f t="shared" si="10"/>
        <v>-135201.76056338026</v>
      </c>
    </row>
    <row r="183" spans="1:11" x14ac:dyDescent="0.25">
      <c r="A183" s="38">
        <f>Données!A180</f>
        <v>5709</v>
      </c>
      <c r="B183" s="129" t="str">
        <f>Données!B180</f>
        <v>Chéserex</v>
      </c>
      <c r="C183" s="8">
        <f>Données!Z180</f>
        <v>1276</v>
      </c>
      <c r="D183" s="8">
        <f t="shared" si="12"/>
        <v>1000</v>
      </c>
      <c r="E183" s="160">
        <f t="shared" si="11"/>
        <v>276</v>
      </c>
      <c r="F183" s="8">
        <f t="shared" si="11"/>
        <v>0</v>
      </c>
      <c r="G183" s="160">
        <f t="shared" si="11"/>
        <v>0</v>
      </c>
      <c r="H183" s="31">
        <f t="shared" si="11"/>
        <v>0</v>
      </c>
      <c r="I183" s="8">
        <f t="shared" si="11"/>
        <v>0</v>
      </c>
      <c r="J183" s="8">
        <f t="shared" si="9"/>
        <v>0</v>
      </c>
      <c r="K183" s="71">
        <f t="shared" si="10"/>
        <v>-232523.94366197177</v>
      </c>
    </row>
    <row r="184" spans="1:11" x14ac:dyDescent="0.25">
      <c r="A184" s="38">
        <f>Données!A181</f>
        <v>5710</v>
      </c>
      <c r="B184" s="129" t="str">
        <f>Données!B181</f>
        <v>Coinsins</v>
      </c>
      <c r="C184" s="8">
        <f>Données!Z181</f>
        <v>519</v>
      </c>
      <c r="D184" s="8">
        <f t="shared" si="12"/>
        <v>519</v>
      </c>
      <c r="E184" s="160">
        <f t="shared" si="11"/>
        <v>0</v>
      </c>
      <c r="F184" s="8">
        <f t="shared" si="11"/>
        <v>0</v>
      </c>
      <c r="G184" s="160">
        <f t="shared" si="11"/>
        <v>0</v>
      </c>
      <c r="H184" s="31">
        <f t="shared" si="11"/>
        <v>0</v>
      </c>
      <c r="I184" s="8">
        <f t="shared" si="11"/>
        <v>0</v>
      </c>
      <c r="J184" s="8">
        <f t="shared" si="9"/>
        <v>0</v>
      </c>
      <c r="K184" s="71">
        <f t="shared" si="10"/>
        <v>-68073.063380281674</v>
      </c>
    </row>
    <row r="185" spans="1:11" x14ac:dyDescent="0.25">
      <c r="A185" s="38">
        <f>Données!A182</f>
        <v>5711</v>
      </c>
      <c r="B185" s="129" t="str">
        <f>Données!B182</f>
        <v>Commugny</v>
      </c>
      <c r="C185" s="8">
        <f>Données!Z182</f>
        <v>2993</v>
      </c>
      <c r="D185" s="8">
        <f t="shared" si="12"/>
        <v>1000</v>
      </c>
      <c r="E185" s="160">
        <f t="shared" si="11"/>
        <v>1993</v>
      </c>
      <c r="F185" s="8">
        <f t="shared" si="11"/>
        <v>0</v>
      </c>
      <c r="G185" s="160">
        <f t="shared" si="11"/>
        <v>0</v>
      </c>
      <c r="H185" s="31">
        <f t="shared" si="11"/>
        <v>0</v>
      </c>
      <c r="I185" s="8">
        <f t="shared" si="11"/>
        <v>0</v>
      </c>
      <c r="J185" s="8">
        <f t="shared" si="9"/>
        <v>0</v>
      </c>
      <c r="K185" s="71">
        <f t="shared" si="10"/>
        <v>-863098.23943661957</v>
      </c>
    </row>
    <row r="186" spans="1:11" x14ac:dyDescent="0.25">
      <c r="A186" s="38">
        <f>Données!A183</f>
        <v>5712</v>
      </c>
      <c r="B186" s="129" t="str">
        <f>Données!B183</f>
        <v>Coppet</v>
      </c>
      <c r="C186" s="8">
        <f>Données!Z183</f>
        <v>3183</v>
      </c>
      <c r="D186" s="8">
        <f t="shared" si="12"/>
        <v>1000</v>
      </c>
      <c r="E186" s="160">
        <f t="shared" si="11"/>
        <v>2000</v>
      </c>
      <c r="F186" s="8">
        <f t="shared" si="11"/>
        <v>183</v>
      </c>
      <c r="G186" s="160">
        <f t="shared" si="11"/>
        <v>0</v>
      </c>
      <c r="H186" s="31">
        <f t="shared" si="11"/>
        <v>0</v>
      </c>
      <c r="I186" s="8">
        <f t="shared" si="11"/>
        <v>0</v>
      </c>
      <c r="J186" s="8">
        <f t="shared" si="9"/>
        <v>0</v>
      </c>
      <c r="K186" s="71">
        <f t="shared" si="10"/>
        <v>-961679.57746478857</v>
      </c>
    </row>
    <row r="187" spans="1:11" x14ac:dyDescent="0.25">
      <c r="A187" s="38">
        <f>Données!A184</f>
        <v>5713</v>
      </c>
      <c r="B187" s="129" t="str">
        <f>Données!B184</f>
        <v>Crans</v>
      </c>
      <c r="C187" s="8">
        <f>Données!Z184</f>
        <v>2424</v>
      </c>
      <c r="D187" s="8">
        <f t="shared" si="12"/>
        <v>1000</v>
      </c>
      <c r="E187" s="160">
        <f t="shared" si="11"/>
        <v>1424</v>
      </c>
      <c r="F187" s="8">
        <f t="shared" si="11"/>
        <v>0</v>
      </c>
      <c r="G187" s="160">
        <f t="shared" si="11"/>
        <v>0</v>
      </c>
      <c r="H187" s="31">
        <f t="shared" si="11"/>
        <v>0</v>
      </c>
      <c r="I187" s="8">
        <f t="shared" si="11"/>
        <v>0</v>
      </c>
      <c r="J187" s="8">
        <f t="shared" si="9"/>
        <v>0</v>
      </c>
      <c r="K187" s="71">
        <f t="shared" si="10"/>
        <v>-654130.98591549287</v>
      </c>
    </row>
    <row r="188" spans="1:11" x14ac:dyDescent="0.25">
      <c r="A188" s="38">
        <f>Données!A185</f>
        <v>5714</v>
      </c>
      <c r="B188" s="129" t="str">
        <f>Données!B185</f>
        <v>Crassier</v>
      </c>
      <c r="C188" s="8">
        <f>Données!Z185</f>
        <v>1273</v>
      </c>
      <c r="D188" s="8">
        <f t="shared" si="12"/>
        <v>1000</v>
      </c>
      <c r="E188" s="160">
        <f t="shared" si="11"/>
        <v>273</v>
      </c>
      <c r="F188" s="8">
        <f t="shared" si="11"/>
        <v>0</v>
      </c>
      <c r="G188" s="160">
        <f t="shared" si="11"/>
        <v>0</v>
      </c>
      <c r="H188" s="31">
        <f t="shared" si="11"/>
        <v>0</v>
      </c>
      <c r="I188" s="8">
        <f t="shared" si="11"/>
        <v>0</v>
      </c>
      <c r="J188" s="8">
        <f t="shared" si="9"/>
        <v>0</v>
      </c>
      <c r="K188" s="71">
        <f t="shared" si="10"/>
        <v>-231422.18309859151</v>
      </c>
    </row>
    <row r="189" spans="1:11" x14ac:dyDescent="0.25">
      <c r="A189" s="38">
        <f>Données!A186</f>
        <v>5715</v>
      </c>
      <c r="B189" s="129" t="str">
        <f>Données!B186</f>
        <v>Duillier</v>
      </c>
      <c r="C189" s="8">
        <f>Données!Z186</f>
        <v>1115</v>
      </c>
      <c r="D189" s="8">
        <f t="shared" si="12"/>
        <v>1000</v>
      </c>
      <c r="E189" s="160">
        <f t="shared" si="11"/>
        <v>115</v>
      </c>
      <c r="F189" s="8">
        <f t="shared" si="11"/>
        <v>0</v>
      </c>
      <c r="G189" s="160">
        <f t="shared" si="11"/>
        <v>0</v>
      </c>
      <c r="H189" s="31">
        <f t="shared" si="11"/>
        <v>0</v>
      </c>
      <c r="I189" s="8">
        <f t="shared" si="11"/>
        <v>0</v>
      </c>
      <c r="J189" s="8">
        <f t="shared" si="9"/>
        <v>0</v>
      </c>
      <c r="K189" s="71">
        <f t="shared" si="10"/>
        <v>-173396.12676056335</v>
      </c>
    </row>
    <row r="190" spans="1:11" x14ac:dyDescent="0.25">
      <c r="A190" s="38">
        <f>Données!A187</f>
        <v>5716</v>
      </c>
      <c r="B190" s="129" t="str">
        <f>Données!B187</f>
        <v>Eysins</v>
      </c>
      <c r="C190" s="8">
        <f>Données!Z187</f>
        <v>1739</v>
      </c>
      <c r="D190" s="8">
        <f t="shared" si="12"/>
        <v>1000</v>
      </c>
      <c r="E190" s="160">
        <f t="shared" si="11"/>
        <v>739</v>
      </c>
      <c r="F190" s="8">
        <f t="shared" si="11"/>
        <v>0</v>
      </c>
      <c r="G190" s="160">
        <f t="shared" si="11"/>
        <v>0</v>
      </c>
      <c r="H190" s="31">
        <f t="shared" si="11"/>
        <v>0</v>
      </c>
      <c r="I190" s="8">
        <f t="shared" si="11"/>
        <v>0</v>
      </c>
      <c r="J190" s="8">
        <f t="shared" si="9"/>
        <v>0</v>
      </c>
      <c r="K190" s="71">
        <f t="shared" si="10"/>
        <v>-402562.32394366188</v>
      </c>
    </row>
    <row r="191" spans="1:11" x14ac:dyDescent="0.25">
      <c r="A191" s="38">
        <f>Données!A188</f>
        <v>5717</v>
      </c>
      <c r="B191" s="129" t="str">
        <f>Données!B188</f>
        <v>Founex</v>
      </c>
      <c r="C191" s="8">
        <f>Données!Z188</f>
        <v>3792</v>
      </c>
      <c r="D191" s="8">
        <f t="shared" si="12"/>
        <v>1000</v>
      </c>
      <c r="E191" s="160">
        <f t="shared" si="11"/>
        <v>2000</v>
      </c>
      <c r="F191" s="8">
        <f t="shared" si="11"/>
        <v>792</v>
      </c>
      <c r="G191" s="160">
        <f t="shared" si="11"/>
        <v>0</v>
      </c>
      <c r="H191" s="31">
        <f t="shared" si="11"/>
        <v>0</v>
      </c>
      <c r="I191" s="8">
        <f t="shared" si="11"/>
        <v>0</v>
      </c>
      <c r="J191" s="8">
        <f t="shared" si="9"/>
        <v>0</v>
      </c>
      <c r="K191" s="71">
        <f t="shared" si="10"/>
        <v>-1281190.1408450701</v>
      </c>
    </row>
    <row r="192" spans="1:11" x14ac:dyDescent="0.25">
      <c r="A192" s="38">
        <f>Données!A189</f>
        <v>5718</v>
      </c>
      <c r="B192" s="129" t="str">
        <f>Données!B189</f>
        <v>Genolier</v>
      </c>
      <c r="C192" s="8">
        <f>Données!Z189</f>
        <v>2038</v>
      </c>
      <c r="D192" s="8">
        <f t="shared" si="12"/>
        <v>1000</v>
      </c>
      <c r="E192" s="160">
        <f t="shared" si="11"/>
        <v>1038</v>
      </c>
      <c r="F192" s="8">
        <f t="shared" si="11"/>
        <v>0</v>
      </c>
      <c r="G192" s="160">
        <f t="shared" si="11"/>
        <v>0</v>
      </c>
      <c r="H192" s="31">
        <f t="shared" si="11"/>
        <v>0</v>
      </c>
      <c r="I192" s="8">
        <f t="shared" si="11"/>
        <v>0</v>
      </c>
      <c r="J192" s="8">
        <f t="shared" si="9"/>
        <v>0</v>
      </c>
      <c r="K192" s="71">
        <f t="shared" si="10"/>
        <v>-512371.12676056335</v>
      </c>
    </row>
    <row r="193" spans="1:11" x14ac:dyDescent="0.25">
      <c r="A193" s="38">
        <f>Données!A190</f>
        <v>5719</v>
      </c>
      <c r="B193" s="129" t="str">
        <f>Données!B190</f>
        <v>Gingins</v>
      </c>
      <c r="C193" s="8">
        <f>Données!Z190</f>
        <v>1262</v>
      </c>
      <c r="D193" s="8">
        <f t="shared" si="12"/>
        <v>1000</v>
      </c>
      <c r="E193" s="160">
        <f t="shared" si="11"/>
        <v>262</v>
      </c>
      <c r="F193" s="8">
        <f t="shared" si="11"/>
        <v>0</v>
      </c>
      <c r="G193" s="160">
        <f t="shared" si="11"/>
        <v>0</v>
      </c>
      <c r="H193" s="31">
        <f t="shared" si="11"/>
        <v>0</v>
      </c>
      <c r="I193" s="8">
        <f t="shared" si="11"/>
        <v>0</v>
      </c>
      <c r="J193" s="8">
        <f t="shared" si="9"/>
        <v>0</v>
      </c>
      <c r="K193" s="71">
        <f t="shared" si="10"/>
        <v>-227382.39436619714</v>
      </c>
    </row>
    <row r="194" spans="1:11" x14ac:dyDescent="0.25">
      <c r="A194" s="38">
        <f>Données!A191</f>
        <v>5720</v>
      </c>
      <c r="B194" s="129" t="str">
        <f>Données!B191</f>
        <v>Givrins</v>
      </c>
      <c r="C194" s="8">
        <f>Données!Z191</f>
        <v>1019</v>
      </c>
      <c r="D194" s="8">
        <f t="shared" si="12"/>
        <v>1000</v>
      </c>
      <c r="E194" s="160">
        <f t="shared" si="11"/>
        <v>19</v>
      </c>
      <c r="F194" s="8">
        <f t="shared" si="11"/>
        <v>0</v>
      </c>
      <c r="G194" s="160">
        <f t="shared" si="11"/>
        <v>0</v>
      </c>
      <c r="H194" s="31">
        <f t="shared" si="11"/>
        <v>0</v>
      </c>
      <c r="I194" s="8">
        <f t="shared" si="11"/>
        <v>0</v>
      </c>
      <c r="J194" s="8">
        <f t="shared" si="9"/>
        <v>0</v>
      </c>
      <c r="K194" s="71">
        <f t="shared" si="10"/>
        <v>-138139.78873239434</v>
      </c>
    </row>
    <row r="195" spans="1:11" x14ac:dyDescent="0.25">
      <c r="A195" s="38">
        <f>Données!A192</f>
        <v>5721</v>
      </c>
      <c r="B195" s="129" t="str">
        <f>Données!B192</f>
        <v>Gland</v>
      </c>
      <c r="C195" s="8">
        <f>Données!Z192</f>
        <v>13976</v>
      </c>
      <c r="D195" s="8">
        <f t="shared" si="12"/>
        <v>1000</v>
      </c>
      <c r="E195" s="160">
        <f t="shared" si="11"/>
        <v>2000</v>
      </c>
      <c r="F195" s="8">
        <f t="shared" si="11"/>
        <v>2000</v>
      </c>
      <c r="G195" s="160">
        <f t="shared" si="11"/>
        <v>4000</v>
      </c>
      <c r="H195" s="31">
        <f t="shared" si="11"/>
        <v>3000</v>
      </c>
      <c r="I195" s="8">
        <f t="shared" si="11"/>
        <v>1976</v>
      </c>
      <c r="J195" s="8">
        <f t="shared" si="9"/>
        <v>0</v>
      </c>
      <c r="K195" s="71">
        <f t="shared" si="10"/>
        <v>-9182387.3239436597</v>
      </c>
    </row>
    <row r="196" spans="1:11" x14ac:dyDescent="0.25">
      <c r="A196" s="38">
        <f>Données!A193</f>
        <v>5722</v>
      </c>
      <c r="B196" s="129" t="str">
        <f>Données!B193</f>
        <v>Grens</v>
      </c>
      <c r="C196" s="8">
        <f>Données!Z193</f>
        <v>392</v>
      </c>
      <c r="D196" s="8">
        <f t="shared" si="12"/>
        <v>392</v>
      </c>
      <c r="E196" s="160">
        <f t="shared" si="11"/>
        <v>0</v>
      </c>
      <c r="F196" s="8">
        <f t="shared" si="11"/>
        <v>0</v>
      </c>
      <c r="G196" s="160">
        <f t="shared" si="11"/>
        <v>0</v>
      </c>
      <c r="H196" s="31">
        <f t="shared" si="11"/>
        <v>0</v>
      </c>
      <c r="I196" s="8">
        <f t="shared" si="11"/>
        <v>0</v>
      </c>
      <c r="J196" s="8">
        <f t="shared" si="9"/>
        <v>0</v>
      </c>
      <c r="K196" s="71">
        <f t="shared" si="10"/>
        <v>-51415.492957746472</v>
      </c>
    </row>
    <row r="197" spans="1:11" x14ac:dyDescent="0.25">
      <c r="A197" s="38">
        <f>Données!A194</f>
        <v>5723</v>
      </c>
      <c r="B197" s="129" t="str">
        <f>Données!B194</f>
        <v>Mies</v>
      </c>
      <c r="C197" s="8">
        <f>Données!Z194</f>
        <v>2171</v>
      </c>
      <c r="D197" s="8">
        <f t="shared" si="12"/>
        <v>1000</v>
      </c>
      <c r="E197" s="160">
        <f t="shared" si="11"/>
        <v>1171</v>
      </c>
      <c r="F197" s="8">
        <f t="shared" si="11"/>
        <v>0</v>
      </c>
      <c r="G197" s="160">
        <f t="shared" si="11"/>
        <v>0</v>
      </c>
      <c r="H197" s="31">
        <f t="shared" si="11"/>
        <v>0</v>
      </c>
      <c r="I197" s="8">
        <f t="shared" si="11"/>
        <v>0</v>
      </c>
      <c r="J197" s="8">
        <f t="shared" si="9"/>
        <v>0</v>
      </c>
      <c r="K197" s="71">
        <f t="shared" si="10"/>
        <v>-561215.84507042251</v>
      </c>
    </row>
    <row r="198" spans="1:11" x14ac:dyDescent="0.25">
      <c r="A198" s="38">
        <f>Données!A195</f>
        <v>5724</v>
      </c>
      <c r="B198" s="129" t="str">
        <f>Données!B195</f>
        <v>Nyon</v>
      </c>
      <c r="C198" s="8">
        <f>Données!Z195</f>
        <v>22978</v>
      </c>
      <c r="D198" s="8">
        <f t="shared" si="12"/>
        <v>1000</v>
      </c>
      <c r="E198" s="160">
        <f t="shared" si="11"/>
        <v>2000</v>
      </c>
      <c r="F198" s="8">
        <f t="shared" si="11"/>
        <v>2000</v>
      </c>
      <c r="G198" s="160">
        <f t="shared" si="11"/>
        <v>4000</v>
      </c>
      <c r="H198" s="31">
        <f t="shared" si="11"/>
        <v>3000</v>
      </c>
      <c r="I198" s="8">
        <f t="shared" si="11"/>
        <v>3000</v>
      </c>
      <c r="J198" s="8">
        <f t="shared" si="9"/>
        <v>7978</v>
      </c>
      <c r="K198" s="71">
        <f t="shared" si="10"/>
        <v>-19046711.971830983</v>
      </c>
    </row>
    <row r="199" spans="1:11" x14ac:dyDescent="0.25">
      <c r="A199" s="38">
        <f>Données!A196</f>
        <v>5725</v>
      </c>
      <c r="B199" s="129" t="str">
        <f>Données!B196</f>
        <v>Prangins</v>
      </c>
      <c r="C199" s="8">
        <f>Données!Z196</f>
        <v>4284</v>
      </c>
      <c r="D199" s="8">
        <f t="shared" si="12"/>
        <v>1000</v>
      </c>
      <c r="E199" s="160">
        <f t="shared" si="11"/>
        <v>2000</v>
      </c>
      <c r="F199" s="8">
        <f t="shared" si="11"/>
        <v>1284</v>
      </c>
      <c r="G199" s="160">
        <f t="shared" si="11"/>
        <v>0</v>
      </c>
      <c r="H199" s="31">
        <f t="shared" si="11"/>
        <v>0</v>
      </c>
      <c r="I199" s="8">
        <f t="shared" si="11"/>
        <v>0</v>
      </c>
      <c r="J199" s="8">
        <f t="shared" si="9"/>
        <v>0</v>
      </c>
      <c r="K199" s="71">
        <f t="shared" si="10"/>
        <v>-1539316.9014084504</v>
      </c>
    </row>
    <row r="200" spans="1:11" x14ac:dyDescent="0.25">
      <c r="A200" s="38">
        <f>Données!A197</f>
        <v>5726</v>
      </c>
      <c r="B200" s="129" t="str">
        <f>Données!B197</f>
        <v>La Rippe</v>
      </c>
      <c r="C200" s="8">
        <f>Données!Z197</f>
        <v>1206</v>
      </c>
      <c r="D200" s="8">
        <f t="shared" si="12"/>
        <v>1000</v>
      </c>
      <c r="E200" s="160">
        <f t="shared" si="11"/>
        <v>206</v>
      </c>
      <c r="F200" s="8">
        <f t="shared" si="11"/>
        <v>0</v>
      </c>
      <c r="G200" s="160">
        <f t="shared" si="11"/>
        <v>0</v>
      </c>
      <c r="H200" s="31">
        <f t="shared" si="11"/>
        <v>0</v>
      </c>
      <c r="I200" s="8">
        <f t="shared" si="11"/>
        <v>0</v>
      </c>
      <c r="J200" s="8">
        <f t="shared" si="9"/>
        <v>0</v>
      </c>
      <c r="K200" s="71">
        <f t="shared" si="10"/>
        <v>-206816.19718309856</v>
      </c>
    </row>
    <row r="201" spans="1:11" x14ac:dyDescent="0.25">
      <c r="A201" s="38">
        <f>Données!A198</f>
        <v>5727</v>
      </c>
      <c r="B201" s="129" t="str">
        <f>Données!B198</f>
        <v>Saint-Cergue</v>
      </c>
      <c r="C201" s="8">
        <f>Données!Z198</f>
        <v>2916</v>
      </c>
      <c r="D201" s="8">
        <f t="shared" si="12"/>
        <v>1000</v>
      </c>
      <c r="E201" s="160">
        <f t="shared" si="11"/>
        <v>1916</v>
      </c>
      <c r="F201" s="8">
        <f t="shared" si="11"/>
        <v>0</v>
      </c>
      <c r="G201" s="160">
        <f t="shared" si="11"/>
        <v>0</v>
      </c>
      <c r="H201" s="31">
        <f t="shared" si="11"/>
        <v>0</v>
      </c>
      <c r="I201" s="8">
        <f t="shared" si="11"/>
        <v>0</v>
      </c>
      <c r="J201" s="8">
        <f t="shared" si="9"/>
        <v>0</v>
      </c>
      <c r="K201" s="71">
        <f t="shared" si="10"/>
        <v>-834819.71830985905</v>
      </c>
    </row>
    <row r="202" spans="1:11" x14ac:dyDescent="0.25">
      <c r="A202" s="38">
        <f>Données!A199</f>
        <v>5728</v>
      </c>
      <c r="B202" s="129" t="str">
        <f>Données!B199</f>
        <v>Signy-Avenex</v>
      </c>
      <c r="C202" s="8">
        <f>Données!Z199</f>
        <v>606</v>
      </c>
      <c r="D202" s="8">
        <f t="shared" si="12"/>
        <v>606</v>
      </c>
      <c r="E202" s="160">
        <f t="shared" si="11"/>
        <v>0</v>
      </c>
      <c r="F202" s="8">
        <f t="shared" si="11"/>
        <v>0</v>
      </c>
      <c r="G202" s="160">
        <f t="shared" si="11"/>
        <v>0</v>
      </c>
      <c r="H202" s="31">
        <f t="shared" si="11"/>
        <v>0</v>
      </c>
      <c r="I202" s="8">
        <f t="shared" si="11"/>
        <v>0</v>
      </c>
      <c r="J202" s="8">
        <f t="shared" ref="J202:J265" si="13">IF(C202&gt;$J$5,C202-$J$5,0)</f>
        <v>0</v>
      </c>
      <c r="K202" s="71">
        <f t="shared" ref="K202:K265" si="14">-((D202*D$8)+(E202*E$8)+(F202*F$8)+(G202*G$8)+(H202*H$8)+(I202*I$8)+(J202*J$8))</f>
        <v>-79484.154929577446</v>
      </c>
    </row>
    <row r="203" spans="1:11" x14ac:dyDescent="0.25">
      <c r="A203" s="38">
        <f>Données!A200</f>
        <v>5729</v>
      </c>
      <c r="B203" s="129" t="str">
        <f>Données!B200</f>
        <v>Tannay</v>
      </c>
      <c r="C203" s="8">
        <f>Données!Z200</f>
        <v>1715</v>
      </c>
      <c r="D203" s="8">
        <f t="shared" si="12"/>
        <v>1000</v>
      </c>
      <c r="E203" s="160">
        <f t="shared" si="11"/>
        <v>715</v>
      </c>
      <c r="F203" s="8">
        <f t="shared" si="11"/>
        <v>0</v>
      </c>
      <c r="G203" s="160">
        <f t="shared" si="11"/>
        <v>0</v>
      </c>
      <c r="H203" s="31">
        <f t="shared" si="11"/>
        <v>0</v>
      </c>
      <c r="I203" s="8">
        <f t="shared" si="11"/>
        <v>0</v>
      </c>
      <c r="J203" s="8">
        <f t="shared" si="13"/>
        <v>0</v>
      </c>
      <c r="K203" s="71">
        <f t="shared" si="14"/>
        <v>-393748.23943661968</v>
      </c>
    </row>
    <row r="204" spans="1:11" x14ac:dyDescent="0.25">
      <c r="A204" s="38">
        <f>Données!A201</f>
        <v>5730</v>
      </c>
      <c r="B204" s="129" t="str">
        <f>Données!B201</f>
        <v>Trélex</v>
      </c>
      <c r="C204" s="8">
        <f>Données!Z201</f>
        <v>1447</v>
      </c>
      <c r="D204" s="8">
        <f t="shared" si="12"/>
        <v>1000</v>
      </c>
      <c r="E204" s="160">
        <f t="shared" si="11"/>
        <v>447</v>
      </c>
      <c r="F204" s="8">
        <f t="shared" si="11"/>
        <v>0</v>
      </c>
      <c r="G204" s="160">
        <f t="shared" si="11"/>
        <v>0</v>
      </c>
      <c r="H204" s="31">
        <f t="shared" si="11"/>
        <v>0</v>
      </c>
      <c r="I204" s="8">
        <f t="shared" si="11"/>
        <v>0</v>
      </c>
      <c r="J204" s="8">
        <f t="shared" si="13"/>
        <v>0</v>
      </c>
      <c r="K204" s="71">
        <f t="shared" si="14"/>
        <v>-295324.29577464785</v>
      </c>
    </row>
    <row r="205" spans="1:11" x14ac:dyDescent="0.25">
      <c r="A205" s="38">
        <f>Données!A202</f>
        <v>5731</v>
      </c>
      <c r="B205" s="129" t="str">
        <f>Données!B202</f>
        <v>Le Vaud</v>
      </c>
      <c r="C205" s="8">
        <f>Données!Z202</f>
        <v>1413</v>
      </c>
      <c r="D205" s="8">
        <f t="shared" si="12"/>
        <v>1000</v>
      </c>
      <c r="E205" s="160">
        <f t="shared" si="11"/>
        <v>413</v>
      </c>
      <c r="F205" s="8">
        <f t="shared" si="11"/>
        <v>0</v>
      </c>
      <c r="G205" s="160">
        <f t="shared" si="11"/>
        <v>0</v>
      </c>
      <c r="H205" s="31">
        <f t="shared" si="11"/>
        <v>0</v>
      </c>
      <c r="I205" s="8">
        <f t="shared" si="11"/>
        <v>0</v>
      </c>
      <c r="J205" s="8">
        <f t="shared" si="13"/>
        <v>0</v>
      </c>
      <c r="K205" s="71">
        <f t="shared" si="14"/>
        <v>-282837.67605633801</v>
      </c>
    </row>
    <row r="206" spans="1:11" x14ac:dyDescent="0.25">
      <c r="A206" s="38">
        <f>Données!A203</f>
        <v>5732</v>
      </c>
      <c r="B206" s="129" t="str">
        <f>Données!B203</f>
        <v>Vich</v>
      </c>
      <c r="C206" s="8">
        <f>Données!Z203</f>
        <v>1174</v>
      </c>
      <c r="D206" s="8">
        <f t="shared" si="12"/>
        <v>1000</v>
      </c>
      <c r="E206" s="160">
        <f t="shared" si="11"/>
        <v>174</v>
      </c>
      <c r="F206" s="8">
        <f t="shared" si="11"/>
        <v>0</v>
      </c>
      <c r="G206" s="160">
        <f t="shared" si="11"/>
        <v>0</v>
      </c>
      <c r="H206" s="31">
        <f t="shared" si="11"/>
        <v>0</v>
      </c>
      <c r="I206" s="8">
        <f t="shared" si="11"/>
        <v>0</v>
      </c>
      <c r="J206" s="8">
        <f t="shared" si="13"/>
        <v>0</v>
      </c>
      <c r="K206" s="71">
        <f t="shared" si="14"/>
        <v>-195064.08450704222</v>
      </c>
    </row>
    <row r="207" spans="1:11" x14ac:dyDescent="0.25">
      <c r="A207" s="38">
        <f>Données!A204</f>
        <v>5741</v>
      </c>
      <c r="B207" s="129" t="str">
        <f>Données!B204</f>
        <v>L'Abergement</v>
      </c>
      <c r="C207" s="8">
        <f>Données!Z204</f>
        <v>268</v>
      </c>
      <c r="D207" s="8">
        <f t="shared" si="12"/>
        <v>268</v>
      </c>
      <c r="E207" s="160">
        <f t="shared" si="11"/>
        <v>0</v>
      </c>
      <c r="F207" s="8">
        <f t="shared" si="11"/>
        <v>0</v>
      </c>
      <c r="G207" s="160">
        <f t="shared" si="11"/>
        <v>0</v>
      </c>
      <c r="H207" s="31">
        <f t="shared" si="11"/>
        <v>0</v>
      </c>
      <c r="I207" s="8">
        <f t="shared" si="11"/>
        <v>0</v>
      </c>
      <c r="J207" s="8">
        <f t="shared" si="13"/>
        <v>0</v>
      </c>
      <c r="K207" s="71">
        <f t="shared" si="14"/>
        <v>-35151.408450704221</v>
      </c>
    </row>
    <row r="208" spans="1:11" x14ac:dyDescent="0.25">
      <c r="A208" s="38">
        <f>Données!A205</f>
        <v>5742</v>
      </c>
      <c r="B208" s="129" t="str">
        <f>Données!B205</f>
        <v>Agiez</v>
      </c>
      <c r="C208" s="8">
        <f>Données!Z205</f>
        <v>383</v>
      </c>
      <c r="D208" s="8">
        <f t="shared" si="12"/>
        <v>383</v>
      </c>
      <c r="E208" s="160">
        <f t="shared" si="11"/>
        <v>0</v>
      </c>
      <c r="F208" s="8">
        <f t="shared" si="11"/>
        <v>0</v>
      </c>
      <c r="G208" s="160">
        <f t="shared" si="11"/>
        <v>0</v>
      </c>
      <c r="H208" s="31">
        <f t="shared" si="11"/>
        <v>0</v>
      </c>
      <c r="I208" s="8">
        <f t="shared" si="11"/>
        <v>0</v>
      </c>
      <c r="J208" s="8">
        <f t="shared" si="13"/>
        <v>0</v>
      </c>
      <c r="K208" s="71">
        <f t="shared" si="14"/>
        <v>-50235.035211267597</v>
      </c>
    </row>
    <row r="209" spans="1:11" x14ac:dyDescent="0.25">
      <c r="A209" s="38">
        <f>Données!A206</f>
        <v>5743</v>
      </c>
      <c r="B209" s="129" t="str">
        <f>Données!B206</f>
        <v>Arnex-sur-Orbe</v>
      </c>
      <c r="C209" s="8">
        <f>Données!Z206</f>
        <v>661</v>
      </c>
      <c r="D209" s="8">
        <f t="shared" si="12"/>
        <v>661</v>
      </c>
      <c r="E209" s="160">
        <f t="shared" si="11"/>
        <v>0</v>
      </c>
      <c r="F209" s="8">
        <f t="shared" si="11"/>
        <v>0</v>
      </c>
      <c r="G209" s="160">
        <f t="shared" ref="E209:I260" si="15">IF($C209&gt;G$5,IF($C209&lt;G$6,$C209-G$5,G$6-G$5),0)</f>
        <v>0</v>
      </c>
      <c r="H209" s="31">
        <f t="shared" si="15"/>
        <v>0</v>
      </c>
      <c r="I209" s="8">
        <f t="shared" si="15"/>
        <v>0</v>
      </c>
      <c r="J209" s="8">
        <f t="shared" si="13"/>
        <v>0</v>
      </c>
      <c r="K209" s="71">
        <f t="shared" si="14"/>
        <v>-86698.063380281674</v>
      </c>
    </row>
    <row r="210" spans="1:11" x14ac:dyDescent="0.25">
      <c r="A210" s="38">
        <f>Données!A207</f>
        <v>5744</v>
      </c>
      <c r="B210" s="129" t="str">
        <f>Données!B207</f>
        <v>Ballaigues</v>
      </c>
      <c r="C210" s="8">
        <f>Données!Z207</f>
        <v>1193</v>
      </c>
      <c r="D210" s="8">
        <f t="shared" si="12"/>
        <v>1000</v>
      </c>
      <c r="E210" s="160">
        <f t="shared" si="15"/>
        <v>193</v>
      </c>
      <c r="F210" s="8">
        <f t="shared" si="15"/>
        <v>0</v>
      </c>
      <c r="G210" s="160">
        <f t="shared" si="15"/>
        <v>0</v>
      </c>
      <c r="H210" s="31">
        <f t="shared" si="15"/>
        <v>0</v>
      </c>
      <c r="I210" s="8">
        <f t="shared" si="15"/>
        <v>0</v>
      </c>
      <c r="J210" s="8">
        <f t="shared" si="13"/>
        <v>0</v>
      </c>
      <c r="K210" s="71">
        <f t="shared" si="14"/>
        <v>-202041.90140845068</v>
      </c>
    </row>
    <row r="211" spans="1:11" x14ac:dyDescent="0.25">
      <c r="A211" s="38">
        <f>Données!A208</f>
        <v>5745</v>
      </c>
      <c r="B211" s="129" t="str">
        <f>Données!B208</f>
        <v>Baulmes</v>
      </c>
      <c r="C211" s="8">
        <f>Données!Z208</f>
        <v>1146</v>
      </c>
      <c r="D211" s="8">
        <f t="shared" si="12"/>
        <v>1000</v>
      </c>
      <c r="E211" s="160">
        <f t="shared" si="15"/>
        <v>146</v>
      </c>
      <c r="F211" s="8">
        <f t="shared" si="15"/>
        <v>0</v>
      </c>
      <c r="G211" s="160">
        <f t="shared" si="15"/>
        <v>0</v>
      </c>
      <c r="H211" s="31">
        <f t="shared" si="15"/>
        <v>0</v>
      </c>
      <c r="I211" s="8">
        <f t="shared" si="15"/>
        <v>0</v>
      </c>
      <c r="J211" s="8">
        <f t="shared" si="13"/>
        <v>0</v>
      </c>
      <c r="K211" s="71">
        <f t="shared" si="14"/>
        <v>-184780.98591549293</v>
      </c>
    </row>
    <row r="212" spans="1:11" x14ac:dyDescent="0.25">
      <c r="A212" s="38">
        <f>Données!A209</f>
        <v>5746</v>
      </c>
      <c r="B212" s="129" t="str">
        <f>Données!B209</f>
        <v>Bavois</v>
      </c>
      <c r="C212" s="8">
        <f>Données!Z209</f>
        <v>1037</v>
      </c>
      <c r="D212" s="8">
        <f t="shared" si="12"/>
        <v>1000</v>
      </c>
      <c r="E212" s="160">
        <f t="shared" si="15"/>
        <v>37</v>
      </c>
      <c r="F212" s="8">
        <f t="shared" si="15"/>
        <v>0</v>
      </c>
      <c r="G212" s="160">
        <f t="shared" si="15"/>
        <v>0</v>
      </c>
      <c r="H212" s="31">
        <f t="shared" si="15"/>
        <v>0</v>
      </c>
      <c r="I212" s="8">
        <f t="shared" si="15"/>
        <v>0</v>
      </c>
      <c r="J212" s="8">
        <f t="shared" si="13"/>
        <v>0</v>
      </c>
      <c r="K212" s="71">
        <f t="shared" si="14"/>
        <v>-144750.35211267602</v>
      </c>
    </row>
    <row r="213" spans="1:11" x14ac:dyDescent="0.25">
      <c r="A213" s="38">
        <f>Données!A210</f>
        <v>5747</v>
      </c>
      <c r="B213" s="129" t="str">
        <f>Données!B210</f>
        <v>Bofflens</v>
      </c>
      <c r="C213" s="8">
        <f>Données!Z210</f>
        <v>194</v>
      </c>
      <c r="D213" s="8">
        <f t="shared" si="12"/>
        <v>194</v>
      </c>
      <c r="E213" s="160">
        <f t="shared" si="15"/>
        <v>0</v>
      </c>
      <c r="F213" s="8">
        <f t="shared" si="15"/>
        <v>0</v>
      </c>
      <c r="G213" s="160">
        <f t="shared" si="15"/>
        <v>0</v>
      </c>
      <c r="H213" s="31">
        <f t="shared" si="15"/>
        <v>0</v>
      </c>
      <c r="I213" s="8">
        <f t="shared" si="15"/>
        <v>0</v>
      </c>
      <c r="J213" s="8">
        <f t="shared" si="13"/>
        <v>0</v>
      </c>
      <c r="K213" s="71">
        <f t="shared" si="14"/>
        <v>-25445.422535211263</v>
      </c>
    </row>
    <row r="214" spans="1:11" x14ac:dyDescent="0.25">
      <c r="A214" s="38">
        <f>Données!A211</f>
        <v>5748</v>
      </c>
      <c r="B214" s="129" t="str">
        <f>Données!B211</f>
        <v>Bretonnières</v>
      </c>
      <c r="C214" s="8">
        <f>Données!Z211</f>
        <v>259</v>
      </c>
      <c r="D214" s="8">
        <f t="shared" si="12"/>
        <v>259</v>
      </c>
      <c r="E214" s="160">
        <f t="shared" si="15"/>
        <v>0</v>
      </c>
      <c r="F214" s="8">
        <f t="shared" si="15"/>
        <v>0</v>
      </c>
      <c r="G214" s="160">
        <f t="shared" si="15"/>
        <v>0</v>
      </c>
      <c r="H214" s="31">
        <f t="shared" si="15"/>
        <v>0</v>
      </c>
      <c r="I214" s="8">
        <f t="shared" si="15"/>
        <v>0</v>
      </c>
      <c r="J214" s="8">
        <f t="shared" si="13"/>
        <v>0</v>
      </c>
      <c r="K214" s="71">
        <f t="shared" si="14"/>
        <v>-33970.950704225346</v>
      </c>
    </row>
    <row r="215" spans="1:11" x14ac:dyDescent="0.25">
      <c r="A215" s="38">
        <f>Données!A212</f>
        <v>5749</v>
      </c>
      <c r="B215" s="129" t="str">
        <f>Données!B212</f>
        <v>Chavornay</v>
      </c>
      <c r="C215" s="8">
        <f>Données!Z212</f>
        <v>5423</v>
      </c>
      <c r="D215" s="8">
        <f t="shared" si="12"/>
        <v>1000</v>
      </c>
      <c r="E215" s="160">
        <f t="shared" si="15"/>
        <v>2000</v>
      </c>
      <c r="F215" s="8">
        <f t="shared" si="15"/>
        <v>2000</v>
      </c>
      <c r="G215" s="160">
        <f t="shared" si="15"/>
        <v>423</v>
      </c>
      <c r="H215" s="31">
        <f t="shared" si="15"/>
        <v>0</v>
      </c>
      <c r="I215" s="8">
        <f t="shared" si="15"/>
        <v>0</v>
      </c>
      <c r="J215" s="8">
        <f t="shared" si="13"/>
        <v>0</v>
      </c>
      <c r="K215" s="71">
        <f t="shared" si="14"/>
        <v>-2181276.0563380281</v>
      </c>
    </row>
    <row r="216" spans="1:11" x14ac:dyDescent="0.25">
      <c r="A216" s="38">
        <f>Données!A213</f>
        <v>5750</v>
      </c>
      <c r="B216" s="129" t="str">
        <f>Données!B213</f>
        <v>Les Clées</v>
      </c>
      <c r="C216" s="8">
        <f>Données!Z213</f>
        <v>192</v>
      </c>
      <c r="D216" s="8">
        <f t="shared" si="12"/>
        <v>192</v>
      </c>
      <c r="E216" s="160">
        <f t="shared" si="15"/>
        <v>0</v>
      </c>
      <c r="F216" s="8">
        <f t="shared" si="15"/>
        <v>0</v>
      </c>
      <c r="G216" s="160">
        <f t="shared" si="15"/>
        <v>0</v>
      </c>
      <c r="H216" s="31">
        <f t="shared" si="15"/>
        <v>0</v>
      </c>
      <c r="I216" s="8">
        <f t="shared" si="15"/>
        <v>0</v>
      </c>
      <c r="J216" s="8">
        <f t="shared" si="13"/>
        <v>0</v>
      </c>
      <c r="K216" s="71">
        <f t="shared" si="14"/>
        <v>-25183.098591549293</v>
      </c>
    </row>
    <row r="217" spans="1:11" x14ac:dyDescent="0.25">
      <c r="A217" s="38">
        <f>Données!A214</f>
        <v>5752</v>
      </c>
      <c r="B217" s="129" t="str">
        <f>Données!B214</f>
        <v>Croy</v>
      </c>
      <c r="C217" s="8">
        <f>Données!Z214</f>
        <v>397</v>
      </c>
      <c r="D217" s="8">
        <f t="shared" si="12"/>
        <v>397</v>
      </c>
      <c r="E217" s="160">
        <f t="shared" si="15"/>
        <v>0</v>
      </c>
      <c r="F217" s="8">
        <f t="shared" si="15"/>
        <v>0</v>
      </c>
      <c r="G217" s="160">
        <f t="shared" si="15"/>
        <v>0</v>
      </c>
      <c r="H217" s="31">
        <f t="shared" si="15"/>
        <v>0</v>
      </c>
      <c r="I217" s="8">
        <f t="shared" si="15"/>
        <v>0</v>
      </c>
      <c r="J217" s="8">
        <f t="shared" si="13"/>
        <v>0</v>
      </c>
      <c r="K217" s="71">
        <f t="shared" si="14"/>
        <v>-52071.3028169014</v>
      </c>
    </row>
    <row r="218" spans="1:11" x14ac:dyDescent="0.25">
      <c r="A218" s="38">
        <f>Données!A215</f>
        <v>5754</v>
      </c>
      <c r="B218" s="129" t="str">
        <f>Données!B215</f>
        <v>Juriens</v>
      </c>
      <c r="C218" s="8">
        <f>Données!Z215</f>
        <v>351</v>
      </c>
      <c r="D218" s="8">
        <f t="shared" si="12"/>
        <v>351</v>
      </c>
      <c r="E218" s="160">
        <f t="shared" si="15"/>
        <v>0</v>
      </c>
      <c r="F218" s="8">
        <f t="shared" si="15"/>
        <v>0</v>
      </c>
      <c r="G218" s="160">
        <f t="shared" si="15"/>
        <v>0</v>
      </c>
      <c r="H218" s="31">
        <f t="shared" si="15"/>
        <v>0</v>
      </c>
      <c r="I218" s="8">
        <f t="shared" si="15"/>
        <v>0</v>
      </c>
      <c r="J218" s="8">
        <f t="shared" si="13"/>
        <v>0</v>
      </c>
      <c r="K218" s="71">
        <f t="shared" si="14"/>
        <v>-46037.852112676046</v>
      </c>
    </row>
    <row r="219" spans="1:11" x14ac:dyDescent="0.25">
      <c r="A219" s="38">
        <f>Données!A216</f>
        <v>5755</v>
      </c>
      <c r="B219" s="129" t="str">
        <f>Données!B216</f>
        <v>Lignerolle</v>
      </c>
      <c r="C219" s="8">
        <f>Données!Z216</f>
        <v>462</v>
      </c>
      <c r="D219" s="8">
        <f t="shared" si="12"/>
        <v>462</v>
      </c>
      <c r="E219" s="160">
        <f t="shared" si="15"/>
        <v>0</v>
      </c>
      <c r="F219" s="8">
        <f t="shared" si="15"/>
        <v>0</v>
      </c>
      <c r="G219" s="160">
        <f t="shared" si="15"/>
        <v>0</v>
      </c>
      <c r="H219" s="31">
        <f t="shared" si="15"/>
        <v>0</v>
      </c>
      <c r="I219" s="8">
        <f t="shared" si="15"/>
        <v>0</v>
      </c>
      <c r="J219" s="8">
        <f t="shared" si="13"/>
        <v>0</v>
      </c>
      <c r="K219" s="71">
        <f t="shared" si="14"/>
        <v>-60596.830985915483</v>
      </c>
    </row>
    <row r="220" spans="1:11" x14ac:dyDescent="0.25">
      <c r="A220" s="38">
        <f>Données!A217</f>
        <v>5756</v>
      </c>
      <c r="B220" s="129" t="str">
        <f>Données!B217</f>
        <v>Montcherand</v>
      </c>
      <c r="C220" s="8">
        <f>Données!Z217</f>
        <v>494</v>
      </c>
      <c r="D220" s="8">
        <f t="shared" si="12"/>
        <v>494</v>
      </c>
      <c r="E220" s="160">
        <f t="shared" si="15"/>
        <v>0</v>
      </c>
      <c r="F220" s="8">
        <f t="shared" si="15"/>
        <v>0</v>
      </c>
      <c r="G220" s="160">
        <f t="shared" si="15"/>
        <v>0</v>
      </c>
      <c r="H220" s="31">
        <f t="shared" si="15"/>
        <v>0</v>
      </c>
      <c r="I220" s="8">
        <f t="shared" si="15"/>
        <v>0</v>
      </c>
      <c r="J220" s="8">
        <f t="shared" si="13"/>
        <v>0</v>
      </c>
      <c r="K220" s="71">
        <f t="shared" si="14"/>
        <v>-64794.014084507027</v>
      </c>
    </row>
    <row r="221" spans="1:11" x14ac:dyDescent="0.25">
      <c r="A221" s="38">
        <f>Données!A218</f>
        <v>5757</v>
      </c>
      <c r="B221" s="129" t="str">
        <f>Données!B218</f>
        <v>Orbe</v>
      </c>
      <c r="C221" s="8">
        <f>Données!Z218</f>
        <v>7827</v>
      </c>
      <c r="D221" s="8">
        <f t="shared" si="12"/>
        <v>1000</v>
      </c>
      <c r="E221" s="160">
        <f t="shared" si="15"/>
        <v>2000</v>
      </c>
      <c r="F221" s="8">
        <f t="shared" si="15"/>
        <v>2000</v>
      </c>
      <c r="G221" s="160">
        <f t="shared" si="15"/>
        <v>2827</v>
      </c>
      <c r="H221" s="31">
        <f t="shared" si="15"/>
        <v>0</v>
      </c>
      <c r="I221" s="8">
        <f t="shared" si="15"/>
        <v>0</v>
      </c>
      <c r="J221" s="8">
        <f t="shared" si="13"/>
        <v>0</v>
      </c>
      <c r="K221" s="71">
        <f t="shared" si="14"/>
        <v>-3694780.2816901403</v>
      </c>
    </row>
    <row r="222" spans="1:11" x14ac:dyDescent="0.25">
      <c r="A222" s="38">
        <f>Données!A219</f>
        <v>5758</v>
      </c>
      <c r="B222" s="129" t="str">
        <f>Données!B219</f>
        <v>La Praz</v>
      </c>
      <c r="C222" s="8">
        <f>Données!Z219</f>
        <v>206</v>
      </c>
      <c r="D222" s="8">
        <f t="shared" si="12"/>
        <v>206</v>
      </c>
      <c r="E222" s="160">
        <f t="shared" si="15"/>
        <v>0</v>
      </c>
      <c r="F222" s="8">
        <f t="shared" si="15"/>
        <v>0</v>
      </c>
      <c r="G222" s="160">
        <f t="shared" si="15"/>
        <v>0</v>
      </c>
      <c r="H222" s="31">
        <f t="shared" si="15"/>
        <v>0</v>
      </c>
      <c r="I222" s="8">
        <f t="shared" si="15"/>
        <v>0</v>
      </c>
      <c r="J222" s="8">
        <f t="shared" si="13"/>
        <v>0</v>
      </c>
      <c r="K222" s="71">
        <f t="shared" si="14"/>
        <v>-27019.366197183095</v>
      </c>
    </row>
    <row r="223" spans="1:11" x14ac:dyDescent="0.25">
      <c r="A223" s="38">
        <f>Données!A220</f>
        <v>5759</v>
      </c>
      <c r="B223" s="129" t="str">
        <f>Données!B220</f>
        <v>Premier</v>
      </c>
      <c r="C223" s="8">
        <f>Données!Z220</f>
        <v>233</v>
      </c>
      <c r="D223" s="8">
        <f t="shared" si="12"/>
        <v>233</v>
      </c>
      <c r="E223" s="160">
        <f t="shared" si="15"/>
        <v>0</v>
      </c>
      <c r="F223" s="8">
        <f t="shared" si="15"/>
        <v>0</v>
      </c>
      <c r="G223" s="160">
        <f t="shared" si="15"/>
        <v>0</v>
      </c>
      <c r="H223" s="31">
        <f t="shared" si="15"/>
        <v>0</v>
      </c>
      <c r="I223" s="8">
        <f t="shared" si="15"/>
        <v>0</v>
      </c>
      <c r="J223" s="8">
        <f t="shared" si="13"/>
        <v>0</v>
      </c>
      <c r="K223" s="71">
        <f t="shared" si="14"/>
        <v>-30560.739436619711</v>
      </c>
    </row>
    <row r="224" spans="1:11" x14ac:dyDescent="0.25">
      <c r="A224" s="38">
        <f>Données!A221</f>
        <v>5760</v>
      </c>
      <c r="B224" s="129" t="str">
        <f>Données!B221</f>
        <v>Rances</v>
      </c>
      <c r="C224" s="8">
        <f>Données!Z221</f>
        <v>525</v>
      </c>
      <c r="D224" s="8">
        <f t="shared" si="12"/>
        <v>525</v>
      </c>
      <c r="E224" s="160">
        <f t="shared" si="15"/>
        <v>0</v>
      </c>
      <c r="F224" s="8">
        <f t="shared" si="15"/>
        <v>0</v>
      </c>
      <c r="G224" s="160">
        <f t="shared" si="15"/>
        <v>0</v>
      </c>
      <c r="H224" s="31">
        <f t="shared" si="15"/>
        <v>0</v>
      </c>
      <c r="I224" s="8">
        <f t="shared" si="15"/>
        <v>0</v>
      </c>
      <c r="J224" s="8">
        <f t="shared" si="13"/>
        <v>0</v>
      </c>
      <c r="K224" s="71">
        <f t="shared" si="14"/>
        <v>-68860.03521126759</v>
      </c>
    </row>
    <row r="225" spans="1:11" x14ac:dyDescent="0.25">
      <c r="A225" s="38">
        <f>Données!A222</f>
        <v>5761</v>
      </c>
      <c r="B225" s="129" t="str">
        <f>Données!B222</f>
        <v>Romainmôtier-Envy</v>
      </c>
      <c r="C225" s="8">
        <f>Données!Z222</f>
        <v>575</v>
      </c>
      <c r="D225" s="8">
        <f t="shared" si="12"/>
        <v>575</v>
      </c>
      <c r="E225" s="160">
        <f t="shared" si="15"/>
        <v>0</v>
      </c>
      <c r="F225" s="8">
        <f t="shared" si="15"/>
        <v>0</v>
      </c>
      <c r="G225" s="160">
        <f t="shared" si="15"/>
        <v>0</v>
      </c>
      <c r="H225" s="31">
        <f t="shared" si="15"/>
        <v>0</v>
      </c>
      <c r="I225" s="8">
        <f t="shared" si="15"/>
        <v>0</v>
      </c>
      <c r="J225" s="8">
        <f t="shared" si="13"/>
        <v>0</v>
      </c>
      <c r="K225" s="71">
        <f t="shared" si="14"/>
        <v>-75418.133802816883</v>
      </c>
    </row>
    <row r="226" spans="1:11" x14ac:dyDescent="0.25">
      <c r="A226" s="38">
        <f>Données!A223</f>
        <v>5762</v>
      </c>
      <c r="B226" s="129" t="str">
        <f>Données!B223</f>
        <v>Sergey</v>
      </c>
      <c r="C226" s="8">
        <f>Données!Z223</f>
        <v>137</v>
      </c>
      <c r="D226" s="8">
        <f t="shared" si="12"/>
        <v>137</v>
      </c>
      <c r="E226" s="160">
        <f t="shared" si="15"/>
        <v>0</v>
      </c>
      <c r="F226" s="8">
        <f t="shared" si="15"/>
        <v>0</v>
      </c>
      <c r="G226" s="160">
        <f t="shared" si="15"/>
        <v>0</v>
      </c>
      <c r="H226" s="31">
        <f t="shared" si="15"/>
        <v>0</v>
      </c>
      <c r="I226" s="8">
        <f t="shared" si="15"/>
        <v>0</v>
      </c>
      <c r="J226" s="8">
        <f t="shared" si="13"/>
        <v>0</v>
      </c>
      <c r="K226" s="71">
        <f t="shared" si="14"/>
        <v>-17969.190140845069</v>
      </c>
    </row>
    <row r="227" spans="1:11" x14ac:dyDescent="0.25">
      <c r="A227" s="38">
        <f>Données!A224</f>
        <v>5763</v>
      </c>
      <c r="B227" s="129" t="str">
        <f>Données!B224</f>
        <v>Valeyres-sous-Rances</v>
      </c>
      <c r="C227" s="8">
        <f>Données!Z224</f>
        <v>583</v>
      </c>
      <c r="D227" s="8">
        <f t="shared" si="12"/>
        <v>583</v>
      </c>
      <c r="E227" s="160">
        <f t="shared" si="15"/>
        <v>0</v>
      </c>
      <c r="F227" s="8">
        <f t="shared" si="15"/>
        <v>0</v>
      </c>
      <c r="G227" s="160">
        <f t="shared" si="15"/>
        <v>0</v>
      </c>
      <c r="H227" s="31">
        <f t="shared" si="15"/>
        <v>0</v>
      </c>
      <c r="I227" s="8">
        <f t="shared" si="15"/>
        <v>0</v>
      </c>
      <c r="J227" s="8">
        <f t="shared" si="13"/>
        <v>0</v>
      </c>
      <c r="K227" s="71">
        <f t="shared" si="14"/>
        <v>-76467.429577464776</v>
      </c>
    </row>
    <row r="228" spans="1:11" x14ac:dyDescent="0.25">
      <c r="A228" s="38">
        <f>Données!A225</f>
        <v>5764</v>
      </c>
      <c r="B228" s="129" t="str">
        <f>Données!B225</f>
        <v>Vallorbe</v>
      </c>
      <c r="C228" s="8">
        <f>Données!Z225</f>
        <v>4121</v>
      </c>
      <c r="D228" s="8">
        <f t="shared" si="12"/>
        <v>1000</v>
      </c>
      <c r="E228" s="160">
        <f t="shared" si="15"/>
        <v>2000</v>
      </c>
      <c r="F228" s="8">
        <f t="shared" si="15"/>
        <v>1121</v>
      </c>
      <c r="G228" s="160">
        <f t="shared" si="15"/>
        <v>0</v>
      </c>
      <c r="H228" s="31">
        <f t="shared" si="15"/>
        <v>0</v>
      </c>
      <c r="I228" s="8">
        <f t="shared" si="15"/>
        <v>0</v>
      </c>
      <c r="J228" s="8">
        <f t="shared" si="13"/>
        <v>0</v>
      </c>
      <c r="K228" s="71">
        <f t="shared" si="14"/>
        <v>-1453799.2957746475</v>
      </c>
    </row>
    <row r="229" spans="1:11" x14ac:dyDescent="0.25">
      <c r="A229" s="38">
        <f>Données!A226</f>
        <v>5765</v>
      </c>
      <c r="B229" s="129" t="str">
        <f>Données!B226</f>
        <v>Vaulion</v>
      </c>
      <c r="C229" s="8">
        <f>Données!Z226</f>
        <v>486</v>
      </c>
      <c r="D229" s="8">
        <f t="shared" si="12"/>
        <v>486</v>
      </c>
      <c r="E229" s="160">
        <f t="shared" si="15"/>
        <v>0</v>
      </c>
      <c r="F229" s="8">
        <f t="shared" si="15"/>
        <v>0</v>
      </c>
      <c r="G229" s="160">
        <f t="shared" si="15"/>
        <v>0</v>
      </c>
      <c r="H229" s="31">
        <f t="shared" si="15"/>
        <v>0</v>
      </c>
      <c r="I229" s="8">
        <f t="shared" si="15"/>
        <v>0</v>
      </c>
      <c r="J229" s="8">
        <f t="shared" si="13"/>
        <v>0</v>
      </c>
      <c r="K229" s="71">
        <f t="shared" si="14"/>
        <v>-63744.718309859141</v>
      </c>
    </row>
    <row r="230" spans="1:11" x14ac:dyDescent="0.25">
      <c r="A230" s="38">
        <f>Données!A227</f>
        <v>5766</v>
      </c>
      <c r="B230" s="129" t="str">
        <f>Données!B227</f>
        <v>Vuiteboeuf</v>
      </c>
      <c r="C230" s="8">
        <f>Données!Z227</f>
        <v>586</v>
      </c>
      <c r="D230" s="8">
        <f t="shared" si="12"/>
        <v>586</v>
      </c>
      <c r="E230" s="160">
        <f t="shared" si="15"/>
        <v>0</v>
      </c>
      <c r="F230" s="8">
        <f t="shared" si="15"/>
        <v>0</v>
      </c>
      <c r="G230" s="160">
        <f t="shared" si="15"/>
        <v>0</v>
      </c>
      <c r="H230" s="31">
        <f t="shared" si="15"/>
        <v>0</v>
      </c>
      <c r="I230" s="8">
        <f t="shared" si="15"/>
        <v>0</v>
      </c>
      <c r="J230" s="8">
        <f t="shared" si="13"/>
        <v>0</v>
      </c>
      <c r="K230" s="71">
        <f t="shared" si="14"/>
        <v>-76860.915492957734</v>
      </c>
    </row>
    <row r="231" spans="1:11" x14ac:dyDescent="0.25">
      <c r="A231" s="38">
        <f>Données!A228</f>
        <v>5785</v>
      </c>
      <c r="B231" s="129" t="str">
        <f>Données!B228</f>
        <v>Corcelles-le-Jorat</v>
      </c>
      <c r="C231" s="8">
        <f>Données!Z228</f>
        <v>500</v>
      </c>
      <c r="D231" s="8">
        <f t="shared" si="12"/>
        <v>500</v>
      </c>
      <c r="E231" s="160">
        <f t="shared" si="15"/>
        <v>0</v>
      </c>
      <c r="F231" s="8">
        <f t="shared" si="15"/>
        <v>0</v>
      </c>
      <c r="G231" s="160">
        <f t="shared" si="15"/>
        <v>0</v>
      </c>
      <c r="H231" s="31">
        <f t="shared" si="15"/>
        <v>0</v>
      </c>
      <c r="I231" s="8">
        <f t="shared" si="15"/>
        <v>0</v>
      </c>
      <c r="J231" s="8">
        <f t="shared" si="13"/>
        <v>0</v>
      </c>
      <c r="K231" s="71">
        <f t="shared" si="14"/>
        <v>-65580.985915492944</v>
      </c>
    </row>
    <row r="232" spans="1:11" x14ac:dyDescent="0.25">
      <c r="A232" s="38">
        <f>Données!A229</f>
        <v>5790</v>
      </c>
      <c r="B232" s="129" t="str">
        <f>Données!B229</f>
        <v>Maracon</v>
      </c>
      <c r="C232" s="8">
        <f>Données!Z229</f>
        <v>567</v>
      </c>
      <c r="D232" s="8">
        <f t="shared" si="12"/>
        <v>567</v>
      </c>
      <c r="E232" s="160">
        <f t="shared" si="15"/>
        <v>0</v>
      </c>
      <c r="F232" s="8">
        <f t="shared" si="15"/>
        <v>0</v>
      </c>
      <c r="G232" s="160">
        <f t="shared" si="15"/>
        <v>0</v>
      </c>
      <c r="H232" s="31">
        <f t="shared" si="15"/>
        <v>0</v>
      </c>
      <c r="I232" s="8">
        <f t="shared" si="15"/>
        <v>0</v>
      </c>
      <c r="J232" s="8">
        <f t="shared" si="13"/>
        <v>0</v>
      </c>
      <c r="K232" s="71">
        <f t="shared" si="14"/>
        <v>-74368.838028169004</v>
      </c>
    </row>
    <row r="233" spans="1:11" x14ac:dyDescent="0.25">
      <c r="A233" s="38">
        <f>Données!A230</f>
        <v>5792</v>
      </c>
      <c r="B233" s="129" t="str">
        <f>Données!B230</f>
        <v>Montpreveyres</v>
      </c>
      <c r="C233" s="8">
        <f>Données!Z230</f>
        <v>632</v>
      </c>
      <c r="D233" s="8">
        <f t="shared" si="12"/>
        <v>632</v>
      </c>
      <c r="E233" s="160">
        <f t="shared" si="15"/>
        <v>0</v>
      </c>
      <c r="F233" s="8">
        <f t="shared" si="15"/>
        <v>0</v>
      </c>
      <c r="G233" s="160">
        <f t="shared" si="15"/>
        <v>0</v>
      </c>
      <c r="H233" s="31">
        <f t="shared" si="15"/>
        <v>0</v>
      </c>
      <c r="I233" s="8">
        <f t="shared" si="15"/>
        <v>0</v>
      </c>
      <c r="J233" s="8">
        <f t="shared" si="13"/>
        <v>0</v>
      </c>
      <c r="K233" s="71">
        <f t="shared" si="14"/>
        <v>-82894.366197183088</v>
      </c>
    </row>
    <row r="234" spans="1:11" x14ac:dyDescent="0.25">
      <c r="A234" s="38">
        <f>Données!A231</f>
        <v>5798</v>
      </c>
      <c r="B234" s="129" t="str">
        <f>Données!B231</f>
        <v>Ropraz</v>
      </c>
      <c r="C234" s="8">
        <f>Données!Z231</f>
        <v>535</v>
      </c>
      <c r="D234" s="8">
        <f t="shared" si="12"/>
        <v>535</v>
      </c>
      <c r="E234" s="160">
        <f t="shared" si="15"/>
        <v>0</v>
      </c>
      <c r="F234" s="8">
        <f t="shared" si="15"/>
        <v>0</v>
      </c>
      <c r="G234" s="160">
        <f t="shared" si="15"/>
        <v>0</v>
      </c>
      <c r="H234" s="31">
        <f t="shared" si="15"/>
        <v>0</v>
      </c>
      <c r="I234" s="8">
        <f t="shared" si="15"/>
        <v>0</v>
      </c>
      <c r="J234" s="8">
        <f t="shared" si="13"/>
        <v>0</v>
      </c>
      <c r="K234" s="71">
        <f t="shared" si="14"/>
        <v>-70171.654929577446</v>
      </c>
    </row>
    <row r="235" spans="1:11" x14ac:dyDescent="0.25">
      <c r="A235" s="38">
        <f>Données!A232</f>
        <v>5799</v>
      </c>
      <c r="B235" s="129" t="str">
        <f>Données!B232</f>
        <v>Servion</v>
      </c>
      <c r="C235" s="8">
        <f>Données!Z232</f>
        <v>2172</v>
      </c>
      <c r="D235" s="8">
        <f t="shared" si="12"/>
        <v>1000</v>
      </c>
      <c r="E235" s="160">
        <f t="shared" si="15"/>
        <v>1172</v>
      </c>
      <c r="F235" s="8">
        <f t="shared" si="15"/>
        <v>0</v>
      </c>
      <c r="G235" s="160">
        <f t="shared" si="15"/>
        <v>0</v>
      </c>
      <c r="H235" s="31">
        <f t="shared" si="15"/>
        <v>0</v>
      </c>
      <c r="I235" s="8">
        <f t="shared" si="15"/>
        <v>0</v>
      </c>
      <c r="J235" s="8">
        <f t="shared" si="13"/>
        <v>0</v>
      </c>
      <c r="K235" s="71">
        <f t="shared" si="14"/>
        <v>-561583.09859154921</v>
      </c>
    </row>
    <row r="236" spans="1:11" x14ac:dyDescent="0.25">
      <c r="A236" s="38">
        <f>Données!A233</f>
        <v>5803</v>
      </c>
      <c r="B236" s="129" t="str">
        <f>Données!B233</f>
        <v>Vulliens</v>
      </c>
      <c r="C236" s="8">
        <f>Données!Z233</f>
        <v>646</v>
      </c>
      <c r="D236" s="8">
        <f t="shared" ref="D236:D299" si="16">IF($C236&gt;D$5,IF($C236&lt;D$6,$C236-D$5,D$6-D$5),0)</f>
        <v>646</v>
      </c>
      <c r="E236" s="160">
        <f t="shared" si="15"/>
        <v>0</v>
      </c>
      <c r="F236" s="8">
        <f t="shared" si="15"/>
        <v>0</v>
      </c>
      <c r="G236" s="160">
        <f t="shared" si="15"/>
        <v>0</v>
      </c>
      <c r="H236" s="31">
        <f t="shared" si="15"/>
        <v>0</v>
      </c>
      <c r="I236" s="8">
        <f t="shared" si="15"/>
        <v>0</v>
      </c>
      <c r="J236" s="8">
        <f t="shared" si="13"/>
        <v>0</v>
      </c>
      <c r="K236" s="71">
        <f t="shared" si="14"/>
        <v>-84730.633802816883</v>
      </c>
    </row>
    <row r="237" spans="1:11" x14ac:dyDescent="0.25">
      <c r="A237" s="38">
        <f>Données!A234</f>
        <v>5804</v>
      </c>
      <c r="B237" s="129" t="str">
        <f>Données!B234</f>
        <v>Jorat-Menthue</v>
      </c>
      <c r="C237" s="8">
        <f>Données!Z234</f>
        <v>1557</v>
      </c>
      <c r="D237" s="8">
        <f t="shared" si="16"/>
        <v>1000</v>
      </c>
      <c r="E237" s="160">
        <f t="shared" si="15"/>
        <v>557</v>
      </c>
      <c r="F237" s="8">
        <f t="shared" si="15"/>
        <v>0</v>
      </c>
      <c r="G237" s="160">
        <f t="shared" si="15"/>
        <v>0</v>
      </c>
      <c r="H237" s="31">
        <f t="shared" si="15"/>
        <v>0</v>
      </c>
      <c r="I237" s="8">
        <f t="shared" si="15"/>
        <v>0</v>
      </c>
      <c r="J237" s="8">
        <f t="shared" si="13"/>
        <v>0</v>
      </c>
      <c r="K237" s="71">
        <f t="shared" si="14"/>
        <v>-335722.18309859151</v>
      </c>
    </row>
    <row r="238" spans="1:11" x14ac:dyDescent="0.25">
      <c r="A238" s="38">
        <f>Données!A235</f>
        <v>5805</v>
      </c>
      <c r="B238" s="129" t="str">
        <f>Données!B235</f>
        <v>Oron</v>
      </c>
      <c r="C238" s="8">
        <f>Données!Z235</f>
        <v>6173</v>
      </c>
      <c r="D238" s="8">
        <f t="shared" si="16"/>
        <v>1000</v>
      </c>
      <c r="E238" s="160">
        <f t="shared" si="15"/>
        <v>2000</v>
      </c>
      <c r="F238" s="8">
        <f t="shared" si="15"/>
        <v>2000</v>
      </c>
      <c r="G238" s="160">
        <f t="shared" si="15"/>
        <v>1173</v>
      </c>
      <c r="H238" s="31">
        <f t="shared" si="15"/>
        <v>0</v>
      </c>
      <c r="I238" s="8">
        <f t="shared" si="15"/>
        <v>0</v>
      </c>
      <c r="J238" s="8">
        <f t="shared" si="13"/>
        <v>0</v>
      </c>
      <c r="K238" s="71">
        <f t="shared" si="14"/>
        <v>-2653459.1549295774</v>
      </c>
    </row>
    <row r="239" spans="1:11" x14ac:dyDescent="0.25">
      <c r="A239" s="38">
        <f>Données!A236</f>
        <v>5806</v>
      </c>
      <c r="B239" s="129" t="str">
        <f>Données!B236</f>
        <v>Jorat-Mézières</v>
      </c>
      <c r="C239" s="8">
        <f>Données!Z236</f>
        <v>3177</v>
      </c>
      <c r="D239" s="8">
        <f t="shared" si="16"/>
        <v>1000</v>
      </c>
      <c r="E239" s="160">
        <f t="shared" si="15"/>
        <v>2000</v>
      </c>
      <c r="F239" s="8">
        <f t="shared" si="15"/>
        <v>177</v>
      </c>
      <c r="G239" s="160">
        <f t="shared" si="15"/>
        <v>0</v>
      </c>
      <c r="H239" s="31">
        <f t="shared" si="15"/>
        <v>0</v>
      </c>
      <c r="I239" s="8">
        <f t="shared" si="15"/>
        <v>0</v>
      </c>
      <c r="J239" s="8">
        <f t="shared" si="13"/>
        <v>0</v>
      </c>
      <c r="K239" s="71">
        <f t="shared" si="14"/>
        <v>-958531.6901408449</v>
      </c>
    </row>
    <row r="240" spans="1:11" x14ac:dyDescent="0.25">
      <c r="A240" s="38">
        <f>Données!A237</f>
        <v>5812</v>
      </c>
      <c r="B240" s="129" t="str">
        <f>Données!B237</f>
        <v>Champtauroz</v>
      </c>
      <c r="C240" s="8">
        <f>Données!Z237</f>
        <v>188</v>
      </c>
      <c r="D240" s="8">
        <f t="shared" si="16"/>
        <v>188</v>
      </c>
      <c r="E240" s="160">
        <f t="shared" si="15"/>
        <v>0</v>
      </c>
      <c r="F240" s="8">
        <f t="shared" si="15"/>
        <v>0</v>
      </c>
      <c r="G240" s="160">
        <f t="shared" si="15"/>
        <v>0</v>
      </c>
      <c r="H240" s="31">
        <f t="shared" si="15"/>
        <v>0</v>
      </c>
      <c r="I240" s="8">
        <f t="shared" si="15"/>
        <v>0</v>
      </c>
      <c r="J240" s="8">
        <f t="shared" si="13"/>
        <v>0</v>
      </c>
      <c r="K240" s="71">
        <f t="shared" si="14"/>
        <v>-24658.450704225346</v>
      </c>
    </row>
    <row r="241" spans="1:11" x14ac:dyDescent="0.25">
      <c r="A241" s="38">
        <f>Données!A238</f>
        <v>5813</v>
      </c>
      <c r="B241" s="129" t="str">
        <f>Données!B238</f>
        <v>Chevroux</v>
      </c>
      <c r="C241" s="8">
        <f>Données!Z238</f>
        <v>524</v>
      </c>
      <c r="D241" s="8">
        <f t="shared" si="16"/>
        <v>524</v>
      </c>
      <c r="E241" s="160">
        <f t="shared" si="15"/>
        <v>0</v>
      </c>
      <c r="F241" s="8">
        <f t="shared" si="15"/>
        <v>0</v>
      </c>
      <c r="G241" s="160">
        <f t="shared" si="15"/>
        <v>0</v>
      </c>
      <c r="H241" s="31">
        <f t="shared" si="15"/>
        <v>0</v>
      </c>
      <c r="I241" s="8">
        <f t="shared" si="15"/>
        <v>0</v>
      </c>
      <c r="J241" s="8">
        <f t="shared" si="13"/>
        <v>0</v>
      </c>
      <c r="K241" s="71">
        <f t="shared" si="14"/>
        <v>-68728.873239436609</v>
      </c>
    </row>
    <row r="242" spans="1:11" x14ac:dyDescent="0.25">
      <c r="A242" s="38">
        <f>Données!A239</f>
        <v>5816</v>
      </c>
      <c r="B242" s="129" t="str">
        <f>Données!B239</f>
        <v>Corcelles-près-Payerne</v>
      </c>
      <c r="C242" s="8">
        <f>Données!Z239</f>
        <v>2915</v>
      </c>
      <c r="D242" s="8">
        <f t="shared" si="16"/>
        <v>1000</v>
      </c>
      <c r="E242" s="160">
        <f t="shared" si="15"/>
        <v>1915</v>
      </c>
      <c r="F242" s="8">
        <f t="shared" si="15"/>
        <v>0</v>
      </c>
      <c r="G242" s="160">
        <f t="shared" si="15"/>
        <v>0</v>
      </c>
      <c r="H242" s="31">
        <f t="shared" si="15"/>
        <v>0</v>
      </c>
      <c r="I242" s="8">
        <f t="shared" si="15"/>
        <v>0</v>
      </c>
      <c r="J242" s="8">
        <f t="shared" si="13"/>
        <v>0</v>
      </c>
      <c r="K242" s="71">
        <f t="shared" si="14"/>
        <v>-834452.46478873224</v>
      </c>
    </row>
    <row r="243" spans="1:11" x14ac:dyDescent="0.25">
      <c r="A243" s="38">
        <f>Données!A240</f>
        <v>5817</v>
      </c>
      <c r="B243" s="129" t="str">
        <f>Données!B240</f>
        <v>Grandcour</v>
      </c>
      <c r="C243" s="8">
        <f>Données!Z240</f>
        <v>1006</v>
      </c>
      <c r="D243" s="8">
        <f t="shared" si="16"/>
        <v>1000</v>
      </c>
      <c r="E243" s="160">
        <f t="shared" si="15"/>
        <v>6</v>
      </c>
      <c r="F243" s="8">
        <f t="shared" si="15"/>
        <v>0</v>
      </c>
      <c r="G243" s="160">
        <f t="shared" si="15"/>
        <v>0</v>
      </c>
      <c r="H243" s="31">
        <f t="shared" si="15"/>
        <v>0</v>
      </c>
      <c r="I243" s="8">
        <f t="shared" si="15"/>
        <v>0</v>
      </c>
      <c r="J243" s="8">
        <f t="shared" si="13"/>
        <v>0</v>
      </c>
      <c r="K243" s="71">
        <f t="shared" si="14"/>
        <v>-133365.49295774646</v>
      </c>
    </row>
    <row r="244" spans="1:11" x14ac:dyDescent="0.25">
      <c r="A244" s="38">
        <f>Données!A241</f>
        <v>5819</v>
      </c>
      <c r="B244" s="129" t="str">
        <f>Données!B241</f>
        <v>Henniez</v>
      </c>
      <c r="C244" s="8">
        <f>Données!Z241</f>
        <v>454</v>
      </c>
      <c r="D244" s="8">
        <f t="shared" si="16"/>
        <v>454</v>
      </c>
      <c r="E244" s="160">
        <f t="shared" si="15"/>
        <v>0</v>
      </c>
      <c r="F244" s="8">
        <f t="shared" si="15"/>
        <v>0</v>
      </c>
      <c r="G244" s="160">
        <f t="shared" si="15"/>
        <v>0</v>
      </c>
      <c r="H244" s="31">
        <f t="shared" si="15"/>
        <v>0</v>
      </c>
      <c r="I244" s="8">
        <f t="shared" si="15"/>
        <v>0</v>
      </c>
      <c r="J244" s="8">
        <f t="shared" si="13"/>
        <v>0</v>
      </c>
      <c r="K244" s="71">
        <f t="shared" si="14"/>
        <v>-59547.535211267597</v>
      </c>
    </row>
    <row r="245" spans="1:11" x14ac:dyDescent="0.25">
      <c r="A245" s="38">
        <f>Données!A242</f>
        <v>5821</v>
      </c>
      <c r="B245" s="129" t="str">
        <f>Données!B242</f>
        <v>Missy</v>
      </c>
      <c r="C245" s="8">
        <f>Données!Z242</f>
        <v>377</v>
      </c>
      <c r="D245" s="8">
        <f t="shared" si="16"/>
        <v>377</v>
      </c>
      <c r="E245" s="160">
        <f t="shared" si="15"/>
        <v>0</v>
      </c>
      <c r="F245" s="8">
        <f t="shared" si="15"/>
        <v>0</v>
      </c>
      <c r="G245" s="160">
        <f t="shared" si="15"/>
        <v>0</v>
      </c>
      <c r="H245" s="31">
        <f t="shared" si="15"/>
        <v>0</v>
      </c>
      <c r="I245" s="8">
        <f t="shared" si="15"/>
        <v>0</v>
      </c>
      <c r="J245" s="8">
        <f t="shared" si="13"/>
        <v>0</v>
      </c>
      <c r="K245" s="71">
        <f t="shared" si="14"/>
        <v>-49448.063380281681</v>
      </c>
    </row>
    <row r="246" spans="1:11" x14ac:dyDescent="0.25">
      <c r="A246" s="38">
        <f>Données!A243</f>
        <v>5822</v>
      </c>
      <c r="B246" s="129" t="str">
        <f>Données!B243</f>
        <v>Payerne</v>
      </c>
      <c r="C246" s="8">
        <f>Données!Z243</f>
        <v>10577</v>
      </c>
      <c r="D246" s="8">
        <f t="shared" si="16"/>
        <v>1000</v>
      </c>
      <c r="E246" s="160">
        <f t="shared" si="15"/>
        <v>2000</v>
      </c>
      <c r="F246" s="8">
        <f t="shared" si="15"/>
        <v>2000</v>
      </c>
      <c r="G246" s="160">
        <f t="shared" si="15"/>
        <v>4000</v>
      </c>
      <c r="H246" s="31">
        <f t="shared" si="15"/>
        <v>1577</v>
      </c>
      <c r="I246" s="8">
        <f t="shared" si="15"/>
        <v>0</v>
      </c>
      <c r="J246" s="8">
        <f t="shared" si="13"/>
        <v>0</v>
      </c>
      <c r="K246" s="71">
        <f t="shared" si="14"/>
        <v>-5839803.1690140832</v>
      </c>
    </row>
    <row r="247" spans="1:11" x14ac:dyDescent="0.25">
      <c r="A247" s="38">
        <f>Données!A244</f>
        <v>5827</v>
      </c>
      <c r="B247" s="129" t="str">
        <f>Données!B244</f>
        <v>Trey</v>
      </c>
      <c r="C247" s="8">
        <f>Données!Z244</f>
        <v>315</v>
      </c>
      <c r="D247" s="8">
        <f t="shared" si="16"/>
        <v>315</v>
      </c>
      <c r="E247" s="160">
        <f t="shared" si="15"/>
        <v>0</v>
      </c>
      <c r="F247" s="8">
        <f t="shared" si="15"/>
        <v>0</v>
      </c>
      <c r="G247" s="160">
        <f t="shared" si="15"/>
        <v>0</v>
      </c>
      <c r="H247" s="31">
        <f t="shared" si="15"/>
        <v>0</v>
      </c>
      <c r="I247" s="8">
        <f t="shared" si="15"/>
        <v>0</v>
      </c>
      <c r="J247" s="8">
        <f t="shared" si="13"/>
        <v>0</v>
      </c>
      <c r="K247" s="71">
        <f t="shared" si="14"/>
        <v>-41316.021126760555</v>
      </c>
    </row>
    <row r="248" spans="1:11" x14ac:dyDescent="0.25">
      <c r="A248" s="38">
        <f>Données!A245</f>
        <v>5828</v>
      </c>
      <c r="B248" s="129" t="str">
        <f>Données!B245</f>
        <v>Treytorrens (Payerne)</v>
      </c>
      <c r="C248" s="8">
        <f>Données!Z245</f>
        <v>109</v>
      </c>
      <c r="D248" s="8">
        <f t="shared" si="16"/>
        <v>109</v>
      </c>
      <c r="E248" s="160">
        <f t="shared" si="15"/>
        <v>0</v>
      </c>
      <c r="F248" s="8">
        <f t="shared" si="15"/>
        <v>0</v>
      </c>
      <c r="G248" s="160">
        <f t="shared" si="15"/>
        <v>0</v>
      </c>
      <c r="H248" s="31">
        <f t="shared" si="15"/>
        <v>0</v>
      </c>
      <c r="I248" s="8">
        <f t="shared" si="15"/>
        <v>0</v>
      </c>
      <c r="J248" s="8">
        <f t="shared" si="13"/>
        <v>0</v>
      </c>
      <c r="K248" s="71">
        <f t="shared" si="14"/>
        <v>-14296.654929577462</v>
      </c>
    </row>
    <row r="249" spans="1:11" x14ac:dyDescent="0.25">
      <c r="A249" s="38">
        <f>Données!A246</f>
        <v>5830</v>
      </c>
      <c r="B249" s="129" t="str">
        <f>Données!B246</f>
        <v>Villarzel</v>
      </c>
      <c r="C249" s="8">
        <f>Données!Z246</f>
        <v>525</v>
      </c>
      <c r="D249" s="8">
        <f t="shared" si="16"/>
        <v>525</v>
      </c>
      <c r="E249" s="160">
        <f t="shared" si="15"/>
        <v>0</v>
      </c>
      <c r="F249" s="8">
        <f t="shared" si="15"/>
        <v>0</v>
      </c>
      <c r="G249" s="160">
        <f t="shared" si="15"/>
        <v>0</v>
      </c>
      <c r="H249" s="31">
        <f t="shared" si="15"/>
        <v>0</v>
      </c>
      <c r="I249" s="8">
        <f t="shared" si="15"/>
        <v>0</v>
      </c>
      <c r="J249" s="8">
        <f t="shared" si="13"/>
        <v>0</v>
      </c>
      <c r="K249" s="71">
        <f t="shared" si="14"/>
        <v>-68860.03521126759</v>
      </c>
    </row>
    <row r="250" spans="1:11" x14ac:dyDescent="0.25">
      <c r="A250" s="38">
        <f>Données!A247</f>
        <v>5831</v>
      </c>
      <c r="B250" s="129" t="str">
        <f>Données!B247</f>
        <v>Valbroye</v>
      </c>
      <c r="C250" s="8">
        <f>Données!Z247</f>
        <v>3406</v>
      </c>
      <c r="D250" s="8">
        <f t="shared" si="16"/>
        <v>1000</v>
      </c>
      <c r="E250" s="160">
        <f t="shared" si="15"/>
        <v>2000</v>
      </c>
      <c r="F250" s="8">
        <f t="shared" si="15"/>
        <v>406</v>
      </c>
      <c r="G250" s="160">
        <f t="shared" si="15"/>
        <v>0</v>
      </c>
      <c r="H250" s="31">
        <f t="shared" si="15"/>
        <v>0</v>
      </c>
      <c r="I250" s="8">
        <f t="shared" si="15"/>
        <v>0</v>
      </c>
      <c r="J250" s="8">
        <f t="shared" si="13"/>
        <v>0</v>
      </c>
      <c r="K250" s="71">
        <f t="shared" si="14"/>
        <v>-1078676.0563380281</v>
      </c>
    </row>
    <row r="251" spans="1:11" x14ac:dyDescent="0.25">
      <c r="A251" s="38">
        <f>Données!A248</f>
        <v>5841</v>
      </c>
      <c r="B251" s="129" t="str">
        <f>Données!B248</f>
        <v>Château-d'Oex</v>
      </c>
      <c r="C251" s="8">
        <f>Données!Z248</f>
        <v>3625</v>
      </c>
      <c r="D251" s="8">
        <f t="shared" si="16"/>
        <v>1000</v>
      </c>
      <c r="E251" s="160">
        <f t="shared" si="15"/>
        <v>2000</v>
      </c>
      <c r="F251" s="8">
        <f t="shared" si="15"/>
        <v>625</v>
      </c>
      <c r="G251" s="160">
        <f t="shared" si="15"/>
        <v>0</v>
      </c>
      <c r="H251" s="31">
        <f t="shared" si="15"/>
        <v>0</v>
      </c>
      <c r="I251" s="8">
        <f t="shared" si="15"/>
        <v>0</v>
      </c>
      <c r="J251" s="8">
        <f t="shared" si="13"/>
        <v>0</v>
      </c>
      <c r="K251" s="71">
        <f t="shared" si="14"/>
        <v>-1193573.9436619715</v>
      </c>
    </row>
    <row r="252" spans="1:11" x14ac:dyDescent="0.25">
      <c r="A252" s="38">
        <f>Données!A249</f>
        <v>5842</v>
      </c>
      <c r="B252" s="129" t="str">
        <f>Données!B249</f>
        <v>Rossinière</v>
      </c>
      <c r="C252" s="8">
        <f>Données!Z249</f>
        <v>529</v>
      </c>
      <c r="D252" s="8">
        <f t="shared" si="16"/>
        <v>529</v>
      </c>
      <c r="E252" s="160">
        <f t="shared" si="15"/>
        <v>0</v>
      </c>
      <c r="F252" s="8">
        <f t="shared" si="15"/>
        <v>0</v>
      </c>
      <c r="G252" s="160">
        <f t="shared" si="15"/>
        <v>0</v>
      </c>
      <c r="H252" s="31">
        <f t="shared" si="15"/>
        <v>0</v>
      </c>
      <c r="I252" s="8">
        <f t="shared" si="15"/>
        <v>0</v>
      </c>
      <c r="J252" s="8">
        <f t="shared" si="13"/>
        <v>0</v>
      </c>
      <c r="K252" s="71">
        <f t="shared" si="14"/>
        <v>-69384.683098591529</v>
      </c>
    </row>
    <row r="253" spans="1:11" x14ac:dyDescent="0.25">
      <c r="A253" s="38">
        <f>Données!A250</f>
        <v>5843</v>
      </c>
      <c r="B253" s="129" t="str">
        <f>Données!B250</f>
        <v>Rougemont</v>
      </c>
      <c r="C253" s="8">
        <f>Données!Z250</f>
        <v>796</v>
      </c>
      <c r="D253" s="8">
        <f t="shared" si="16"/>
        <v>796</v>
      </c>
      <c r="E253" s="160">
        <f t="shared" si="15"/>
        <v>0</v>
      </c>
      <c r="F253" s="8">
        <f t="shared" si="15"/>
        <v>0</v>
      </c>
      <c r="G253" s="160">
        <f t="shared" si="15"/>
        <v>0</v>
      </c>
      <c r="H253" s="31">
        <f t="shared" si="15"/>
        <v>0</v>
      </c>
      <c r="I253" s="8">
        <f t="shared" si="15"/>
        <v>0</v>
      </c>
      <c r="J253" s="8">
        <f t="shared" si="13"/>
        <v>0</v>
      </c>
      <c r="K253" s="71">
        <f t="shared" si="14"/>
        <v>-104404.92957746478</v>
      </c>
    </row>
    <row r="254" spans="1:11" x14ac:dyDescent="0.25">
      <c r="A254" s="38">
        <f>Données!A251</f>
        <v>5851</v>
      </c>
      <c r="B254" s="129" t="str">
        <f>Données!B251</f>
        <v>Allaman</v>
      </c>
      <c r="C254" s="8">
        <f>Données!Z251</f>
        <v>431</v>
      </c>
      <c r="D254" s="8">
        <f t="shared" si="16"/>
        <v>431</v>
      </c>
      <c r="E254" s="160">
        <f t="shared" si="15"/>
        <v>0</v>
      </c>
      <c r="F254" s="8">
        <f t="shared" si="15"/>
        <v>0</v>
      </c>
      <c r="G254" s="160">
        <f t="shared" si="15"/>
        <v>0</v>
      </c>
      <c r="H254" s="31">
        <f t="shared" si="15"/>
        <v>0</v>
      </c>
      <c r="I254" s="8">
        <f t="shared" si="15"/>
        <v>0</v>
      </c>
      <c r="J254" s="8">
        <f t="shared" si="13"/>
        <v>0</v>
      </c>
      <c r="K254" s="71">
        <f t="shared" si="14"/>
        <v>-56530.809859154921</v>
      </c>
    </row>
    <row r="255" spans="1:11" x14ac:dyDescent="0.25">
      <c r="A255" s="38">
        <f>Données!A252</f>
        <v>5852</v>
      </c>
      <c r="B255" s="129" t="str">
        <f>Données!B252</f>
        <v>Bursinel</v>
      </c>
      <c r="C255" s="8">
        <f>Données!Z252</f>
        <v>521</v>
      </c>
      <c r="D255" s="8">
        <f t="shared" si="16"/>
        <v>521</v>
      </c>
      <c r="E255" s="160">
        <f t="shared" si="15"/>
        <v>0</v>
      </c>
      <c r="F255" s="8">
        <f t="shared" si="15"/>
        <v>0</v>
      </c>
      <c r="G255" s="160">
        <f t="shared" si="15"/>
        <v>0</v>
      </c>
      <c r="H255" s="31">
        <f t="shared" si="15"/>
        <v>0</v>
      </c>
      <c r="I255" s="8">
        <f t="shared" si="15"/>
        <v>0</v>
      </c>
      <c r="J255" s="8">
        <f t="shared" si="13"/>
        <v>0</v>
      </c>
      <c r="K255" s="71">
        <f t="shared" si="14"/>
        <v>-68335.387323943651</v>
      </c>
    </row>
    <row r="256" spans="1:11" x14ac:dyDescent="0.25">
      <c r="A256" s="38">
        <f>Données!A253</f>
        <v>5853</v>
      </c>
      <c r="B256" s="129" t="str">
        <f>Données!B253</f>
        <v>Bursins</v>
      </c>
      <c r="C256" s="8">
        <f>Données!Z253</f>
        <v>796</v>
      </c>
      <c r="D256" s="8">
        <f t="shared" si="16"/>
        <v>796</v>
      </c>
      <c r="E256" s="160">
        <f t="shared" si="15"/>
        <v>0</v>
      </c>
      <c r="F256" s="8">
        <f t="shared" si="15"/>
        <v>0</v>
      </c>
      <c r="G256" s="160">
        <f t="shared" si="15"/>
        <v>0</v>
      </c>
      <c r="H256" s="31">
        <f t="shared" si="15"/>
        <v>0</v>
      </c>
      <c r="I256" s="8">
        <f t="shared" si="15"/>
        <v>0</v>
      </c>
      <c r="J256" s="8">
        <f t="shared" si="13"/>
        <v>0</v>
      </c>
      <c r="K256" s="71">
        <f t="shared" si="14"/>
        <v>-104404.92957746478</v>
      </c>
    </row>
    <row r="257" spans="1:11" x14ac:dyDescent="0.25">
      <c r="A257" s="38">
        <f>Données!A254</f>
        <v>5854</v>
      </c>
      <c r="B257" s="129" t="str">
        <f>Données!B254</f>
        <v>Burtigny</v>
      </c>
      <c r="C257" s="8">
        <f>Données!Z254</f>
        <v>412</v>
      </c>
      <c r="D257" s="8">
        <f t="shared" si="16"/>
        <v>412</v>
      </c>
      <c r="E257" s="160">
        <f t="shared" si="15"/>
        <v>0</v>
      </c>
      <c r="F257" s="8">
        <f t="shared" si="15"/>
        <v>0</v>
      </c>
      <c r="G257" s="160">
        <f t="shared" si="15"/>
        <v>0</v>
      </c>
      <c r="H257" s="31">
        <f t="shared" si="15"/>
        <v>0</v>
      </c>
      <c r="I257" s="8">
        <f t="shared" si="15"/>
        <v>0</v>
      </c>
      <c r="J257" s="8">
        <f t="shared" si="13"/>
        <v>0</v>
      </c>
      <c r="K257" s="71">
        <f t="shared" si="14"/>
        <v>-54038.73239436619</v>
      </c>
    </row>
    <row r="258" spans="1:11" x14ac:dyDescent="0.25">
      <c r="A258" s="38">
        <f>Données!A255</f>
        <v>5855</v>
      </c>
      <c r="B258" s="129" t="str">
        <f>Données!B255</f>
        <v>Dully</v>
      </c>
      <c r="C258" s="8">
        <f>Données!Z255</f>
        <v>632</v>
      </c>
      <c r="D258" s="8">
        <f t="shared" si="16"/>
        <v>632</v>
      </c>
      <c r="E258" s="160">
        <f t="shared" si="15"/>
        <v>0</v>
      </c>
      <c r="F258" s="8">
        <f t="shared" si="15"/>
        <v>0</v>
      </c>
      <c r="G258" s="160">
        <f t="shared" si="15"/>
        <v>0</v>
      </c>
      <c r="H258" s="31">
        <f t="shared" si="15"/>
        <v>0</v>
      </c>
      <c r="I258" s="8">
        <f t="shared" si="15"/>
        <v>0</v>
      </c>
      <c r="J258" s="8">
        <f t="shared" si="13"/>
        <v>0</v>
      </c>
      <c r="K258" s="71">
        <f t="shared" si="14"/>
        <v>-82894.366197183088</v>
      </c>
    </row>
    <row r="259" spans="1:11" x14ac:dyDescent="0.25">
      <c r="A259" s="38">
        <f>Données!A256</f>
        <v>5856</v>
      </c>
      <c r="B259" s="129" t="str">
        <f>Données!B256</f>
        <v>Essertines-sur-Rolle</v>
      </c>
      <c r="C259" s="8">
        <f>Données!Z256</f>
        <v>768</v>
      </c>
      <c r="D259" s="8">
        <f t="shared" si="16"/>
        <v>768</v>
      </c>
      <c r="E259" s="160">
        <f t="shared" si="15"/>
        <v>0</v>
      </c>
      <c r="F259" s="8">
        <f t="shared" si="15"/>
        <v>0</v>
      </c>
      <c r="G259" s="160">
        <f t="shared" si="15"/>
        <v>0</v>
      </c>
      <c r="H259" s="31">
        <f t="shared" si="15"/>
        <v>0</v>
      </c>
      <c r="I259" s="8">
        <f t="shared" si="15"/>
        <v>0</v>
      </c>
      <c r="J259" s="8">
        <f t="shared" si="13"/>
        <v>0</v>
      </c>
      <c r="K259" s="71">
        <f t="shared" si="14"/>
        <v>-100732.39436619717</v>
      </c>
    </row>
    <row r="260" spans="1:11" x14ac:dyDescent="0.25">
      <c r="A260" s="38">
        <f>Données!A257</f>
        <v>5857</v>
      </c>
      <c r="B260" s="129" t="str">
        <f>Données!B257</f>
        <v>Gilly</v>
      </c>
      <c r="C260" s="8">
        <f>Données!Z257</f>
        <v>1475</v>
      </c>
      <c r="D260" s="8">
        <f t="shared" si="16"/>
        <v>1000</v>
      </c>
      <c r="E260" s="160">
        <f t="shared" si="15"/>
        <v>475</v>
      </c>
      <c r="F260" s="8">
        <f t="shared" si="15"/>
        <v>0</v>
      </c>
      <c r="G260" s="160">
        <f t="shared" ref="E260:I308" si="17">IF($C260&gt;G$5,IF($C260&lt;G$6,$C260-G$5,G$6-G$5),0)</f>
        <v>0</v>
      </c>
      <c r="H260" s="31">
        <f t="shared" si="17"/>
        <v>0</v>
      </c>
      <c r="I260" s="8">
        <f t="shared" si="17"/>
        <v>0</v>
      </c>
      <c r="J260" s="8">
        <f t="shared" si="13"/>
        <v>0</v>
      </c>
      <c r="K260" s="71">
        <f t="shared" si="14"/>
        <v>-305607.39436619717</v>
      </c>
    </row>
    <row r="261" spans="1:11" x14ac:dyDescent="0.25">
      <c r="A261" s="38">
        <f>Données!A258</f>
        <v>5858</v>
      </c>
      <c r="B261" s="129" t="str">
        <f>Données!B258</f>
        <v>Luins</v>
      </c>
      <c r="C261" s="8">
        <f>Données!Z258</f>
        <v>629</v>
      </c>
      <c r="D261" s="8">
        <f t="shared" si="16"/>
        <v>629</v>
      </c>
      <c r="E261" s="160">
        <f t="shared" si="17"/>
        <v>0</v>
      </c>
      <c r="F261" s="8">
        <f t="shared" si="17"/>
        <v>0</v>
      </c>
      <c r="G261" s="160">
        <f t="shared" si="17"/>
        <v>0</v>
      </c>
      <c r="H261" s="31">
        <f t="shared" si="17"/>
        <v>0</v>
      </c>
      <c r="I261" s="8">
        <f t="shared" si="17"/>
        <v>0</v>
      </c>
      <c r="J261" s="8">
        <f t="shared" si="13"/>
        <v>0</v>
      </c>
      <c r="K261" s="71">
        <f t="shared" si="14"/>
        <v>-82500.88028169013</v>
      </c>
    </row>
    <row r="262" spans="1:11" x14ac:dyDescent="0.25">
      <c r="A262" s="38">
        <f>Données!A259</f>
        <v>5859</v>
      </c>
      <c r="B262" s="129" t="str">
        <f>Données!B259</f>
        <v>Mont-sur-Rolle</v>
      </c>
      <c r="C262" s="8">
        <f>Données!Z259</f>
        <v>2784</v>
      </c>
      <c r="D262" s="8">
        <f t="shared" si="16"/>
        <v>1000</v>
      </c>
      <c r="E262" s="160">
        <f t="shared" si="17"/>
        <v>1784</v>
      </c>
      <c r="F262" s="8">
        <f t="shared" si="17"/>
        <v>0</v>
      </c>
      <c r="G262" s="160">
        <f t="shared" si="17"/>
        <v>0</v>
      </c>
      <c r="H262" s="31">
        <f t="shared" si="17"/>
        <v>0</v>
      </c>
      <c r="I262" s="8">
        <f t="shared" si="17"/>
        <v>0</v>
      </c>
      <c r="J262" s="8">
        <f t="shared" si="13"/>
        <v>0</v>
      </c>
      <c r="K262" s="71">
        <f t="shared" si="14"/>
        <v>-786342.25352112658</v>
      </c>
    </row>
    <row r="263" spans="1:11" x14ac:dyDescent="0.25">
      <c r="A263" s="38">
        <f>Données!A260</f>
        <v>5860</v>
      </c>
      <c r="B263" s="129" t="str">
        <f>Données!B260</f>
        <v>Perroy</v>
      </c>
      <c r="C263" s="8">
        <f>Données!Z260</f>
        <v>1600</v>
      </c>
      <c r="D263" s="8">
        <f t="shared" si="16"/>
        <v>1000</v>
      </c>
      <c r="E263" s="160">
        <f t="shared" si="17"/>
        <v>600</v>
      </c>
      <c r="F263" s="8">
        <f t="shared" si="17"/>
        <v>0</v>
      </c>
      <c r="G263" s="160">
        <f t="shared" si="17"/>
        <v>0</v>
      </c>
      <c r="H263" s="31">
        <f t="shared" si="17"/>
        <v>0</v>
      </c>
      <c r="I263" s="8">
        <f t="shared" si="17"/>
        <v>0</v>
      </c>
      <c r="J263" s="8">
        <f t="shared" si="13"/>
        <v>0</v>
      </c>
      <c r="K263" s="71">
        <f t="shared" si="14"/>
        <v>-351514.08450704219</v>
      </c>
    </row>
    <row r="264" spans="1:11" x14ac:dyDescent="0.25">
      <c r="A264" s="38">
        <f>Données!A261</f>
        <v>5861</v>
      </c>
      <c r="B264" s="129" t="str">
        <f>Données!B261</f>
        <v>Rolle</v>
      </c>
      <c r="C264" s="8">
        <f>Données!Z261</f>
        <v>6453</v>
      </c>
      <c r="D264" s="8">
        <f t="shared" si="16"/>
        <v>1000</v>
      </c>
      <c r="E264" s="160">
        <f t="shared" si="17"/>
        <v>2000</v>
      </c>
      <c r="F264" s="8">
        <f t="shared" si="17"/>
        <v>2000</v>
      </c>
      <c r="G264" s="160">
        <f t="shared" si="17"/>
        <v>1453</v>
      </c>
      <c r="H264" s="31">
        <f t="shared" si="17"/>
        <v>0</v>
      </c>
      <c r="I264" s="8">
        <f t="shared" si="17"/>
        <v>0</v>
      </c>
      <c r="J264" s="8">
        <f t="shared" si="13"/>
        <v>0</v>
      </c>
      <c r="K264" s="71">
        <f t="shared" si="14"/>
        <v>-2829740.8450704222</v>
      </c>
    </row>
    <row r="265" spans="1:11" x14ac:dyDescent="0.25">
      <c r="A265" s="38">
        <f>Données!A262</f>
        <v>5862</v>
      </c>
      <c r="B265" s="129" t="str">
        <f>Données!B262</f>
        <v>Tartegnin</v>
      </c>
      <c r="C265" s="8">
        <f>Données!Z262</f>
        <v>250</v>
      </c>
      <c r="D265" s="8">
        <f t="shared" si="16"/>
        <v>250</v>
      </c>
      <c r="E265" s="160">
        <f t="shared" si="17"/>
        <v>0</v>
      </c>
      <c r="F265" s="8">
        <f t="shared" si="17"/>
        <v>0</v>
      </c>
      <c r="G265" s="160">
        <f t="shared" si="17"/>
        <v>0</v>
      </c>
      <c r="H265" s="31">
        <f t="shared" si="17"/>
        <v>0</v>
      </c>
      <c r="I265" s="8">
        <f t="shared" si="17"/>
        <v>0</v>
      </c>
      <c r="J265" s="8">
        <f t="shared" si="13"/>
        <v>0</v>
      </c>
      <c r="K265" s="71">
        <f t="shared" si="14"/>
        <v>-32790.492957746472</v>
      </c>
    </row>
    <row r="266" spans="1:11" x14ac:dyDescent="0.25">
      <c r="A266" s="38">
        <f>Données!A263</f>
        <v>5863</v>
      </c>
      <c r="B266" s="129" t="str">
        <f>Données!B263</f>
        <v>Vinzel</v>
      </c>
      <c r="C266" s="8">
        <f>Données!Z263</f>
        <v>381</v>
      </c>
      <c r="D266" s="8">
        <f t="shared" si="16"/>
        <v>381</v>
      </c>
      <c r="E266" s="160">
        <f t="shared" si="17"/>
        <v>0</v>
      </c>
      <c r="F266" s="8">
        <f t="shared" si="17"/>
        <v>0</v>
      </c>
      <c r="G266" s="160">
        <f t="shared" si="17"/>
        <v>0</v>
      </c>
      <c r="H266" s="31">
        <f t="shared" si="17"/>
        <v>0</v>
      </c>
      <c r="I266" s="8">
        <f t="shared" si="17"/>
        <v>0</v>
      </c>
      <c r="J266" s="8">
        <f t="shared" ref="J266:J308" si="18">IF(C266&gt;$J$5,C266-$J$5,0)</f>
        <v>0</v>
      </c>
      <c r="K266" s="71">
        <f t="shared" ref="K266:K308" si="19">-((D266*D$8)+(E266*E$8)+(F266*F$8)+(G266*G$8)+(H266*H$8)+(I266*I$8)+(J266*J$8))</f>
        <v>-49972.711267605628</v>
      </c>
    </row>
    <row r="267" spans="1:11" x14ac:dyDescent="0.25">
      <c r="A267" s="38">
        <f>Données!A264</f>
        <v>5871</v>
      </c>
      <c r="B267" s="129" t="str">
        <f>Données!B264</f>
        <v>L'Abbaye</v>
      </c>
      <c r="C267" s="8">
        <f>Données!Z264</f>
        <v>1534</v>
      </c>
      <c r="D267" s="8">
        <f t="shared" si="16"/>
        <v>1000</v>
      </c>
      <c r="E267" s="160">
        <f t="shared" si="17"/>
        <v>534</v>
      </c>
      <c r="F267" s="8">
        <f t="shared" si="17"/>
        <v>0</v>
      </c>
      <c r="G267" s="160">
        <f t="shared" si="17"/>
        <v>0</v>
      </c>
      <c r="H267" s="31">
        <f t="shared" si="17"/>
        <v>0</v>
      </c>
      <c r="I267" s="8">
        <f t="shared" si="17"/>
        <v>0</v>
      </c>
      <c r="J267" s="8">
        <f t="shared" si="18"/>
        <v>0</v>
      </c>
      <c r="K267" s="71">
        <f t="shared" si="19"/>
        <v>-327275.35211267602</v>
      </c>
    </row>
    <row r="268" spans="1:11" x14ac:dyDescent="0.25">
      <c r="A268" s="38">
        <f>Données!A265</f>
        <v>5872</v>
      </c>
      <c r="B268" s="129" t="str">
        <f>Données!B265</f>
        <v>Le Chenit</v>
      </c>
      <c r="C268" s="8">
        <f>Données!Z265</f>
        <v>4712</v>
      </c>
      <c r="D268" s="8">
        <f t="shared" si="16"/>
        <v>1000</v>
      </c>
      <c r="E268" s="160">
        <f t="shared" si="17"/>
        <v>2000</v>
      </c>
      <c r="F268" s="8">
        <f t="shared" si="17"/>
        <v>1712</v>
      </c>
      <c r="G268" s="160">
        <f t="shared" si="17"/>
        <v>0</v>
      </c>
      <c r="H268" s="31">
        <f t="shared" si="17"/>
        <v>0</v>
      </c>
      <c r="I268" s="8">
        <f t="shared" si="17"/>
        <v>0</v>
      </c>
      <c r="J268" s="8">
        <f t="shared" si="18"/>
        <v>0</v>
      </c>
      <c r="K268" s="71">
        <f t="shared" si="19"/>
        <v>-1763866.1971830982</v>
      </c>
    </row>
    <row r="269" spans="1:11" x14ac:dyDescent="0.25">
      <c r="A269" s="38">
        <f>Données!A266</f>
        <v>5873</v>
      </c>
      <c r="B269" s="129" t="str">
        <f>Données!B266</f>
        <v>Le Lieu</v>
      </c>
      <c r="C269" s="8">
        <f>Données!Z266</f>
        <v>910</v>
      </c>
      <c r="D269" s="8">
        <f t="shared" si="16"/>
        <v>910</v>
      </c>
      <c r="E269" s="160">
        <f t="shared" si="17"/>
        <v>0</v>
      </c>
      <c r="F269" s="8">
        <f t="shared" si="17"/>
        <v>0</v>
      </c>
      <c r="G269" s="160">
        <f t="shared" si="17"/>
        <v>0</v>
      </c>
      <c r="H269" s="31">
        <f t="shared" si="17"/>
        <v>0</v>
      </c>
      <c r="I269" s="8">
        <f t="shared" si="17"/>
        <v>0</v>
      </c>
      <c r="J269" s="8">
        <f t="shared" si="18"/>
        <v>0</v>
      </c>
      <c r="K269" s="71">
        <f t="shared" si="19"/>
        <v>-119357.39436619716</v>
      </c>
    </row>
    <row r="270" spans="1:11" x14ac:dyDescent="0.25">
      <c r="A270" s="38">
        <f>Données!A267</f>
        <v>5882</v>
      </c>
      <c r="B270" s="129" t="str">
        <f>Données!B267</f>
        <v>Chardonne</v>
      </c>
      <c r="C270" s="8">
        <f>Données!Z267</f>
        <v>3243</v>
      </c>
      <c r="D270" s="8">
        <f t="shared" si="16"/>
        <v>1000</v>
      </c>
      <c r="E270" s="160">
        <f t="shared" si="17"/>
        <v>2000</v>
      </c>
      <c r="F270" s="8">
        <f t="shared" si="17"/>
        <v>243</v>
      </c>
      <c r="G270" s="160">
        <f t="shared" si="17"/>
        <v>0</v>
      </c>
      <c r="H270" s="31">
        <f t="shared" si="17"/>
        <v>0</v>
      </c>
      <c r="I270" s="8">
        <f t="shared" si="17"/>
        <v>0</v>
      </c>
      <c r="J270" s="8">
        <f t="shared" si="18"/>
        <v>0</v>
      </c>
      <c r="K270" s="71">
        <f t="shared" si="19"/>
        <v>-993158.45070422522</v>
      </c>
    </row>
    <row r="271" spans="1:11" x14ac:dyDescent="0.25">
      <c r="A271" s="38">
        <f>Données!A268</f>
        <v>5883</v>
      </c>
      <c r="B271" s="129" t="str">
        <f>Données!B268</f>
        <v>Corseaux</v>
      </c>
      <c r="C271" s="8">
        <f>Données!Z268</f>
        <v>2339</v>
      </c>
      <c r="D271" s="8">
        <f t="shared" si="16"/>
        <v>1000</v>
      </c>
      <c r="E271" s="160">
        <f t="shared" si="17"/>
        <v>1339</v>
      </c>
      <c r="F271" s="8">
        <f t="shared" si="17"/>
        <v>0</v>
      </c>
      <c r="G271" s="160">
        <f t="shared" si="17"/>
        <v>0</v>
      </c>
      <c r="H271" s="31">
        <f t="shared" si="17"/>
        <v>0</v>
      </c>
      <c r="I271" s="8">
        <f t="shared" si="17"/>
        <v>0</v>
      </c>
      <c r="J271" s="8">
        <f t="shared" si="18"/>
        <v>0</v>
      </c>
      <c r="K271" s="71">
        <f t="shared" si="19"/>
        <v>-622914.43661971821</v>
      </c>
    </row>
    <row r="272" spans="1:11" x14ac:dyDescent="0.25">
      <c r="A272" s="38">
        <f>Données!A269</f>
        <v>5884</v>
      </c>
      <c r="B272" s="129" t="str">
        <f>Données!B269</f>
        <v>Corsier-sur-Vevey</v>
      </c>
      <c r="C272" s="8">
        <f>Données!Z269</f>
        <v>3429</v>
      </c>
      <c r="D272" s="8">
        <f t="shared" si="16"/>
        <v>1000</v>
      </c>
      <c r="E272" s="160">
        <f t="shared" si="17"/>
        <v>2000</v>
      </c>
      <c r="F272" s="8">
        <f t="shared" si="17"/>
        <v>429</v>
      </c>
      <c r="G272" s="160">
        <f t="shared" si="17"/>
        <v>0</v>
      </c>
      <c r="H272" s="31">
        <f t="shared" si="17"/>
        <v>0</v>
      </c>
      <c r="I272" s="8">
        <f t="shared" si="17"/>
        <v>0</v>
      </c>
      <c r="J272" s="8">
        <f t="shared" si="18"/>
        <v>0</v>
      </c>
      <c r="K272" s="71">
        <f t="shared" si="19"/>
        <v>-1090742.9577464787</v>
      </c>
    </row>
    <row r="273" spans="1:11" x14ac:dyDescent="0.25">
      <c r="A273" s="38">
        <f>Données!A270</f>
        <v>5885</v>
      </c>
      <c r="B273" s="129" t="str">
        <f>Données!B270</f>
        <v>Jongny</v>
      </c>
      <c r="C273" s="8">
        <f>Données!Z270</f>
        <v>1918</v>
      </c>
      <c r="D273" s="8">
        <f t="shared" si="16"/>
        <v>1000</v>
      </c>
      <c r="E273" s="160">
        <f t="shared" si="17"/>
        <v>918</v>
      </c>
      <c r="F273" s="8">
        <f t="shared" si="17"/>
        <v>0</v>
      </c>
      <c r="G273" s="160">
        <f t="shared" si="17"/>
        <v>0</v>
      </c>
      <c r="H273" s="31">
        <f t="shared" si="17"/>
        <v>0</v>
      </c>
      <c r="I273" s="8">
        <f t="shared" si="17"/>
        <v>0</v>
      </c>
      <c r="J273" s="8">
        <f t="shared" si="18"/>
        <v>0</v>
      </c>
      <c r="K273" s="71">
        <f t="shared" si="19"/>
        <v>-468300.70422535203</v>
      </c>
    </row>
    <row r="274" spans="1:11" x14ac:dyDescent="0.25">
      <c r="A274" s="38">
        <f>Données!A271</f>
        <v>5886</v>
      </c>
      <c r="B274" s="129" t="str">
        <f>Données!B271</f>
        <v>Montreux</v>
      </c>
      <c r="C274" s="8">
        <f>Données!Z271</f>
        <v>26837</v>
      </c>
      <c r="D274" s="8">
        <f t="shared" si="16"/>
        <v>1000</v>
      </c>
      <c r="E274" s="160">
        <f t="shared" si="17"/>
        <v>2000</v>
      </c>
      <c r="F274" s="8">
        <f t="shared" si="17"/>
        <v>2000</v>
      </c>
      <c r="G274" s="160">
        <f t="shared" si="17"/>
        <v>4000</v>
      </c>
      <c r="H274" s="31">
        <f t="shared" si="17"/>
        <v>3000</v>
      </c>
      <c r="I274" s="8">
        <f t="shared" si="17"/>
        <v>3000</v>
      </c>
      <c r="J274" s="8">
        <f t="shared" si="18"/>
        <v>11837</v>
      </c>
      <c r="K274" s="71">
        <f t="shared" si="19"/>
        <v>-23298405.985915489</v>
      </c>
    </row>
    <row r="275" spans="1:11" x14ac:dyDescent="0.25">
      <c r="A275" s="38">
        <f>Données!A272</f>
        <v>5889</v>
      </c>
      <c r="B275" s="129" t="str">
        <f>Données!B272</f>
        <v>La Tour-de-Peilz</v>
      </c>
      <c r="C275" s="8">
        <f>Données!Z272</f>
        <v>12605</v>
      </c>
      <c r="D275" s="8">
        <f t="shared" si="16"/>
        <v>1000</v>
      </c>
      <c r="E275" s="160">
        <f t="shared" si="17"/>
        <v>2000</v>
      </c>
      <c r="F275" s="8">
        <f t="shared" si="17"/>
        <v>2000</v>
      </c>
      <c r="G275" s="160">
        <f t="shared" si="17"/>
        <v>4000</v>
      </c>
      <c r="H275" s="31">
        <f t="shared" si="17"/>
        <v>3000</v>
      </c>
      <c r="I275" s="8">
        <f t="shared" si="17"/>
        <v>605</v>
      </c>
      <c r="J275" s="8">
        <f t="shared" si="18"/>
        <v>0</v>
      </c>
      <c r="K275" s="71">
        <f t="shared" si="19"/>
        <v>-7743802.8169014072</v>
      </c>
    </row>
    <row r="276" spans="1:11" x14ac:dyDescent="0.25">
      <c r="A276" s="38">
        <f>Données!A273</f>
        <v>5890</v>
      </c>
      <c r="B276" s="129" t="str">
        <f>Données!B273</f>
        <v>Vevey</v>
      </c>
      <c r="C276" s="8">
        <f>Données!Z273</f>
        <v>20155</v>
      </c>
      <c r="D276" s="8">
        <f t="shared" si="16"/>
        <v>1000</v>
      </c>
      <c r="E276" s="160">
        <f t="shared" si="17"/>
        <v>2000</v>
      </c>
      <c r="F276" s="8">
        <f t="shared" si="17"/>
        <v>2000</v>
      </c>
      <c r="G276" s="160">
        <f t="shared" si="17"/>
        <v>4000</v>
      </c>
      <c r="H276" s="31">
        <f t="shared" si="17"/>
        <v>3000</v>
      </c>
      <c r="I276" s="8">
        <f t="shared" si="17"/>
        <v>3000</v>
      </c>
      <c r="J276" s="8">
        <f t="shared" si="18"/>
        <v>5155</v>
      </c>
      <c r="K276" s="71">
        <f t="shared" si="19"/>
        <v>-15936441.901408449</v>
      </c>
    </row>
    <row r="277" spans="1:11" x14ac:dyDescent="0.25">
      <c r="A277" s="38">
        <f>Données!A274</f>
        <v>5891</v>
      </c>
      <c r="B277" s="129" t="str">
        <f>Données!B274</f>
        <v>Veytaux</v>
      </c>
      <c r="C277" s="8">
        <f>Données!Z274</f>
        <v>997</v>
      </c>
      <c r="D277" s="8">
        <f t="shared" si="16"/>
        <v>997</v>
      </c>
      <c r="E277" s="160">
        <f t="shared" si="17"/>
        <v>0</v>
      </c>
      <c r="F277" s="8">
        <f t="shared" si="17"/>
        <v>0</v>
      </c>
      <c r="G277" s="160">
        <f t="shared" si="17"/>
        <v>0</v>
      </c>
      <c r="H277" s="31">
        <f t="shared" si="17"/>
        <v>0</v>
      </c>
      <c r="I277" s="8">
        <f t="shared" si="17"/>
        <v>0</v>
      </c>
      <c r="J277" s="8">
        <f t="shared" si="18"/>
        <v>0</v>
      </c>
      <c r="K277" s="71">
        <f t="shared" si="19"/>
        <v>-130768.48591549293</v>
      </c>
    </row>
    <row r="278" spans="1:11" x14ac:dyDescent="0.25">
      <c r="A278" s="38">
        <f>Données!A275</f>
        <v>5892</v>
      </c>
      <c r="B278" s="129" t="str">
        <f>Données!B275</f>
        <v>Blonay - Saint-Légier</v>
      </c>
      <c r="C278" s="8">
        <f>Données!Z275</f>
        <v>12340</v>
      </c>
      <c r="D278" s="8">
        <f t="shared" si="16"/>
        <v>1000</v>
      </c>
      <c r="E278" s="160">
        <f t="shared" si="17"/>
        <v>2000</v>
      </c>
      <c r="F278" s="8">
        <f t="shared" si="17"/>
        <v>2000</v>
      </c>
      <c r="G278" s="160">
        <f t="shared" si="17"/>
        <v>4000</v>
      </c>
      <c r="H278" s="31">
        <f t="shared" si="17"/>
        <v>3000</v>
      </c>
      <c r="I278" s="8">
        <f t="shared" si="17"/>
        <v>340</v>
      </c>
      <c r="J278" s="8">
        <f t="shared" si="18"/>
        <v>0</v>
      </c>
      <c r="K278" s="71">
        <f t="shared" si="19"/>
        <v>-7465739.4366197167</v>
      </c>
    </row>
    <row r="279" spans="1:11" x14ac:dyDescent="0.25">
      <c r="A279" s="38">
        <f>Données!A276</f>
        <v>5902</v>
      </c>
      <c r="B279" s="129" t="str">
        <f>Données!B276</f>
        <v>Belmont-sur-Yverdon</v>
      </c>
      <c r="C279" s="8">
        <f>Données!Z276</f>
        <v>443</v>
      </c>
      <c r="D279" s="8">
        <f t="shared" si="16"/>
        <v>443</v>
      </c>
      <c r="E279" s="160">
        <f t="shared" si="17"/>
        <v>0</v>
      </c>
      <c r="F279" s="8">
        <f t="shared" si="17"/>
        <v>0</v>
      </c>
      <c r="G279" s="160">
        <f t="shared" si="17"/>
        <v>0</v>
      </c>
      <c r="H279" s="31">
        <f t="shared" si="17"/>
        <v>0</v>
      </c>
      <c r="I279" s="8">
        <f t="shared" si="17"/>
        <v>0</v>
      </c>
      <c r="J279" s="8">
        <f t="shared" si="18"/>
        <v>0</v>
      </c>
      <c r="K279" s="71">
        <f t="shared" si="19"/>
        <v>-58104.753521126753</v>
      </c>
    </row>
    <row r="280" spans="1:11" x14ac:dyDescent="0.25">
      <c r="A280" s="38">
        <f>Données!A277</f>
        <v>5903</v>
      </c>
      <c r="B280" s="129" t="str">
        <f>Données!B277</f>
        <v>Bioley-Magnoux</v>
      </c>
      <c r="C280" s="8">
        <f>Données!Z277</f>
        <v>253</v>
      </c>
      <c r="D280" s="8">
        <f t="shared" si="16"/>
        <v>253</v>
      </c>
      <c r="E280" s="160">
        <f t="shared" si="17"/>
        <v>0</v>
      </c>
      <c r="F280" s="8">
        <f t="shared" si="17"/>
        <v>0</v>
      </c>
      <c r="G280" s="160">
        <f t="shared" si="17"/>
        <v>0</v>
      </c>
      <c r="H280" s="31">
        <f t="shared" si="17"/>
        <v>0</v>
      </c>
      <c r="I280" s="8">
        <f t="shared" si="17"/>
        <v>0</v>
      </c>
      <c r="J280" s="8">
        <f t="shared" si="18"/>
        <v>0</v>
      </c>
      <c r="K280" s="71">
        <f t="shared" si="19"/>
        <v>-33183.97887323943</v>
      </c>
    </row>
    <row r="281" spans="1:11" x14ac:dyDescent="0.25">
      <c r="A281" s="38">
        <f>Données!A278</f>
        <v>5904</v>
      </c>
      <c r="B281" s="129" t="str">
        <f>Données!B278</f>
        <v>Chamblon</v>
      </c>
      <c r="C281" s="8">
        <f>Données!Z278</f>
        <v>561</v>
      </c>
      <c r="D281" s="8">
        <f t="shared" si="16"/>
        <v>561</v>
      </c>
      <c r="E281" s="160">
        <f t="shared" si="17"/>
        <v>0</v>
      </c>
      <c r="F281" s="8">
        <f t="shared" si="17"/>
        <v>0</v>
      </c>
      <c r="G281" s="160">
        <f t="shared" si="17"/>
        <v>0</v>
      </c>
      <c r="H281" s="31">
        <f t="shared" si="17"/>
        <v>0</v>
      </c>
      <c r="I281" s="8">
        <f t="shared" si="17"/>
        <v>0</v>
      </c>
      <c r="J281" s="8">
        <f t="shared" si="18"/>
        <v>0</v>
      </c>
      <c r="K281" s="71">
        <f t="shared" si="19"/>
        <v>-73581.866197183088</v>
      </c>
    </row>
    <row r="282" spans="1:11" x14ac:dyDescent="0.25">
      <c r="A282" s="38">
        <f>Données!A279</f>
        <v>5905</v>
      </c>
      <c r="B282" s="129" t="str">
        <f>Données!B279</f>
        <v>Champvent</v>
      </c>
      <c r="C282" s="8">
        <f>Données!Z279</f>
        <v>731</v>
      </c>
      <c r="D282" s="8">
        <f t="shared" si="16"/>
        <v>731</v>
      </c>
      <c r="E282" s="160">
        <f t="shared" si="17"/>
        <v>0</v>
      </c>
      <c r="F282" s="8">
        <f t="shared" si="17"/>
        <v>0</v>
      </c>
      <c r="G282" s="160">
        <f t="shared" si="17"/>
        <v>0</v>
      </c>
      <c r="H282" s="31">
        <f t="shared" si="17"/>
        <v>0</v>
      </c>
      <c r="I282" s="8">
        <f t="shared" si="17"/>
        <v>0</v>
      </c>
      <c r="J282" s="8">
        <f t="shared" si="18"/>
        <v>0</v>
      </c>
      <c r="K282" s="71">
        <f t="shared" si="19"/>
        <v>-95879.401408450693</v>
      </c>
    </row>
    <row r="283" spans="1:11" x14ac:dyDescent="0.25">
      <c r="A283" s="38">
        <f>Données!A280</f>
        <v>5907</v>
      </c>
      <c r="B283" s="129" t="str">
        <f>Données!B280</f>
        <v>Chavannes-le-Chêne</v>
      </c>
      <c r="C283" s="8">
        <f>Données!Z280</f>
        <v>317</v>
      </c>
      <c r="D283" s="8">
        <f t="shared" si="16"/>
        <v>317</v>
      </c>
      <c r="E283" s="160">
        <f t="shared" si="17"/>
        <v>0</v>
      </c>
      <c r="F283" s="8">
        <f t="shared" si="17"/>
        <v>0</v>
      </c>
      <c r="G283" s="160">
        <f t="shared" si="17"/>
        <v>0</v>
      </c>
      <c r="H283" s="31">
        <f t="shared" si="17"/>
        <v>0</v>
      </c>
      <c r="I283" s="8">
        <f t="shared" si="17"/>
        <v>0</v>
      </c>
      <c r="J283" s="8">
        <f t="shared" si="18"/>
        <v>0</v>
      </c>
      <c r="K283" s="71">
        <f t="shared" si="19"/>
        <v>-41578.345070422525</v>
      </c>
    </row>
    <row r="284" spans="1:11" x14ac:dyDescent="0.25">
      <c r="A284" s="38">
        <f>Données!A281</f>
        <v>5908</v>
      </c>
      <c r="B284" s="129" t="str">
        <f>Données!B281</f>
        <v>Chêne-Pâquier</v>
      </c>
      <c r="C284" s="8">
        <f>Données!Z281</f>
        <v>175</v>
      </c>
      <c r="D284" s="8">
        <f t="shared" si="16"/>
        <v>175</v>
      </c>
      <c r="E284" s="160">
        <f t="shared" si="17"/>
        <v>0</v>
      </c>
      <c r="F284" s="8">
        <f t="shared" si="17"/>
        <v>0</v>
      </c>
      <c r="G284" s="160">
        <f t="shared" si="17"/>
        <v>0</v>
      </c>
      <c r="H284" s="31">
        <f t="shared" si="17"/>
        <v>0</v>
      </c>
      <c r="I284" s="8">
        <f t="shared" si="17"/>
        <v>0</v>
      </c>
      <c r="J284" s="8">
        <f t="shared" si="18"/>
        <v>0</v>
      </c>
      <c r="K284" s="71">
        <f t="shared" si="19"/>
        <v>-22953.345070422532</v>
      </c>
    </row>
    <row r="285" spans="1:11" x14ac:dyDescent="0.25">
      <c r="A285" s="38">
        <f>Données!A282</f>
        <v>5909</v>
      </c>
      <c r="B285" s="129" t="str">
        <f>Données!B282</f>
        <v>Cheseaux-Noréaz</v>
      </c>
      <c r="C285" s="8">
        <f>Données!Z282</f>
        <v>739</v>
      </c>
      <c r="D285" s="8">
        <f t="shared" si="16"/>
        <v>739</v>
      </c>
      <c r="E285" s="160">
        <f t="shared" si="17"/>
        <v>0</v>
      </c>
      <c r="F285" s="8">
        <f t="shared" si="17"/>
        <v>0</v>
      </c>
      <c r="G285" s="160">
        <f t="shared" si="17"/>
        <v>0</v>
      </c>
      <c r="H285" s="31">
        <f t="shared" si="17"/>
        <v>0</v>
      </c>
      <c r="I285" s="8">
        <f t="shared" si="17"/>
        <v>0</v>
      </c>
      <c r="J285" s="8">
        <f t="shared" si="18"/>
        <v>0</v>
      </c>
      <c r="K285" s="71">
        <f t="shared" si="19"/>
        <v>-96928.697183098571</v>
      </c>
    </row>
    <row r="286" spans="1:11" x14ac:dyDescent="0.25">
      <c r="A286" s="38">
        <f>Données!A283</f>
        <v>5910</v>
      </c>
      <c r="B286" s="129" t="str">
        <f>Données!B283</f>
        <v>Cronay</v>
      </c>
      <c r="C286" s="8">
        <f>Données!Z283</f>
        <v>422</v>
      </c>
      <c r="D286" s="8">
        <f t="shared" si="16"/>
        <v>422</v>
      </c>
      <c r="E286" s="160">
        <f t="shared" si="17"/>
        <v>0</v>
      </c>
      <c r="F286" s="8">
        <f t="shared" si="17"/>
        <v>0</v>
      </c>
      <c r="G286" s="160">
        <f t="shared" si="17"/>
        <v>0</v>
      </c>
      <c r="H286" s="31">
        <f t="shared" si="17"/>
        <v>0</v>
      </c>
      <c r="I286" s="8">
        <f t="shared" si="17"/>
        <v>0</v>
      </c>
      <c r="J286" s="8">
        <f t="shared" si="18"/>
        <v>0</v>
      </c>
      <c r="K286" s="71">
        <f t="shared" si="19"/>
        <v>-55350.352112676046</v>
      </c>
    </row>
    <row r="287" spans="1:11" x14ac:dyDescent="0.25">
      <c r="A287" s="38">
        <f>Données!A284</f>
        <v>5911</v>
      </c>
      <c r="B287" s="129" t="str">
        <f>Données!B284</f>
        <v>Cuarny</v>
      </c>
      <c r="C287" s="8">
        <f>Données!Z284</f>
        <v>242</v>
      </c>
      <c r="D287" s="8">
        <f t="shared" si="16"/>
        <v>242</v>
      </c>
      <c r="E287" s="160">
        <f t="shared" si="17"/>
        <v>0</v>
      </c>
      <c r="F287" s="8">
        <f t="shared" si="17"/>
        <v>0</v>
      </c>
      <c r="G287" s="160">
        <f t="shared" si="17"/>
        <v>0</v>
      </c>
      <c r="H287" s="31">
        <f t="shared" si="17"/>
        <v>0</v>
      </c>
      <c r="I287" s="8">
        <f t="shared" si="17"/>
        <v>0</v>
      </c>
      <c r="J287" s="8">
        <f t="shared" si="18"/>
        <v>0</v>
      </c>
      <c r="K287" s="71">
        <f t="shared" si="19"/>
        <v>-31741.197183098586</v>
      </c>
    </row>
    <row r="288" spans="1:11" x14ac:dyDescent="0.25">
      <c r="A288" s="38">
        <f>Données!A285</f>
        <v>5912</v>
      </c>
      <c r="B288" s="129" t="str">
        <f>Données!B285</f>
        <v>Démoret</v>
      </c>
      <c r="C288" s="8">
        <f>Données!Z285</f>
        <v>160</v>
      </c>
      <c r="D288" s="8">
        <f t="shared" si="16"/>
        <v>160</v>
      </c>
      <c r="E288" s="160">
        <f t="shared" si="17"/>
        <v>0</v>
      </c>
      <c r="F288" s="8">
        <f t="shared" si="17"/>
        <v>0</v>
      </c>
      <c r="G288" s="160">
        <f t="shared" si="17"/>
        <v>0</v>
      </c>
      <c r="H288" s="31">
        <f t="shared" si="17"/>
        <v>0</v>
      </c>
      <c r="I288" s="8">
        <f t="shared" si="17"/>
        <v>0</v>
      </c>
      <c r="J288" s="8">
        <f t="shared" si="18"/>
        <v>0</v>
      </c>
      <c r="K288" s="71">
        <f t="shared" si="19"/>
        <v>-20985.915492957742</v>
      </c>
    </row>
    <row r="289" spans="1:11" x14ac:dyDescent="0.25">
      <c r="A289" s="38">
        <f>Données!A286</f>
        <v>5913</v>
      </c>
      <c r="B289" s="129" t="str">
        <f>Données!B286</f>
        <v>Donneloye</v>
      </c>
      <c r="C289" s="8">
        <f>Données!Z286</f>
        <v>919</v>
      </c>
      <c r="D289" s="8">
        <f t="shared" si="16"/>
        <v>919</v>
      </c>
      <c r="E289" s="160">
        <f t="shared" si="17"/>
        <v>0</v>
      </c>
      <c r="F289" s="8">
        <f t="shared" si="17"/>
        <v>0</v>
      </c>
      <c r="G289" s="160">
        <f t="shared" si="17"/>
        <v>0</v>
      </c>
      <c r="H289" s="31">
        <f t="shared" si="17"/>
        <v>0</v>
      </c>
      <c r="I289" s="8">
        <f t="shared" si="17"/>
        <v>0</v>
      </c>
      <c r="J289" s="8">
        <f t="shared" si="18"/>
        <v>0</v>
      </c>
      <c r="K289" s="71">
        <f t="shared" si="19"/>
        <v>-120537.85211267603</v>
      </c>
    </row>
    <row r="290" spans="1:11" x14ac:dyDescent="0.25">
      <c r="A290" s="38">
        <f>Données!A287</f>
        <v>5914</v>
      </c>
      <c r="B290" s="129" t="str">
        <f>Données!B287</f>
        <v>Ependes</v>
      </c>
      <c r="C290" s="8">
        <f>Données!Z287</f>
        <v>388</v>
      </c>
      <c r="D290" s="8">
        <f t="shared" si="16"/>
        <v>388</v>
      </c>
      <c r="E290" s="160">
        <f t="shared" si="17"/>
        <v>0</v>
      </c>
      <c r="F290" s="8">
        <f t="shared" si="17"/>
        <v>0</v>
      </c>
      <c r="G290" s="160">
        <f t="shared" si="17"/>
        <v>0</v>
      </c>
      <c r="H290" s="31">
        <f t="shared" si="17"/>
        <v>0</v>
      </c>
      <c r="I290" s="8">
        <f t="shared" si="17"/>
        <v>0</v>
      </c>
      <c r="J290" s="8">
        <f t="shared" si="18"/>
        <v>0</v>
      </c>
      <c r="K290" s="71">
        <f t="shared" si="19"/>
        <v>-50890.845070422525</v>
      </c>
    </row>
    <row r="291" spans="1:11" x14ac:dyDescent="0.25">
      <c r="A291" s="38">
        <f>Données!A288</f>
        <v>5919</v>
      </c>
      <c r="B291" s="129" t="str">
        <f>Données!B288</f>
        <v>Mathod</v>
      </c>
      <c r="C291" s="8">
        <f>Données!Z288</f>
        <v>709</v>
      </c>
      <c r="D291" s="8">
        <f t="shared" si="16"/>
        <v>709</v>
      </c>
      <c r="E291" s="160">
        <f t="shared" si="17"/>
        <v>0</v>
      </c>
      <c r="F291" s="8">
        <f t="shared" si="17"/>
        <v>0</v>
      </c>
      <c r="G291" s="160">
        <f t="shared" si="17"/>
        <v>0</v>
      </c>
      <c r="H291" s="31">
        <f t="shared" si="17"/>
        <v>0</v>
      </c>
      <c r="I291" s="8">
        <f t="shared" si="17"/>
        <v>0</v>
      </c>
      <c r="J291" s="8">
        <f t="shared" si="18"/>
        <v>0</v>
      </c>
      <c r="K291" s="71">
        <f t="shared" si="19"/>
        <v>-92993.83802816899</v>
      </c>
    </row>
    <row r="292" spans="1:11" x14ac:dyDescent="0.25">
      <c r="A292" s="38">
        <f>Données!A289</f>
        <v>5921</v>
      </c>
      <c r="B292" s="129" t="str">
        <f>Données!B289</f>
        <v>Molondin</v>
      </c>
      <c r="C292" s="8">
        <f>Données!Z289</f>
        <v>282</v>
      </c>
      <c r="D292" s="8">
        <f t="shared" si="16"/>
        <v>282</v>
      </c>
      <c r="E292" s="160">
        <f t="shared" si="17"/>
        <v>0</v>
      </c>
      <c r="F292" s="8">
        <f t="shared" si="17"/>
        <v>0</v>
      </c>
      <c r="G292" s="160">
        <f t="shared" si="17"/>
        <v>0</v>
      </c>
      <c r="H292" s="31">
        <f t="shared" si="17"/>
        <v>0</v>
      </c>
      <c r="I292" s="8">
        <f t="shared" si="17"/>
        <v>0</v>
      </c>
      <c r="J292" s="8">
        <f t="shared" si="18"/>
        <v>0</v>
      </c>
      <c r="K292" s="71">
        <f t="shared" si="19"/>
        <v>-36987.676056338023</v>
      </c>
    </row>
    <row r="293" spans="1:11" x14ac:dyDescent="0.25">
      <c r="A293" s="38">
        <f>Données!A290</f>
        <v>5922</v>
      </c>
      <c r="B293" s="129" t="str">
        <f>Données!B290</f>
        <v>Montagny-près-Yverdon</v>
      </c>
      <c r="C293" s="8">
        <f>Données!Z290</f>
        <v>777</v>
      </c>
      <c r="D293" s="8">
        <f t="shared" si="16"/>
        <v>777</v>
      </c>
      <c r="E293" s="160">
        <f t="shared" si="17"/>
        <v>0</v>
      </c>
      <c r="F293" s="8">
        <f t="shared" si="17"/>
        <v>0</v>
      </c>
      <c r="G293" s="160">
        <f t="shared" si="17"/>
        <v>0</v>
      </c>
      <c r="H293" s="31">
        <f t="shared" si="17"/>
        <v>0</v>
      </c>
      <c r="I293" s="8">
        <f t="shared" si="17"/>
        <v>0</v>
      </c>
      <c r="J293" s="8">
        <f t="shared" si="18"/>
        <v>0</v>
      </c>
      <c r="K293" s="71">
        <f t="shared" si="19"/>
        <v>-101912.85211267603</v>
      </c>
    </row>
    <row r="294" spans="1:11" x14ac:dyDescent="0.25">
      <c r="A294" s="38">
        <f>Données!A291</f>
        <v>5923</v>
      </c>
      <c r="B294" s="129" t="str">
        <f>Données!B291</f>
        <v>Oppens</v>
      </c>
      <c r="C294" s="8">
        <f>Données!Z291</f>
        <v>202</v>
      </c>
      <c r="D294" s="8">
        <f t="shared" si="16"/>
        <v>202</v>
      </c>
      <c r="E294" s="160">
        <f t="shared" si="17"/>
        <v>0</v>
      </c>
      <c r="F294" s="8">
        <f t="shared" si="17"/>
        <v>0</v>
      </c>
      <c r="G294" s="160">
        <f t="shared" si="17"/>
        <v>0</v>
      </c>
      <c r="H294" s="31">
        <f t="shared" si="17"/>
        <v>0</v>
      </c>
      <c r="I294" s="8">
        <f t="shared" si="17"/>
        <v>0</v>
      </c>
      <c r="J294" s="8">
        <f t="shared" si="18"/>
        <v>0</v>
      </c>
      <c r="K294" s="71">
        <f t="shared" si="19"/>
        <v>-26494.718309859149</v>
      </c>
    </row>
    <row r="295" spans="1:11" x14ac:dyDescent="0.25">
      <c r="A295" s="38">
        <f>Données!A292</f>
        <v>5924</v>
      </c>
      <c r="B295" s="129" t="str">
        <f>Données!B292</f>
        <v>Orges</v>
      </c>
      <c r="C295" s="8">
        <f>Données!Z292</f>
        <v>416</v>
      </c>
      <c r="D295" s="8">
        <f t="shared" si="16"/>
        <v>416</v>
      </c>
      <c r="E295" s="160">
        <f t="shared" si="17"/>
        <v>0</v>
      </c>
      <c r="F295" s="8">
        <f t="shared" si="17"/>
        <v>0</v>
      </c>
      <c r="G295" s="160">
        <f t="shared" si="17"/>
        <v>0</v>
      </c>
      <c r="H295" s="31">
        <f t="shared" si="17"/>
        <v>0</v>
      </c>
      <c r="I295" s="8">
        <f t="shared" si="17"/>
        <v>0</v>
      </c>
      <c r="J295" s="8">
        <f t="shared" si="18"/>
        <v>0</v>
      </c>
      <c r="K295" s="71">
        <f t="shared" si="19"/>
        <v>-54563.38028169013</v>
      </c>
    </row>
    <row r="296" spans="1:11" x14ac:dyDescent="0.25">
      <c r="A296" s="38">
        <f>Données!A293</f>
        <v>5925</v>
      </c>
      <c r="B296" s="129" t="str">
        <f>Données!B293</f>
        <v>Orzens</v>
      </c>
      <c r="C296" s="8">
        <f>Données!Z293</f>
        <v>214</v>
      </c>
      <c r="D296" s="8">
        <f t="shared" si="16"/>
        <v>214</v>
      </c>
      <c r="E296" s="160">
        <f t="shared" si="17"/>
        <v>0</v>
      </c>
      <c r="F296" s="8">
        <f t="shared" si="17"/>
        <v>0</v>
      </c>
      <c r="G296" s="160">
        <f t="shared" si="17"/>
        <v>0</v>
      </c>
      <c r="H296" s="31">
        <f t="shared" si="17"/>
        <v>0</v>
      </c>
      <c r="I296" s="8">
        <f t="shared" si="17"/>
        <v>0</v>
      </c>
      <c r="J296" s="8">
        <f t="shared" si="18"/>
        <v>0</v>
      </c>
      <c r="K296" s="71">
        <f t="shared" si="19"/>
        <v>-28068.661971830981</v>
      </c>
    </row>
    <row r="297" spans="1:11" x14ac:dyDescent="0.25">
      <c r="A297" s="38">
        <f>Données!A294</f>
        <v>5926</v>
      </c>
      <c r="B297" s="129" t="str">
        <f>Données!B294</f>
        <v>Pomy</v>
      </c>
      <c r="C297" s="8">
        <f>Données!Z294</f>
        <v>875</v>
      </c>
      <c r="D297" s="8">
        <f t="shared" si="16"/>
        <v>875</v>
      </c>
      <c r="E297" s="160">
        <f t="shared" si="17"/>
        <v>0</v>
      </c>
      <c r="F297" s="8">
        <f t="shared" si="17"/>
        <v>0</v>
      </c>
      <c r="G297" s="160">
        <f t="shared" si="17"/>
        <v>0</v>
      </c>
      <c r="H297" s="31">
        <f t="shared" si="17"/>
        <v>0</v>
      </c>
      <c r="I297" s="8">
        <f t="shared" si="17"/>
        <v>0</v>
      </c>
      <c r="J297" s="8">
        <f t="shared" si="18"/>
        <v>0</v>
      </c>
      <c r="K297" s="71">
        <f t="shared" si="19"/>
        <v>-114766.72535211265</v>
      </c>
    </row>
    <row r="298" spans="1:11" x14ac:dyDescent="0.25">
      <c r="A298" s="38">
        <f>Données!A295</f>
        <v>5928</v>
      </c>
      <c r="B298" s="129" t="str">
        <f>Données!B295</f>
        <v>Rovray</v>
      </c>
      <c r="C298" s="8">
        <f>Données!Z295</f>
        <v>199</v>
      </c>
      <c r="D298" s="8">
        <f t="shared" si="16"/>
        <v>199</v>
      </c>
      <c r="E298" s="160">
        <f t="shared" si="17"/>
        <v>0</v>
      </c>
      <c r="F298" s="8">
        <f t="shared" si="17"/>
        <v>0</v>
      </c>
      <c r="G298" s="160">
        <f t="shared" si="17"/>
        <v>0</v>
      </c>
      <c r="H298" s="31">
        <f t="shared" si="17"/>
        <v>0</v>
      </c>
      <c r="I298" s="8">
        <f t="shared" si="17"/>
        <v>0</v>
      </c>
      <c r="J298" s="8">
        <f t="shared" si="18"/>
        <v>0</v>
      </c>
      <c r="K298" s="71">
        <f t="shared" si="19"/>
        <v>-26101.232394366194</v>
      </c>
    </row>
    <row r="299" spans="1:11" x14ac:dyDescent="0.25">
      <c r="A299" s="38">
        <f>Données!A296</f>
        <v>5929</v>
      </c>
      <c r="B299" s="129" t="str">
        <f>Données!B296</f>
        <v>Suchy</v>
      </c>
      <c r="C299" s="8">
        <f>Données!Z296</f>
        <v>665</v>
      </c>
      <c r="D299" s="8">
        <f t="shared" si="16"/>
        <v>665</v>
      </c>
      <c r="E299" s="160">
        <f t="shared" si="17"/>
        <v>0</v>
      </c>
      <c r="F299" s="8">
        <f t="shared" si="17"/>
        <v>0</v>
      </c>
      <c r="G299" s="160">
        <f t="shared" si="17"/>
        <v>0</v>
      </c>
      <c r="H299" s="31">
        <f t="shared" si="17"/>
        <v>0</v>
      </c>
      <c r="I299" s="8">
        <f t="shared" si="17"/>
        <v>0</v>
      </c>
      <c r="J299" s="8">
        <f t="shared" si="18"/>
        <v>0</v>
      </c>
      <c r="K299" s="71">
        <f t="shared" si="19"/>
        <v>-87222.711267605613</v>
      </c>
    </row>
    <row r="300" spans="1:11" x14ac:dyDescent="0.25">
      <c r="A300" s="38">
        <f>Données!A297</f>
        <v>5930</v>
      </c>
      <c r="B300" s="129" t="str">
        <f>Données!B297</f>
        <v>Suscévaz</v>
      </c>
      <c r="C300" s="8">
        <f>Données!Z297</f>
        <v>217</v>
      </c>
      <c r="D300" s="8">
        <f t="shared" ref="D300:D308" si="20">IF($C300&gt;D$5,IF($C300&lt;D$6,$C300-D$5,D$6-D$5),0)</f>
        <v>217</v>
      </c>
      <c r="E300" s="160">
        <f t="shared" si="17"/>
        <v>0</v>
      </c>
      <c r="F300" s="8">
        <f t="shared" si="17"/>
        <v>0</v>
      </c>
      <c r="G300" s="160">
        <f t="shared" si="17"/>
        <v>0</v>
      </c>
      <c r="H300" s="31">
        <f t="shared" si="17"/>
        <v>0</v>
      </c>
      <c r="I300" s="8">
        <f t="shared" si="17"/>
        <v>0</v>
      </c>
      <c r="J300" s="8">
        <f t="shared" si="18"/>
        <v>0</v>
      </c>
      <c r="K300" s="71">
        <f t="shared" si="19"/>
        <v>-28462.147887323939</v>
      </c>
    </row>
    <row r="301" spans="1:11" x14ac:dyDescent="0.25">
      <c r="A301" s="38">
        <f>Données!A298</f>
        <v>5931</v>
      </c>
      <c r="B301" s="129" t="str">
        <f>Données!B298</f>
        <v>Treycovagnes</v>
      </c>
      <c r="C301" s="8">
        <f>Données!Z298</f>
        <v>522</v>
      </c>
      <c r="D301" s="8">
        <f t="shared" si="20"/>
        <v>522</v>
      </c>
      <c r="E301" s="160">
        <f t="shared" si="17"/>
        <v>0</v>
      </c>
      <c r="F301" s="8">
        <f t="shared" si="17"/>
        <v>0</v>
      </c>
      <c r="G301" s="160">
        <f t="shared" si="17"/>
        <v>0</v>
      </c>
      <c r="H301" s="31">
        <f t="shared" si="17"/>
        <v>0</v>
      </c>
      <c r="I301" s="8">
        <f t="shared" si="17"/>
        <v>0</v>
      </c>
      <c r="J301" s="8">
        <f t="shared" si="18"/>
        <v>0</v>
      </c>
      <c r="K301" s="71">
        <f t="shared" si="19"/>
        <v>-68466.549295774632</v>
      </c>
    </row>
    <row r="302" spans="1:11" x14ac:dyDescent="0.25">
      <c r="A302" s="38">
        <f>Données!A299</f>
        <v>5932</v>
      </c>
      <c r="B302" s="129" t="str">
        <f>Données!B299</f>
        <v>Ursins</v>
      </c>
      <c r="C302" s="8">
        <f>Données!Z299</f>
        <v>234</v>
      </c>
      <c r="D302" s="8">
        <f t="shared" si="20"/>
        <v>234</v>
      </c>
      <c r="E302" s="160">
        <f t="shared" si="17"/>
        <v>0</v>
      </c>
      <c r="F302" s="8">
        <f t="shared" si="17"/>
        <v>0</v>
      </c>
      <c r="G302" s="160">
        <f t="shared" si="17"/>
        <v>0</v>
      </c>
      <c r="H302" s="31">
        <f t="shared" si="17"/>
        <v>0</v>
      </c>
      <c r="I302" s="8">
        <f t="shared" si="17"/>
        <v>0</v>
      </c>
      <c r="J302" s="8">
        <f t="shared" si="18"/>
        <v>0</v>
      </c>
      <c r="K302" s="71">
        <f t="shared" si="19"/>
        <v>-30691.9014084507</v>
      </c>
    </row>
    <row r="303" spans="1:11" x14ac:dyDescent="0.25">
      <c r="A303" s="38">
        <f>Données!A300</f>
        <v>5933</v>
      </c>
      <c r="B303" s="129" t="str">
        <f>Données!B300</f>
        <v>Valeyres-sous-Montagny</v>
      </c>
      <c r="C303" s="8">
        <f>Données!Z300</f>
        <v>703</v>
      </c>
      <c r="D303" s="8">
        <f t="shared" si="20"/>
        <v>703</v>
      </c>
      <c r="E303" s="160">
        <f t="shared" si="17"/>
        <v>0</v>
      </c>
      <c r="F303" s="8">
        <f t="shared" si="17"/>
        <v>0</v>
      </c>
      <c r="G303" s="160">
        <f t="shared" si="17"/>
        <v>0</v>
      </c>
      <c r="H303" s="31">
        <f t="shared" si="17"/>
        <v>0</v>
      </c>
      <c r="I303" s="8">
        <f t="shared" si="17"/>
        <v>0</v>
      </c>
      <c r="J303" s="8">
        <f t="shared" si="18"/>
        <v>0</v>
      </c>
      <c r="K303" s="71">
        <f t="shared" si="19"/>
        <v>-92206.866197183088</v>
      </c>
    </row>
    <row r="304" spans="1:11" x14ac:dyDescent="0.25">
      <c r="A304" s="38">
        <f>Données!A301</f>
        <v>5934</v>
      </c>
      <c r="B304" s="129" t="str">
        <f>Données!B301</f>
        <v>Valeyres-sous-Ursins</v>
      </c>
      <c r="C304" s="8">
        <f>Données!Z301</f>
        <v>237</v>
      </c>
      <c r="D304" s="8">
        <f t="shared" si="20"/>
        <v>237</v>
      </c>
      <c r="E304" s="160">
        <f t="shared" si="17"/>
        <v>0</v>
      </c>
      <c r="F304" s="8">
        <f t="shared" si="17"/>
        <v>0</v>
      </c>
      <c r="G304" s="160">
        <f t="shared" si="17"/>
        <v>0</v>
      </c>
      <c r="H304" s="31">
        <f t="shared" si="17"/>
        <v>0</v>
      </c>
      <c r="I304" s="8">
        <f t="shared" si="17"/>
        <v>0</v>
      </c>
      <c r="J304" s="8">
        <f t="shared" si="18"/>
        <v>0</v>
      </c>
      <c r="K304" s="71">
        <f t="shared" si="19"/>
        <v>-31085.387323943658</v>
      </c>
    </row>
    <row r="305" spans="1:11" x14ac:dyDescent="0.25">
      <c r="A305" s="38">
        <f>Données!A302</f>
        <v>5935</v>
      </c>
      <c r="B305" s="129" t="str">
        <f>Données!B302</f>
        <v>Villars-Epeney</v>
      </c>
      <c r="C305" s="8">
        <f>Données!Z302</f>
        <v>101</v>
      </c>
      <c r="D305" s="8">
        <f t="shared" si="20"/>
        <v>101</v>
      </c>
      <c r="E305" s="160">
        <f t="shared" si="17"/>
        <v>0</v>
      </c>
      <c r="F305" s="8">
        <f t="shared" si="17"/>
        <v>0</v>
      </c>
      <c r="G305" s="160">
        <f t="shared" si="17"/>
        <v>0</v>
      </c>
      <c r="H305" s="31">
        <f t="shared" si="17"/>
        <v>0</v>
      </c>
      <c r="I305" s="8">
        <f t="shared" si="17"/>
        <v>0</v>
      </c>
      <c r="J305" s="8">
        <f t="shared" si="18"/>
        <v>0</v>
      </c>
      <c r="K305" s="71">
        <f t="shared" si="19"/>
        <v>-13247.359154929574</v>
      </c>
    </row>
    <row r="306" spans="1:11" x14ac:dyDescent="0.25">
      <c r="A306" s="38">
        <f>Données!A303</f>
        <v>5937</v>
      </c>
      <c r="B306" s="129" t="str">
        <f>Données!B303</f>
        <v>Vugelles-La Mothe</v>
      </c>
      <c r="C306" s="8">
        <f>Données!Z303</f>
        <v>151</v>
      </c>
      <c r="D306" s="8">
        <f t="shared" si="20"/>
        <v>151</v>
      </c>
      <c r="E306" s="160">
        <f t="shared" si="17"/>
        <v>0</v>
      </c>
      <c r="F306" s="8">
        <f t="shared" si="17"/>
        <v>0</v>
      </c>
      <c r="G306" s="160">
        <f t="shared" si="17"/>
        <v>0</v>
      </c>
      <c r="H306" s="31">
        <f t="shared" si="17"/>
        <v>0</v>
      </c>
      <c r="I306" s="8">
        <f t="shared" si="17"/>
        <v>0</v>
      </c>
      <c r="J306" s="8">
        <f t="shared" si="18"/>
        <v>0</v>
      </c>
      <c r="K306" s="71">
        <f t="shared" si="19"/>
        <v>-19805.457746478871</v>
      </c>
    </row>
    <row r="307" spans="1:11" x14ac:dyDescent="0.25">
      <c r="A307" s="38">
        <f>Données!A304</f>
        <v>5938</v>
      </c>
      <c r="B307" s="129" t="str">
        <f>Données!B304</f>
        <v>Yverdon-les-Bains</v>
      </c>
      <c r="C307" s="8">
        <f>Données!Z304</f>
        <v>30221</v>
      </c>
      <c r="D307" s="8">
        <f t="shared" si="20"/>
        <v>1000</v>
      </c>
      <c r="E307" s="160">
        <f t="shared" si="17"/>
        <v>2000</v>
      </c>
      <c r="F307" s="8">
        <f t="shared" si="17"/>
        <v>2000</v>
      </c>
      <c r="G307" s="160">
        <f t="shared" si="17"/>
        <v>4000</v>
      </c>
      <c r="H307" s="31">
        <f t="shared" si="17"/>
        <v>3000</v>
      </c>
      <c r="I307" s="8">
        <f t="shared" si="17"/>
        <v>3000</v>
      </c>
      <c r="J307" s="8">
        <f t="shared" si="18"/>
        <v>15221</v>
      </c>
      <c r="K307" s="71">
        <f t="shared" si="19"/>
        <v>-27026763.732394364</v>
      </c>
    </row>
    <row r="308" spans="1:11" x14ac:dyDescent="0.25">
      <c r="A308" s="38">
        <f>Données!A305</f>
        <v>5939</v>
      </c>
      <c r="B308" s="129" t="str">
        <f>Données!B305</f>
        <v>Yvonand</v>
      </c>
      <c r="C308" s="161">
        <f>Données!Z305</f>
        <v>3536</v>
      </c>
      <c r="D308" s="8">
        <f t="shared" si="20"/>
        <v>1000</v>
      </c>
      <c r="E308" s="160">
        <f t="shared" si="17"/>
        <v>2000</v>
      </c>
      <c r="F308" s="8">
        <f t="shared" si="17"/>
        <v>536</v>
      </c>
      <c r="G308" s="160">
        <f t="shared" si="17"/>
        <v>0</v>
      </c>
      <c r="H308" s="31">
        <f t="shared" si="17"/>
        <v>0</v>
      </c>
      <c r="I308" s="8">
        <f t="shared" si="17"/>
        <v>0</v>
      </c>
      <c r="J308" s="8">
        <f t="shared" si="18"/>
        <v>0</v>
      </c>
      <c r="K308" s="71">
        <f t="shared" si="19"/>
        <v>-1146880.2816901407</v>
      </c>
    </row>
    <row r="309" spans="1:11" x14ac:dyDescent="0.25">
      <c r="A309" s="25"/>
      <c r="B309" s="73">
        <f>COUNTA(B9:B308)</f>
        <v>300</v>
      </c>
      <c r="C309" s="9">
        <f>SUM(C9:C308)</f>
        <v>846303</v>
      </c>
      <c r="D309" s="9">
        <f t="shared" ref="D309:J309" si="21">SUM(D9:D308)</f>
        <v>217011</v>
      </c>
      <c r="E309" s="9">
        <f t="shared" si="21"/>
        <v>175730</v>
      </c>
      <c r="F309" s="9">
        <f t="shared" si="21"/>
        <v>91235</v>
      </c>
      <c r="G309" s="9">
        <f t="shared" si="21"/>
        <v>102255</v>
      </c>
      <c r="H309" s="9">
        <f t="shared" si="21"/>
        <v>48303</v>
      </c>
      <c r="I309" s="9">
        <f t="shared" si="21"/>
        <v>28694</v>
      </c>
      <c r="J309" s="9">
        <f t="shared" si="21"/>
        <v>183075</v>
      </c>
      <c r="K309" s="30">
        <f>SUM(K9:K308)</f>
        <v>-480139567.42957699</v>
      </c>
    </row>
    <row r="310" spans="1:11" x14ac:dyDescent="0.25">
      <c r="C310" s="52"/>
      <c r="K310" s="5"/>
    </row>
    <row r="311" spans="1:11" x14ac:dyDescent="0.25">
      <c r="K311" s="162"/>
    </row>
    <row r="312" spans="1:11" x14ac:dyDescent="0.25">
      <c r="K312" s="162"/>
    </row>
    <row r="320" spans="1:11" x14ac:dyDescent="0.25">
      <c r="C320" s="45"/>
    </row>
  </sheetData>
  <sheetProtection sheet="1" objects="1" scenarios="1"/>
  <mergeCells count="6">
    <mergeCell ref="K7:K8"/>
    <mergeCell ref="C4:J4"/>
    <mergeCell ref="A7:A8"/>
    <mergeCell ref="B7:B8"/>
    <mergeCell ref="C7:C8"/>
    <mergeCell ref="D7:J7"/>
  </mergeCells>
  <phoneticPr fontId="21" type="noConversion"/>
  <hyperlinks>
    <hyperlink ref="G1" location="'Péréquation directe'!A1" display="← Précédent" xr:uid="{4A68310A-425D-4B7C-A602-B19E50C59698}"/>
    <hyperlink ref="H1" location="'Table des matières'!A1" display="Table des             matières" xr:uid="{45E00C4B-D76D-485B-A963-90DFF5ED91F9}"/>
    <hyperlink ref="I1" location="Solidarité!A1" display="Suivant →" xr:uid="{3CE52556-7647-4955-BB2C-AB3DA5B0FC22}"/>
  </hyperlinks>
  <pageMargins left="0.78740157499999996" right="0.78740157499999996" top="0.984251969" bottom="0.984251969" header="0.4921259845" footer="0.4921259845"/>
  <pageSetup paperSize="9" orientation="portrait" horizontalDpi="4294967292" verticalDpi="4294967292"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tabColor theme="6" tint="0.39997558519241921"/>
  </sheetPr>
  <dimension ref="A1:L306"/>
  <sheetViews>
    <sheetView workbookViewId="0">
      <pane ySplit="5" topLeftCell="A6" activePane="bottomLeft" state="frozen"/>
      <selection activeCell="K309" sqref="K309"/>
      <selection pane="bottomLeft"/>
    </sheetView>
  </sheetViews>
  <sheetFormatPr baseColWidth="10" defaultColWidth="11" defaultRowHeight="15" x14ac:dyDescent="0.25"/>
  <cols>
    <col min="1" max="1" width="7.25" style="11" customWidth="1"/>
    <col min="2" max="2" width="21.25" style="11" customWidth="1"/>
    <col min="3" max="3" width="10.125" style="11" customWidth="1"/>
    <col min="4" max="4" width="20.5" style="11" customWidth="1"/>
    <col min="5" max="5" width="12" style="11" bestFit="1" customWidth="1"/>
    <col min="6" max="6" width="10.625" style="12" customWidth="1"/>
    <col min="7" max="7" width="12.5" style="13" bestFit="1" customWidth="1"/>
    <col min="8" max="8" width="11.125" style="11" bestFit="1" customWidth="1"/>
    <col min="9" max="9" width="13.875" style="5" customWidth="1"/>
    <col min="10" max="16384" width="11" style="11"/>
  </cols>
  <sheetData>
    <row r="1" spans="1:12" s="210" customFormat="1" ht="26.25" x14ac:dyDescent="0.4">
      <c r="A1" s="203" t="s">
        <v>565</v>
      </c>
      <c r="B1" s="208"/>
      <c r="C1" s="209"/>
      <c r="D1" s="209"/>
      <c r="E1" s="308" t="s">
        <v>402</v>
      </c>
      <c r="F1" s="224" t="s">
        <v>394</v>
      </c>
      <c r="G1" s="372" t="s">
        <v>403</v>
      </c>
      <c r="I1" s="211"/>
      <c r="J1" s="287"/>
      <c r="K1" s="287"/>
      <c r="L1" s="287"/>
    </row>
    <row r="2" spans="1:12" s="156" customFormat="1" ht="15.75" customHeight="1" x14ac:dyDescent="0.25">
      <c r="A2" s="272" t="str">
        <f>Paramètres!B4</f>
        <v>Décompte 2023</v>
      </c>
      <c r="B2" s="32"/>
      <c r="C2" s="60"/>
      <c r="D2" s="60"/>
      <c r="F2" s="171"/>
      <c r="G2" s="172"/>
      <c r="I2" s="5"/>
      <c r="J2" s="293"/>
      <c r="K2" s="293"/>
      <c r="L2" s="293"/>
    </row>
    <row r="3" spans="1:12" ht="26.45" customHeight="1" x14ac:dyDescent="0.25">
      <c r="J3" s="293"/>
      <c r="K3" s="293"/>
      <c r="L3" s="293"/>
    </row>
    <row r="4" spans="1:12" ht="36.75" customHeight="1" x14ac:dyDescent="0.25">
      <c r="A4" s="760" t="s">
        <v>44</v>
      </c>
      <c r="B4" s="760" t="s">
        <v>84</v>
      </c>
      <c r="C4" s="760" t="s">
        <v>257</v>
      </c>
      <c r="D4" s="760" t="s">
        <v>492</v>
      </c>
      <c r="E4" s="232" t="s">
        <v>299</v>
      </c>
      <c r="F4" s="768" t="s">
        <v>71</v>
      </c>
      <c r="G4" s="766" t="s">
        <v>481</v>
      </c>
      <c r="H4" s="760" t="s">
        <v>421</v>
      </c>
      <c r="I4" s="766" t="s">
        <v>497</v>
      </c>
      <c r="J4" s="293"/>
      <c r="K4" s="293"/>
      <c r="L4" s="293"/>
    </row>
    <row r="5" spans="1:12" x14ac:dyDescent="0.25">
      <c r="A5" s="762"/>
      <c r="B5" s="762"/>
      <c r="C5" s="762"/>
      <c r="D5" s="762"/>
      <c r="E5" s="180">
        <f>+Paramètres!B36</f>
        <v>0.27</v>
      </c>
      <c r="F5" s="769"/>
      <c r="G5" s="770"/>
      <c r="H5" s="762"/>
      <c r="I5" s="767"/>
    </row>
    <row r="6" spans="1:12" x14ac:dyDescent="0.25">
      <c r="A6" s="38">
        <f>Données!A6</f>
        <v>5401</v>
      </c>
      <c r="B6" s="27" t="str">
        <f>Données!B6</f>
        <v>Aigle</v>
      </c>
      <c r="C6" s="31">
        <f>Données!Z6</f>
        <v>11437</v>
      </c>
      <c r="D6" s="176">
        <f>Ecrêtage!E6</f>
        <v>25.695536319741972</v>
      </c>
      <c r="E6" s="176">
        <f>IF($D$306-D6&lt;0,0,$D$306-D6)</f>
        <v>23.76379100857832</v>
      </c>
      <c r="F6" s="176">
        <f>+Données!X6</f>
        <v>66</v>
      </c>
      <c r="G6" s="289">
        <f>-((C6*E6*F6)*$E$5)</f>
        <v>-4843235.0337742651</v>
      </c>
      <c r="H6" s="122">
        <f>F6/$F$306</f>
        <v>0.9763129454546019</v>
      </c>
      <c r="I6" s="42">
        <f t="shared" ref="I6" si="0">G6*H6</f>
        <v>-4728513.0613530707</v>
      </c>
    </row>
    <row r="7" spans="1:12" x14ac:dyDescent="0.25">
      <c r="A7" s="38">
        <f>Données!A7</f>
        <v>5402</v>
      </c>
      <c r="B7" s="27" t="str">
        <f>Données!B7</f>
        <v>Bex</v>
      </c>
      <c r="C7" s="31">
        <f>Données!Z7</f>
        <v>8508</v>
      </c>
      <c r="D7" s="176">
        <f>Ecrêtage!E7</f>
        <v>23.82441648953429</v>
      </c>
      <c r="E7" s="176">
        <f t="shared" ref="E7:E70" si="1">IF($D$306-D7&lt;0,0,$D$306-D7)</f>
        <v>25.634910838786002</v>
      </c>
      <c r="F7" s="176">
        <f>+Données!X7</f>
        <v>71</v>
      </c>
      <c r="G7" s="290">
        <f t="shared" ref="G7:G70" si="2">-((C7*E7*F7)*$E$5)</f>
        <v>-4181011.9165522214</v>
      </c>
      <c r="H7" s="122">
        <f t="shared" ref="H7:H70" si="3">F7/$F$306</f>
        <v>1.0502760473829809</v>
      </c>
      <c r="I7" s="42">
        <f t="shared" ref="I7:I70" si="4">G7*H7</f>
        <v>-4391216.6697776085</v>
      </c>
    </row>
    <row r="8" spans="1:12" x14ac:dyDescent="0.25">
      <c r="A8" s="38">
        <f>Données!A8</f>
        <v>5403</v>
      </c>
      <c r="B8" s="27" t="str">
        <f>Données!B8</f>
        <v>Chessel</v>
      </c>
      <c r="C8" s="31">
        <f>Données!Z8</f>
        <v>519</v>
      </c>
      <c r="D8" s="176">
        <f>Ecrêtage!E8</f>
        <v>25.3962866459167</v>
      </c>
      <c r="E8" s="176">
        <f t="shared" si="1"/>
        <v>24.063040682403592</v>
      </c>
      <c r="F8" s="176">
        <f>+Données!X8</f>
        <v>65</v>
      </c>
      <c r="G8" s="290">
        <f t="shared" si="2"/>
        <v>-219177.00290363902</v>
      </c>
      <c r="H8" s="122">
        <f t="shared" si="3"/>
        <v>0.96152032506892615</v>
      </c>
      <c r="I8" s="42">
        <f t="shared" si="4"/>
        <v>-210743.14307953996</v>
      </c>
    </row>
    <row r="9" spans="1:12" x14ac:dyDescent="0.25">
      <c r="A9" s="38">
        <f>Données!A9</f>
        <v>5404</v>
      </c>
      <c r="B9" s="27" t="str">
        <f>Données!B9</f>
        <v>Corbeyrier</v>
      </c>
      <c r="C9" s="31">
        <f>Données!Z9</f>
        <v>464</v>
      </c>
      <c r="D9" s="176">
        <f>Ecrêtage!E9</f>
        <v>22.96723730195713</v>
      </c>
      <c r="E9" s="176">
        <f t="shared" si="1"/>
        <v>26.492090026363162</v>
      </c>
      <c r="F9" s="176">
        <f>+Données!X9</f>
        <v>74</v>
      </c>
      <c r="G9" s="290">
        <f t="shared" si="2"/>
        <v>-245600.74884920553</v>
      </c>
      <c r="H9" s="122">
        <f t="shared" si="3"/>
        <v>1.0946539085400082</v>
      </c>
      <c r="I9" s="42">
        <f t="shared" si="4"/>
        <v>-268847.81966813578</v>
      </c>
    </row>
    <row r="10" spans="1:12" x14ac:dyDescent="0.25">
      <c r="A10" s="38">
        <f>Données!A10</f>
        <v>5405</v>
      </c>
      <c r="B10" s="27" t="str">
        <f>Données!B10</f>
        <v>Gryon</v>
      </c>
      <c r="C10" s="31">
        <f>Données!Z10</f>
        <v>1520</v>
      </c>
      <c r="D10" s="176">
        <f>Ecrêtage!E10</f>
        <v>52.105355770378331</v>
      </c>
      <c r="E10" s="176">
        <f t="shared" si="1"/>
        <v>0</v>
      </c>
      <c r="F10" s="176">
        <f>+Données!X10</f>
        <v>73.5</v>
      </c>
      <c r="G10" s="290">
        <f t="shared" si="2"/>
        <v>0</v>
      </c>
      <c r="H10" s="122">
        <f t="shared" si="3"/>
        <v>1.0872575983471704</v>
      </c>
      <c r="I10" s="42">
        <f t="shared" si="4"/>
        <v>0</v>
      </c>
    </row>
    <row r="11" spans="1:12" x14ac:dyDescent="0.25">
      <c r="A11" s="38">
        <f>Données!A11</f>
        <v>5406</v>
      </c>
      <c r="B11" s="27" t="str">
        <f>Données!B11</f>
        <v>Lavey-Morcles</v>
      </c>
      <c r="C11" s="31">
        <f>Données!Z11</f>
        <v>1022</v>
      </c>
      <c r="D11" s="176">
        <f>Ecrêtage!E11</f>
        <v>23.653927863495827</v>
      </c>
      <c r="E11" s="176">
        <f t="shared" si="1"/>
        <v>25.805399464824465</v>
      </c>
      <c r="F11" s="176">
        <f>+Données!X11</f>
        <v>71.5</v>
      </c>
      <c r="G11" s="290">
        <f t="shared" si="2"/>
        <v>-509133.04787514184</v>
      </c>
      <c r="H11" s="122">
        <f t="shared" si="3"/>
        <v>1.0576723575758187</v>
      </c>
      <c r="I11" s="42">
        <f t="shared" si="4"/>
        <v>-538495.95106586348</v>
      </c>
    </row>
    <row r="12" spans="1:12" x14ac:dyDescent="0.25">
      <c r="A12" s="38">
        <f>Données!A12</f>
        <v>5407</v>
      </c>
      <c r="B12" s="27" t="str">
        <f>Données!B12</f>
        <v>Leysin</v>
      </c>
      <c r="C12" s="31">
        <f>Données!Z12</f>
        <v>3729</v>
      </c>
      <c r="D12" s="176">
        <f>Ecrêtage!E12</f>
        <v>26.171609904353268</v>
      </c>
      <c r="E12" s="176">
        <f t="shared" si="1"/>
        <v>23.287717423967024</v>
      </c>
      <c r="F12" s="176">
        <f>+Données!X12</f>
        <v>78</v>
      </c>
      <c r="G12" s="290">
        <f t="shared" si="2"/>
        <v>-1828848.2576498722</v>
      </c>
      <c r="H12" s="122">
        <f t="shared" si="3"/>
        <v>1.1538243900827114</v>
      </c>
      <c r="I12" s="42">
        <f t="shared" si="4"/>
        <v>-2110169.7254366935</v>
      </c>
    </row>
    <row r="13" spans="1:12" x14ac:dyDescent="0.25">
      <c r="A13" s="38">
        <f>Données!A13</f>
        <v>5408</v>
      </c>
      <c r="B13" s="27" t="str">
        <f>Données!B13</f>
        <v>Noville</v>
      </c>
      <c r="C13" s="31">
        <f>Données!Z13</f>
        <v>1180</v>
      </c>
      <c r="D13" s="176">
        <f>Ecrêtage!E13</f>
        <v>34.048296007532961</v>
      </c>
      <c r="E13" s="176">
        <f t="shared" si="1"/>
        <v>15.41103132078733</v>
      </c>
      <c r="F13" s="176">
        <f>+Données!X13</f>
        <v>75</v>
      </c>
      <c r="G13" s="290">
        <f t="shared" si="2"/>
        <v>-368246.59341021325</v>
      </c>
      <c r="H13" s="122">
        <f t="shared" si="3"/>
        <v>1.1094465289256841</v>
      </c>
      <c r="I13" s="42">
        <f t="shared" si="4"/>
        <v>-408549.90484766877</v>
      </c>
    </row>
    <row r="14" spans="1:12" x14ac:dyDescent="0.25">
      <c r="A14" s="38">
        <f>Données!A14</f>
        <v>5409</v>
      </c>
      <c r="B14" s="27" t="str">
        <f>Données!B14</f>
        <v>Ollon</v>
      </c>
      <c r="C14" s="31">
        <f>Données!Z14</f>
        <v>8137</v>
      </c>
      <c r="D14" s="176">
        <f>Ecrêtage!E14</f>
        <v>51.828429028175314</v>
      </c>
      <c r="E14" s="176">
        <f t="shared" si="1"/>
        <v>0</v>
      </c>
      <c r="F14" s="176">
        <f>+Données!X14</f>
        <v>68</v>
      </c>
      <c r="G14" s="290">
        <f t="shared" si="2"/>
        <v>0</v>
      </c>
      <c r="H14" s="122">
        <f t="shared" si="3"/>
        <v>1.0058981862259535</v>
      </c>
      <c r="I14" s="42">
        <f t="shared" si="4"/>
        <v>0</v>
      </c>
    </row>
    <row r="15" spans="1:12" x14ac:dyDescent="0.25">
      <c r="A15" s="38">
        <f>Données!A15</f>
        <v>5410</v>
      </c>
      <c r="B15" s="27" t="str">
        <f>Données!B15</f>
        <v>Ormont-Dessous</v>
      </c>
      <c r="C15" s="31">
        <f>Données!Z15</f>
        <v>1211</v>
      </c>
      <c r="D15" s="176">
        <f>Ecrêtage!E15</f>
        <v>30.352235889626471</v>
      </c>
      <c r="E15" s="176">
        <f t="shared" si="1"/>
        <v>19.107091438693821</v>
      </c>
      <c r="F15" s="176">
        <f>+Données!X15</f>
        <v>77</v>
      </c>
      <c r="G15" s="290">
        <f t="shared" si="2"/>
        <v>-481053.31795364839</v>
      </c>
      <c r="H15" s="122">
        <f t="shared" si="3"/>
        <v>1.1390317696970356</v>
      </c>
      <c r="I15" s="42">
        <f t="shared" si="4"/>
        <v>-547935.01206737489</v>
      </c>
    </row>
    <row r="16" spans="1:12" x14ac:dyDescent="0.25">
      <c r="A16" s="38">
        <f>Données!A16</f>
        <v>5411</v>
      </c>
      <c r="B16" s="27" t="str">
        <f>Données!B16</f>
        <v>Ormont-Dessus</v>
      </c>
      <c r="C16" s="31">
        <f>Données!Z16</f>
        <v>1427</v>
      </c>
      <c r="D16" s="176">
        <f>Ecrêtage!E16</f>
        <v>55.49974375760705</v>
      </c>
      <c r="E16" s="176">
        <f t="shared" si="1"/>
        <v>0</v>
      </c>
      <c r="F16" s="176">
        <f>+Données!X16</f>
        <v>76</v>
      </c>
      <c r="G16" s="290">
        <f t="shared" si="2"/>
        <v>0</v>
      </c>
      <c r="H16" s="122">
        <f t="shared" si="3"/>
        <v>1.1242391493113597</v>
      </c>
      <c r="I16" s="42">
        <f t="shared" si="4"/>
        <v>0</v>
      </c>
    </row>
    <row r="17" spans="1:9" x14ac:dyDescent="0.25">
      <c r="A17" s="38">
        <f>Données!A17</f>
        <v>5412</v>
      </c>
      <c r="B17" s="27" t="str">
        <f>Données!B17</f>
        <v>Rennaz</v>
      </c>
      <c r="C17" s="31">
        <f>Données!Z17</f>
        <v>928</v>
      </c>
      <c r="D17" s="176">
        <f>Ecrêtage!E17</f>
        <v>31.276750062468761</v>
      </c>
      <c r="E17" s="176">
        <f t="shared" si="1"/>
        <v>18.182577265851531</v>
      </c>
      <c r="F17" s="176">
        <f>+Données!X17</f>
        <v>69</v>
      </c>
      <c r="G17" s="290">
        <f t="shared" si="2"/>
        <v>-314352.03262149147</v>
      </c>
      <c r="H17" s="122">
        <f t="shared" si="3"/>
        <v>1.0206908066116291</v>
      </c>
      <c r="I17" s="42">
        <f t="shared" si="4"/>
        <v>-320856.22973643529</v>
      </c>
    </row>
    <row r="18" spans="1:9" x14ac:dyDescent="0.25">
      <c r="A18" s="38">
        <f>Données!A18</f>
        <v>5413</v>
      </c>
      <c r="B18" s="27" t="str">
        <f>Données!B18</f>
        <v>Roche</v>
      </c>
      <c r="C18" s="31">
        <f>Données!Z18</f>
        <v>1958</v>
      </c>
      <c r="D18" s="176">
        <f>Ecrêtage!E18</f>
        <v>21.052066797352239</v>
      </c>
      <c r="E18" s="176">
        <f t="shared" si="1"/>
        <v>28.407260530968053</v>
      </c>
      <c r="F18" s="176">
        <f>+Données!X18</f>
        <v>68</v>
      </c>
      <c r="G18" s="290">
        <f t="shared" si="2"/>
        <v>-1021209.1999565068</v>
      </c>
      <c r="H18" s="122">
        <f t="shared" si="3"/>
        <v>1.0058981862259535</v>
      </c>
      <c r="I18" s="42">
        <f t="shared" si="4"/>
        <v>-1027232.4819935074</v>
      </c>
    </row>
    <row r="19" spans="1:9" x14ac:dyDescent="0.25">
      <c r="A19" s="38">
        <f>Données!A19</f>
        <v>5414</v>
      </c>
      <c r="B19" s="27" t="str">
        <f>Données!B19</f>
        <v>Villeneuve</v>
      </c>
      <c r="C19" s="31">
        <f>Données!Z19</f>
        <v>6057</v>
      </c>
      <c r="D19" s="176">
        <f>Ecrêtage!E19</f>
        <v>31.382135686288898</v>
      </c>
      <c r="E19" s="176">
        <f t="shared" si="1"/>
        <v>18.077191642031394</v>
      </c>
      <c r="F19" s="176">
        <f>+Données!X19</f>
        <v>67.5</v>
      </c>
      <c r="G19" s="290">
        <f t="shared" si="2"/>
        <v>-1995519.9446636662</v>
      </c>
      <c r="H19" s="122">
        <f t="shared" si="3"/>
        <v>0.99850187603311558</v>
      </c>
      <c r="I19" s="42">
        <f t="shared" si="4"/>
        <v>-1992530.4084081696</v>
      </c>
    </row>
    <row r="20" spans="1:9" x14ac:dyDescent="0.25">
      <c r="A20" s="38">
        <f>Données!A20</f>
        <v>5415</v>
      </c>
      <c r="B20" s="27" t="str">
        <f>Données!B20</f>
        <v>Yvorne</v>
      </c>
      <c r="C20" s="31">
        <f>Données!Z20</f>
        <v>1108</v>
      </c>
      <c r="D20" s="176">
        <f>Ecrêtage!E20</f>
        <v>33.19607226107226</v>
      </c>
      <c r="E20" s="176">
        <f t="shared" si="1"/>
        <v>16.263255067248032</v>
      </c>
      <c r="F20" s="176">
        <f>+Données!X20</f>
        <v>71.5</v>
      </c>
      <c r="G20" s="290">
        <f t="shared" si="2"/>
        <v>-347870.05009313137</v>
      </c>
      <c r="H20" s="122">
        <f t="shared" si="3"/>
        <v>1.0576723575758187</v>
      </c>
      <c r="I20" s="42">
        <f t="shared" si="4"/>
        <v>-367932.53601202043</v>
      </c>
    </row>
    <row r="21" spans="1:9" x14ac:dyDescent="0.25">
      <c r="A21" s="38">
        <f>Données!A21</f>
        <v>5422</v>
      </c>
      <c r="B21" s="27" t="str">
        <f>Données!B21</f>
        <v>Aubonne</v>
      </c>
      <c r="C21" s="31">
        <f>Données!Z21</f>
        <v>3841</v>
      </c>
      <c r="D21" s="176">
        <f>Ecrêtage!E21</f>
        <v>108.91306380844451</v>
      </c>
      <c r="E21" s="176">
        <f t="shared" si="1"/>
        <v>0</v>
      </c>
      <c r="F21" s="176">
        <f>+Données!X21</f>
        <v>68</v>
      </c>
      <c r="G21" s="290">
        <f t="shared" si="2"/>
        <v>0</v>
      </c>
      <c r="H21" s="122">
        <f t="shared" si="3"/>
        <v>1.0058981862259535</v>
      </c>
      <c r="I21" s="42">
        <f t="shared" si="4"/>
        <v>0</v>
      </c>
    </row>
    <row r="22" spans="1:9" x14ac:dyDescent="0.25">
      <c r="A22" s="38">
        <f>Données!A22</f>
        <v>5423</v>
      </c>
      <c r="B22" s="27" t="str">
        <f>Données!B22</f>
        <v>Ballens</v>
      </c>
      <c r="C22" s="31">
        <f>Données!Z22</f>
        <v>576</v>
      </c>
      <c r="D22" s="176">
        <f>Ecrêtage!E22</f>
        <v>30.525791952054799</v>
      </c>
      <c r="E22" s="176">
        <f t="shared" si="1"/>
        <v>18.933535376265493</v>
      </c>
      <c r="F22" s="176">
        <f>+Données!X22</f>
        <v>73</v>
      </c>
      <c r="G22" s="290">
        <f t="shared" si="2"/>
        <v>-214951.6697853271</v>
      </c>
      <c r="H22" s="122">
        <f t="shared" si="3"/>
        <v>1.0798612881543324</v>
      </c>
      <c r="I22" s="42">
        <f t="shared" si="4"/>
        <v>-232117.98702530802</v>
      </c>
    </row>
    <row r="23" spans="1:9" x14ac:dyDescent="0.25">
      <c r="A23" s="38">
        <f>Données!A23</f>
        <v>5424</v>
      </c>
      <c r="B23" s="27" t="str">
        <f>Données!B23</f>
        <v>Berolle</v>
      </c>
      <c r="C23" s="31">
        <f>Données!Z23</f>
        <v>304</v>
      </c>
      <c r="D23" s="176">
        <f>Ecrêtage!E23</f>
        <v>33.196243464621816</v>
      </c>
      <c r="E23" s="176">
        <f t="shared" si="1"/>
        <v>16.263083863698476</v>
      </c>
      <c r="F23" s="176">
        <f>+Données!X23</f>
        <v>75.5</v>
      </c>
      <c r="G23" s="290">
        <f t="shared" si="2"/>
        <v>-100782.98122669401</v>
      </c>
      <c r="H23" s="122">
        <f t="shared" si="3"/>
        <v>1.1168428391185219</v>
      </c>
      <c r="I23" s="42">
        <f t="shared" si="4"/>
        <v>-112558.75088804963</v>
      </c>
    </row>
    <row r="24" spans="1:9" x14ac:dyDescent="0.25">
      <c r="A24" s="38">
        <f>Données!A24</f>
        <v>5425</v>
      </c>
      <c r="B24" s="27" t="str">
        <f>Données!B24</f>
        <v>Bière</v>
      </c>
      <c r="C24" s="31">
        <f>Données!Z24</f>
        <v>1717</v>
      </c>
      <c r="D24" s="176">
        <f>Ecrêtage!E24</f>
        <v>26.103946282537247</v>
      </c>
      <c r="E24" s="176">
        <f t="shared" si="1"/>
        <v>23.355381045783044</v>
      </c>
      <c r="F24" s="176">
        <f>+Données!X24</f>
        <v>69</v>
      </c>
      <c r="G24" s="290">
        <f t="shared" si="2"/>
        <v>-747085.15583200485</v>
      </c>
      <c r="H24" s="122">
        <f t="shared" si="3"/>
        <v>1.0206908066116291</v>
      </c>
      <c r="I24" s="42">
        <f t="shared" si="4"/>
        <v>-762542.95031374367</v>
      </c>
    </row>
    <row r="25" spans="1:9" x14ac:dyDescent="0.25">
      <c r="A25" s="38">
        <f>Données!A25</f>
        <v>5426</v>
      </c>
      <c r="B25" s="27" t="str">
        <f>Données!B25</f>
        <v>Bougy-Villars</v>
      </c>
      <c r="C25" s="31">
        <f>Données!Z25</f>
        <v>512</v>
      </c>
      <c r="D25" s="176">
        <f>Ecrêtage!E25</f>
        <v>136.83528640786494</v>
      </c>
      <c r="E25" s="176">
        <f t="shared" si="1"/>
        <v>0</v>
      </c>
      <c r="F25" s="176">
        <f>+Données!X25</f>
        <v>64.5</v>
      </c>
      <c r="G25" s="290">
        <f t="shared" si="2"/>
        <v>0</v>
      </c>
      <c r="H25" s="122">
        <f t="shared" si="3"/>
        <v>0.95412401487608822</v>
      </c>
      <c r="I25" s="42">
        <f t="shared" si="4"/>
        <v>0</v>
      </c>
    </row>
    <row r="26" spans="1:9" x14ac:dyDescent="0.25">
      <c r="A26" s="38">
        <f>Données!A26</f>
        <v>5427</v>
      </c>
      <c r="B26" s="27" t="str">
        <f>Données!B26</f>
        <v>Féchy</v>
      </c>
      <c r="C26" s="31">
        <f>Données!Z26</f>
        <v>896</v>
      </c>
      <c r="D26" s="176">
        <f>Ecrêtage!E26</f>
        <v>97.119872939560452</v>
      </c>
      <c r="E26" s="176">
        <f t="shared" si="1"/>
        <v>0</v>
      </c>
      <c r="F26" s="176">
        <f>+Données!X26</f>
        <v>64</v>
      </c>
      <c r="G26" s="290">
        <f t="shared" si="2"/>
        <v>0</v>
      </c>
      <c r="H26" s="122">
        <f t="shared" si="3"/>
        <v>0.94672770468325029</v>
      </c>
      <c r="I26" s="42">
        <f t="shared" si="4"/>
        <v>0</v>
      </c>
    </row>
    <row r="27" spans="1:9" x14ac:dyDescent="0.25">
      <c r="A27" s="38">
        <f>Données!A27</f>
        <v>5428</v>
      </c>
      <c r="B27" s="27" t="str">
        <f>Données!B27</f>
        <v>Gimel</v>
      </c>
      <c r="C27" s="31">
        <f>Données!Z27</f>
        <v>2465</v>
      </c>
      <c r="D27" s="176">
        <f>Ecrêtage!E27</f>
        <v>29.238791306602945</v>
      </c>
      <c r="E27" s="176">
        <f t="shared" si="1"/>
        <v>20.220536021717347</v>
      </c>
      <c r="F27" s="176">
        <f>+Données!X27</f>
        <v>73</v>
      </c>
      <c r="G27" s="290">
        <f t="shared" si="2"/>
        <v>-982417.77569554071</v>
      </c>
      <c r="H27" s="122">
        <f t="shared" si="3"/>
        <v>1.0798612881543324</v>
      </c>
      <c r="I27" s="42">
        <f t="shared" si="4"/>
        <v>-1060874.9247683005</v>
      </c>
    </row>
    <row r="28" spans="1:9" x14ac:dyDescent="0.25">
      <c r="A28" s="38">
        <f>Données!A28</f>
        <v>5429</v>
      </c>
      <c r="B28" s="27" t="str">
        <f>Données!B28</f>
        <v>Longirod</v>
      </c>
      <c r="C28" s="31">
        <f>Données!Z28</f>
        <v>555</v>
      </c>
      <c r="D28" s="176">
        <f>Ecrêtage!E28</f>
        <v>34.744224120895083</v>
      </c>
      <c r="E28" s="176">
        <f t="shared" si="1"/>
        <v>14.715103207425209</v>
      </c>
      <c r="F28" s="176">
        <f>+Données!X28</f>
        <v>77.5</v>
      </c>
      <c r="G28" s="290">
        <f t="shared" si="2"/>
        <v>-170892.01171153176</v>
      </c>
      <c r="H28" s="122">
        <f t="shared" si="3"/>
        <v>1.1464280798898734</v>
      </c>
      <c r="I28" s="42">
        <f t="shared" si="4"/>
        <v>-195915.40085496911</v>
      </c>
    </row>
    <row r="29" spans="1:9" x14ac:dyDescent="0.25">
      <c r="A29" s="38">
        <f>Données!A29</f>
        <v>5430</v>
      </c>
      <c r="B29" s="27" t="str">
        <f>Données!B29</f>
        <v>Marchissy</v>
      </c>
      <c r="C29" s="31">
        <f>Données!Z29</f>
        <v>508</v>
      </c>
      <c r="D29" s="176">
        <f>Ecrêtage!E29</f>
        <v>31.852747015494028</v>
      </c>
      <c r="E29" s="176">
        <f t="shared" si="1"/>
        <v>17.606580312826264</v>
      </c>
      <c r="F29" s="176">
        <f>+Données!X29</f>
        <v>77.5</v>
      </c>
      <c r="G29" s="290">
        <f t="shared" si="2"/>
        <v>-187156.18806731189</v>
      </c>
      <c r="H29" s="122">
        <f t="shared" si="3"/>
        <v>1.1464280798898734</v>
      </c>
      <c r="I29" s="42">
        <f t="shared" si="4"/>
        <v>-214561.10932551639</v>
      </c>
    </row>
    <row r="30" spans="1:9" x14ac:dyDescent="0.25">
      <c r="A30" s="38">
        <f>Données!A30</f>
        <v>5431</v>
      </c>
      <c r="B30" s="27" t="str">
        <f>Données!B30</f>
        <v>Mollens</v>
      </c>
      <c r="C30" s="31">
        <f>Données!Z30</f>
        <v>322</v>
      </c>
      <c r="D30" s="176">
        <f>Ecrêtage!E30</f>
        <v>29.057140758771194</v>
      </c>
      <c r="E30" s="176">
        <f t="shared" si="1"/>
        <v>20.402186569549098</v>
      </c>
      <c r="F30" s="176">
        <f>+Données!X30</f>
        <v>74</v>
      </c>
      <c r="G30" s="290">
        <f t="shared" si="2"/>
        <v>-131258.69142638831</v>
      </c>
      <c r="H30" s="122">
        <f t="shared" si="3"/>
        <v>1.0946539085400082</v>
      </c>
      <c r="I30" s="42">
        <f t="shared" si="4"/>
        <v>-143682.83959974282</v>
      </c>
    </row>
    <row r="31" spans="1:9" x14ac:dyDescent="0.25">
      <c r="A31" s="38">
        <f>Données!A31</f>
        <v>5434</v>
      </c>
      <c r="B31" s="27" t="str">
        <f>Données!B31</f>
        <v>Saint-George</v>
      </c>
      <c r="C31" s="31">
        <f>Données!Z31</f>
        <v>1061</v>
      </c>
      <c r="D31" s="176">
        <f>Ecrêtage!E31</f>
        <v>43.529118111731165</v>
      </c>
      <c r="E31" s="176">
        <f t="shared" si="1"/>
        <v>5.9302092165891267</v>
      </c>
      <c r="F31" s="176">
        <f>+Données!X31</f>
        <v>69.5</v>
      </c>
      <c r="G31" s="290">
        <f t="shared" si="2"/>
        <v>-118068.47888220195</v>
      </c>
      <c r="H31" s="122">
        <f t="shared" si="3"/>
        <v>1.0280871168044672</v>
      </c>
      <c r="I31" s="42">
        <f t="shared" si="4"/>
        <v>-121384.68203949212</v>
      </c>
    </row>
    <row r="32" spans="1:9" x14ac:dyDescent="0.25">
      <c r="A32" s="38">
        <f>Données!A32</f>
        <v>5435</v>
      </c>
      <c r="B32" s="27" t="str">
        <f>Données!B32</f>
        <v>Saint-Livres</v>
      </c>
      <c r="C32" s="31">
        <f>Données!Z32</f>
        <v>697</v>
      </c>
      <c r="D32" s="176">
        <f>Ecrêtage!E32</f>
        <v>37.87648431164618</v>
      </c>
      <c r="E32" s="176">
        <f t="shared" si="1"/>
        <v>11.582843016674111</v>
      </c>
      <c r="F32" s="176">
        <f>+Données!X32</f>
        <v>69</v>
      </c>
      <c r="G32" s="290">
        <f t="shared" si="2"/>
        <v>-150404.49068424519</v>
      </c>
      <c r="H32" s="122">
        <f t="shared" si="3"/>
        <v>1.0206908066116291</v>
      </c>
      <c r="I32" s="42">
        <f t="shared" si="4"/>
        <v>-153516.48091451349</v>
      </c>
    </row>
    <row r="33" spans="1:9" x14ac:dyDescent="0.25">
      <c r="A33" s="38">
        <f>Données!A33</f>
        <v>5436</v>
      </c>
      <c r="B33" s="27" t="str">
        <f>Données!B33</f>
        <v>Saint-Oyens</v>
      </c>
      <c r="C33" s="31">
        <f>Données!Z33</f>
        <v>450</v>
      </c>
      <c r="D33" s="176">
        <f>Ecrêtage!E33</f>
        <v>35.371767721518985</v>
      </c>
      <c r="E33" s="176">
        <f t="shared" si="1"/>
        <v>14.087559606801307</v>
      </c>
      <c r="F33" s="176">
        <f>+Données!X33</f>
        <v>79</v>
      </c>
      <c r="G33" s="290">
        <f t="shared" si="2"/>
        <v>-135219.44088588236</v>
      </c>
      <c r="H33" s="122">
        <f t="shared" si="3"/>
        <v>1.1686170104683871</v>
      </c>
      <c r="I33" s="42">
        <f t="shared" si="4"/>
        <v>-158019.73876526664</v>
      </c>
    </row>
    <row r="34" spans="1:9" x14ac:dyDescent="0.25">
      <c r="A34" s="38">
        <f>Données!A34</f>
        <v>5437</v>
      </c>
      <c r="B34" s="27" t="str">
        <f>Données!B34</f>
        <v>Saubraz</v>
      </c>
      <c r="C34" s="31">
        <f>Données!Z34</f>
        <v>449</v>
      </c>
      <c r="D34" s="176">
        <f>Ecrêtage!E34</f>
        <v>37.303898942093554</v>
      </c>
      <c r="E34" s="176">
        <f t="shared" si="1"/>
        <v>12.155428386226738</v>
      </c>
      <c r="F34" s="176">
        <f>+Données!X34</f>
        <v>80</v>
      </c>
      <c r="G34" s="290">
        <f t="shared" si="2"/>
        <v>-117888.20666098139</v>
      </c>
      <c r="H34" s="122">
        <f t="shared" si="3"/>
        <v>1.1834096308540629</v>
      </c>
      <c r="I34" s="42">
        <f t="shared" si="4"/>
        <v>-139510.03912671946</v>
      </c>
    </row>
    <row r="35" spans="1:9" x14ac:dyDescent="0.25">
      <c r="A35" s="38">
        <f>Données!A35</f>
        <v>5451</v>
      </c>
      <c r="B35" s="27" t="str">
        <f>Données!B35</f>
        <v>Avenches</v>
      </c>
      <c r="C35" s="31">
        <f>Données!Z35</f>
        <v>4873</v>
      </c>
      <c r="D35" s="176">
        <f>Ecrêtage!E35</f>
        <v>29.52285769309697</v>
      </c>
      <c r="E35" s="176">
        <f t="shared" si="1"/>
        <v>19.936469635223322</v>
      </c>
      <c r="F35" s="176">
        <f>+Données!X35</f>
        <v>65</v>
      </c>
      <c r="G35" s="290">
        <f t="shared" si="2"/>
        <v>-1704989.8101443788</v>
      </c>
      <c r="H35" s="122">
        <f t="shared" si="3"/>
        <v>0.96152032506892615</v>
      </c>
      <c r="I35" s="42">
        <f t="shared" si="4"/>
        <v>-1639382.3564892297</v>
      </c>
    </row>
    <row r="36" spans="1:9" x14ac:dyDescent="0.25">
      <c r="A36" s="38">
        <f>Données!A36</f>
        <v>5456</v>
      </c>
      <c r="B36" s="27" t="str">
        <f>Données!B36</f>
        <v>Cudrefin</v>
      </c>
      <c r="C36" s="31">
        <f>Données!Z36</f>
        <v>1878</v>
      </c>
      <c r="D36" s="176">
        <f>Ecrêtage!E36</f>
        <v>37.686626474853028</v>
      </c>
      <c r="E36" s="176">
        <f t="shared" si="1"/>
        <v>11.772700853467263</v>
      </c>
      <c r="F36" s="176">
        <f>+Données!X36</f>
        <v>59</v>
      </c>
      <c r="G36" s="290">
        <f t="shared" si="2"/>
        <v>-352198.47599078756</v>
      </c>
      <c r="H36" s="122">
        <f t="shared" si="3"/>
        <v>0.87276460275487133</v>
      </c>
      <c r="I36" s="42">
        <f t="shared" si="4"/>
        <v>-307386.36298897077</v>
      </c>
    </row>
    <row r="37" spans="1:9" x14ac:dyDescent="0.25">
      <c r="A37" s="38">
        <f>Données!A37</f>
        <v>5458</v>
      </c>
      <c r="B37" s="27" t="str">
        <f>Données!B37</f>
        <v>Faoug</v>
      </c>
      <c r="C37" s="31">
        <f>Données!Z37</f>
        <v>906</v>
      </c>
      <c r="D37" s="176">
        <f>Ecrêtage!E37</f>
        <v>33.398237108733795</v>
      </c>
      <c r="E37" s="176">
        <f t="shared" si="1"/>
        <v>16.061090219586497</v>
      </c>
      <c r="F37" s="176">
        <f>+Données!X37</f>
        <v>65</v>
      </c>
      <c r="G37" s="290">
        <f t="shared" si="2"/>
        <v>-255376.15281849119</v>
      </c>
      <c r="H37" s="122">
        <f t="shared" si="3"/>
        <v>0.96152032506892615</v>
      </c>
      <c r="I37" s="42">
        <f t="shared" si="4"/>
        <v>-245549.36147288739</v>
      </c>
    </row>
    <row r="38" spans="1:9" x14ac:dyDescent="0.25">
      <c r="A38" s="38">
        <f>Données!A38</f>
        <v>5464</v>
      </c>
      <c r="B38" s="27" t="str">
        <f>Données!B38</f>
        <v>Vully-les-Lacs</v>
      </c>
      <c r="C38" s="31">
        <f>Données!Z38</f>
        <v>3614</v>
      </c>
      <c r="D38" s="176">
        <f>Ecrêtage!E38</f>
        <v>35.589277133975941</v>
      </c>
      <c r="E38" s="176">
        <f t="shared" si="1"/>
        <v>13.870050194344351</v>
      </c>
      <c r="F38" s="176">
        <f>+Données!X38</f>
        <v>67</v>
      </c>
      <c r="G38" s="290">
        <f t="shared" si="2"/>
        <v>-906785.87776870118</v>
      </c>
      <c r="H38" s="122">
        <f t="shared" si="3"/>
        <v>0.99110556584027765</v>
      </c>
      <c r="I38" s="42">
        <f t="shared" si="4"/>
        <v>-898720.53048192139</v>
      </c>
    </row>
    <row r="39" spans="1:9" x14ac:dyDescent="0.25">
      <c r="A39" s="38">
        <f>Données!A39</f>
        <v>5471</v>
      </c>
      <c r="B39" s="27" t="str">
        <f>Données!B39</f>
        <v>Bettens</v>
      </c>
      <c r="C39" s="31">
        <f>Données!Z39</f>
        <v>644</v>
      </c>
      <c r="D39" s="176">
        <f>Ecrêtage!E39</f>
        <v>36.849726560189296</v>
      </c>
      <c r="E39" s="176">
        <f t="shared" si="1"/>
        <v>12.609600768130996</v>
      </c>
      <c r="F39" s="176">
        <f>+Données!X39</f>
        <v>70</v>
      </c>
      <c r="G39" s="290">
        <f t="shared" si="2"/>
        <v>-153479.01670938326</v>
      </c>
      <c r="H39" s="122">
        <f t="shared" si="3"/>
        <v>1.035483426997305</v>
      </c>
      <c r="I39" s="42">
        <f t="shared" si="4"/>
        <v>-158924.97819440882</v>
      </c>
    </row>
    <row r="40" spans="1:9" x14ac:dyDescent="0.25">
      <c r="A40" s="38">
        <f>Données!A40</f>
        <v>5472</v>
      </c>
      <c r="B40" s="27" t="str">
        <f>Données!B40</f>
        <v>Bournens</v>
      </c>
      <c r="C40" s="31">
        <f>Données!Z40</f>
        <v>519</v>
      </c>
      <c r="D40" s="176">
        <f>Ecrêtage!E40</f>
        <v>38.803277229967129</v>
      </c>
      <c r="E40" s="176">
        <f t="shared" si="1"/>
        <v>10.656050098353163</v>
      </c>
      <c r="F40" s="176">
        <f>+Données!X40</f>
        <v>68</v>
      </c>
      <c r="G40" s="290">
        <f t="shared" si="2"/>
        <v>-101539.79641919154</v>
      </c>
      <c r="H40" s="122">
        <f t="shared" si="3"/>
        <v>1.0058981862259535</v>
      </c>
      <c r="I40" s="42">
        <f t="shared" si="4"/>
        <v>-102138.69704781733</v>
      </c>
    </row>
    <row r="41" spans="1:9" x14ac:dyDescent="0.25">
      <c r="A41" s="38">
        <f>Données!A41</f>
        <v>5473</v>
      </c>
      <c r="B41" s="27" t="str">
        <f>Données!B41</f>
        <v>Boussens</v>
      </c>
      <c r="C41" s="31">
        <f>Données!Z41</f>
        <v>1023</v>
      </c>
      <c r="D41" s="176">
        <f>Ecrêtage!E41</f>
        <v>37.792493409164976</v>
      </c>
      <c r="E41" s="176">
        <f t="shared" si="1"/>
        <v>11.666833919155316</v>
      </c>
      <c r="F41" s="176">
        <f>+Données!X41</f>
        <v>66</v>
      </c>
      <c r="G41" s="290">
        <f t="shared" si="2"/>
        <v>-212684.74898945275</v>
      </c>
      <c r="H41" s="122">
        <f t="shared" si="3"/>
        <v>0.9763129454546019</v>
      </c>
      <c r="I41" s="42">
        <f t="shared" si="4"/>
        <v>-207646.87373916528</v>
      </c>
    </row>
    <row r="42" spans="1:9" x14ac:dyDescent="0.25">
      <c r="A42" s="38">
        <f>Données!A42</f>
        <v>5474</v>
      </c>
      <c r="B42" s="27" t="str">
        <f>Données!B42</f>
        <v>La Chaux (Cossonay)</v>
      </c>
      <c r="C42" s="31">
        <f>Données!Z42</f>
        <v>433</v>
      </c>
      <c r="D42" s="176">
        <f>Ecrêtage!E42</f>
        <v>34.155202281106924</v>
      </c>
      <c r="E42" s="176">
        <f t="shared" si="1"/>
        <v>15.304125047213368</v>
      </c>
      <c r="F42" s="176">
        <f>+Données!X42</f>
        <v>76</v>
      </c>
      <c r="G42" s="290">
        <f t="shared" si="2"/>
        <v>-135979.59970449834</v>
      </c>
      <c r="H42" s="122">
        <f t="shared" si="3"/>
        <v>1.1242391493113597</v>
      </c>
      <c r="I42" s="42">
        <f t="shared" si="4"/>
        <v>-152873.58949548443</v>
      </c>
    </row>
    <row r="43" spans="1:9" x14ac:dyDescent="0.25">
      <c r="A43" s="38">
        <f>Données!A43</f>
        <v>5475</v>
      </c>
      <c r="B43" s="27" t="str">
        <f>Données!B43</f>
        <v>Chavannes-le-Veyron</v>
      </c>
      <c r="C43" s="31">
        <f>Données!Z43</f>
        <v>158</v>
      </c>
      <c r="D43" s="176">
        <f>Ecrêtage!E43</f>
        <v>29.003729957805906</v>
      </c>
      <c r="E43" s="176">
        <f t="shared" si="1"/>
        <v>20.455597370514386</v>
      </c>
      <c r="F43" s="176">
        <f>+Données!X43</f>
        <v>75</v>
      </c>
      <c r="G43" s="290">
        <f t="shared" si="2"/>
        <v>-65447.683786960777</v>
      </c>
      <c r="H43" s="122">
        <f t="shared" si="3"/>
        <v>1.1094465289256841</v>
      </c>
      <c r="I43" s="42">
        <f t="shared" si="4"/>
        <v>-72610.705603669398</v>
      </c>
    </row>
    <row r="44" spans="1:9" x14ac:dyDescent="0.25">
      <c r="A44" s="38">
        <f>Données!A44</f>
        <v>5476</v>
      </c>
      <c r="B44" s="27" t="str">
        <f>Données!B44</f>
        <v>Chevilly</v>
      </c>
      <c r="C44" s="31">
        <f>Données!Z44</f>
        <v>337</v>
      </c>
      <c r="D44" s="176">
        <f>Ecrêtage!E44</f>
        <v>39.805483763112804</v>
      </c>
      <c r="E44" s="176">
        <f t="shared" si="1"/>
        <v>9.6538435652074881</v>
      </c>
      <c r="F44" s="176">
        <f>+Données!X44</f>
        <v>71</v>
      </c>
      <c r="G44" s="290">
        <f t="shared" si="2"/>
        <v>-62366.629045874288</v>
      </c>
      <c r="H44" s="122">
        <f t="shared" si="3"/>
        <v>1.0502760473829809</v>
      </c>
      <c r="I44" s="42">
        <f t="shared" si="4"/>
        <v>-65502.176642901453</v>
      </c>
    </row>
    <row r="45" spans="1:9" x14ac:dyDescent="0.25">
      <c r="A45" s="38">
        <f>Données!A45</f>
        <v>5477</v>
      </c>
      <c r="B45" s="27" t="str">
        <f>Données!B45</f>
        <v>Cossonay</v>
      </c>
      <c r="C45" s="31">
        <f>Données!Z45</f>
        <v>4772</v>
      </c>
      <c r="D45" s="176">
        <f>Ecrêtage!E45</f>
        <v>32.903281149844688</v>
      </c>
      <c r="E45" s="176">
        <f t="shared" si="1"/>
        <v>16.556046178475604</v>
      </c>
      <c r="F45" s="176">
        <f>+Données!X45</f>
        <v>68</v>
      </c>
      <c r="G45" s="290">
        <f t="shared" si="2"/>
        <v>-1450540.1053972677</v>
      </c>
      <c r="H45" s="122">
        <f t="shared" si="3"/>
        <v>1.0058981862259535</v>
      </c>
      <c r="I45" s="42">
        <f t="shared" si="4"/>
        <v>-1459095.6610671151</v>
      </c>
    </row>
    <row r="46" spans="1:9" x14ac:dyDescent="0.25">
      <c r="A46" s="38">
        <f>Données!A46</f>
        <v>5479</v>
      </c>
      <c r="B46" s="27" t="str">
        <f>Données!B46</f>
        <v>Cuarnens</v>
      </c>
      <c r="C46" s="31">
        <f>Données!Z46</f>
        <v>541</v>
      </c>
      <c r="D46" s="176">
        <f>Ecrêtage!E46</f>
        <v>34.795587362583902</v>
      </c>
      <c r="E46" s="176">
        <f t="shared" si="1"/>
        <v>14.66373996573639</v>
      </c>
      <c r="F46" s="176">
        <f>+Données!X46</f>
        <v>76</v>
      </c>
      <c r="G46" s="290">
        <f t="shared" si="2"/>
        <v>-162786.86975642873</v>
      </c>
      <c r="H46" s="122">
        <f t="shared" si="3"/>
        <v>1.1242391493113597</v>
      </c>
      <c r="I46" s="42">
        <f t="shared" si="4"/>
        <v>-183011.37197402655</v>
      </c>
    </row>
    <row r="47" spans="1:9" x14ac:dyDescent="0.25">
      <c r="A47" s="38">
        <f>Données!A47</f>
        <v>5480</v>
      </c>
      <c r="B47" s="27" t="str">
        <f>Données!B47</f>
        <v>Daillens</v>
      </c>
      <c r="C47" s="31">
        <f>Données!Z47</f>
        <v>1062</v>
      </c>
      <c r="D47" s="176">
        <f>Ecrêtage!E47</f>
        <v>46.342813302516703</v>
      </c>
      <c r="E47" s="176">
        <f t="shared" si="1"/>
        <v>3.116514025803589</v>
      </c>
      <c r="F47" s="176">
        <f>+Données!X47</f>
        <v>66</v>
      </c>
      <c r="G47" s="290">
        <f t="shared" si="2"/>
        <v>-58979.529296088796</v>
      </c>
      <c r="H47" s="122">
        <f t="shared" si="3"/>
        <v>0.9763129454546019</v>
      </c>
      <c r="I47" s="42">
        <f t="shared" si="4"/>
        <v>-57582.477968590436</v>
      </c>
    </row>
    <row r="48" spans="1:9" x14ac:dyDescent="0.25">
      <c r="A48" s="38">
        <f>Données!A48</f>
        <v>5481</v>
      </c>
      <c r="B48" s="27" t="str">
        <f>Données!B48</f>
        <v>Dizy</v>
      </c>
      <c r="C48" s="31">
        <f>Données!Z48</f>
        <v>237</v>
      </c>
      <c r="D48" s="176">
        <f>Ecrêtage!E48</f>
        <v>37.7367476793249</v>
      </c>
      <c r="E48" s="176">
        <f t="shared" si="1"/>
        <v>11.722579648995392</v>
      </c>
      <c r="F48" s="176">
        <f>+Données!X48</f>
        <v>75</v>
      </c>
      <c r="G48" s="290">
        <f t="shared" si="2"/>
        <v>-56259.590380441135</v>
      </c>
      <c r="H48" s="122">
        <f t="shared" si="3"/>
        <v>1.1094465289256841</v>
      </c>
      <c r="I48" s="42">
        <f t="shared" si="4"/>
        <v>-62417.007266361223</v>
      </c>
    </row>
    <row r="49" spans="1:9" x14ac:dyDescent="0.25">
      <c r="A49" s="38">
        <f>Données!A49</f>
        <v>5482</v>
      </c>
      <c r="B49" s="27" t="str">
        <f>Données!B49</f>
        <v>Eclépens</v>
      </c>
      <c r="C49" s="31">
        <f>Données!Z49</f>
        <v>1182</v>
      </c>
      <c r="D49" s="176">
        <f>Ecrêtage!E49</f>
        <v>48.714304053556994</v>
      </c>
      <c r="E49" s="176">
        <f t="shared" si="1"/>
        <v>0.7450232747632981</v>
      </c>
      <c r="F49" s="176">
        <f>+Données!X49</f>
        <v>46</v>
      </c>
      <c r="G49" s="290">
        <f t="shared" si="2"/>
        <v>-10937.269483766113</v>
      </c>
      <c r="H49" s="122">
        <f t="shared" si="3"/>
        <v>0.68046053774108617</v>
      </c>
      <c r="I49" s="42">
        <f t="shared" si="4"/>
        <v>-7442.3802743426613</v>
      </c>
    </row>
    <row r="50" spans="1:9" x14ac:dyDescent="0.25">
      <c r="A50" s="38">
        <f>Données!A50</f>
        <v>5483</v>
      </c>
      <c r="B50" s="27" t="str">
        <f>Données!B50</f>
        <v>Ferreyres</v>
      </c>
      <c r="C50" s="31">
        <f>Données!Z50</f>
        <v>319</v>
      </c>
      <c r="D50" s="176">
        <f>Ecrêtage!E50</f>
        <v>37.331338063025903</v>
      </c>
      <c r="E50" s="176">
        <f t="shared" si="1"/>
        <v>12.127989265294389</v>
      </c>
      <c r="F50" s="176">
        <f>+Données!X50</f>
        <v>76</v>
      </c>
      <c r="G50" s="290">
        <f t="shared" si="2"/>
        <v>-79388.362371905241</v>
      </c>
      <c r="H50" s="122">
        <f t="shared" si="3"/>
        <v>1.1242391493113597</v>
      </c>
      <c r="I50" s="42">
        <f t="shared" si="4"/>
        <v>-89251.504978212703</v>
      </c>
    </row>
    <row r="51" spans="1:9" x14ac:dyDescent="0.25">
      <c r="A51" s="38">
        <f>Données!A51</f>
        <v>5484</v>
      </c>
      <c r="B51" s="27" t="str">
        <f>Données!B51</f>
        <v>Gollion</v>
      </c>
      <c r="C51" s="31">
        <f>Données!Z51</f>
        <v>1064</v>
      </c>
      <c r="D51" s="176">
        <f>Ecrêtage!E51</f>
        <v>32.677450340377973</v>
      </c>
      <c r="E51" s="176">
        <f t="shared" si="1"/>
        <v>16.781876987942319</v>
      </c>
      <c r="F51" s="176">
        <f>+Données!X51</f>
        <v>74</v>
      </c>
      <c r="G51" s="290">
        <f t="shared" si="2"/>
        <v>-356761.22396110918</v>
      </c>
      <c r="H51" s="122">
        <f t="shared" si="3"/>
        <v>1.0946539085400082</v>
      </c>
      <c r="I51" s="42">
        <f t="shared" si="4"/>
        <v>-390530.06822454539</v>
      </c>
    </row>
    <row r="52" spans="1:9" x14ac:dyDescent="0.25">
      <c r="A52" s="38">
        <f>Données!A52</f>
        <v>5485</v>
      </c>
      <c r="B52" s="27" t="str">
        <f>Données!B52</f>
        <v>Grancy</v>
      </c>
      <c r="C52" s="31">
        <f>Données!Z52</f>
        <v>547</v>
      </c>
      <c r="D52" s="176">
        <f>Ecrêtage!E52</f>
        <v>53.619891355445283</v>
      </c>
      <c r="E52" s="176">
        <f t="shared" si="1"/>
        <v>0</v>
      </c>
      <c r="F52" s="176">
        <f>+Données!X52</f>
        <v>70</v>
      </c>
      <c r="G52" s="290">
        <f t="shared" si="2"/>
        <v>0</v>
      </c>
      <c r="H52" s="122">
        <f t="shared" si="3"/>
        <v>1.035483426997305</v>
      </c>
      <c r="I52" s="42">
        <f t="shared" si="4"/>
        <v>0</v>
      </c>
    </row>
    <row r="53" spans="1:9" x14ac:dyDescent="0.25">
      <c r="A53" s="38">
        <f>Données!A53</f>
        <v>5486</v>
      </c>
      <c r="B53" s="27" t="str">
        <f>Données!B53</f>
        <v>L'Isle</v>
      </c>
      <c r="C53" s="31">
        <f>Données!Z53</f>
        <v>1088</v>
      </c>
      <c r="D53" s="176">
        <f>Ecrêtage!E53</f>
        <v>31.171887499999993</v>
      </c>
      <c r="E53" s="176">
        <f t="shared" si="1"/>
        <v>18.287439828320299</v>
      </c>
      <c r="F53" s="176">
        <f>+Données!X53</f>
        <v>75</v>
      </c>
      <c r="G53" s="290">
        <f t="shared" si="2"/>
        <v>-402908.87429755286</v>
      </c>
      <c r="H53" s="122">
        <f t="shared" si="3"/>
        <v>1.1094465289256841</v>
      </c>
      <c r="I53" s="42">
        <f t="shared" si="4"/>
        <v>-447005.85206277476</v>
      </c>
    </row>
    <row r="54" spans="1:9" x14ac:dyDescent="0.25">
      <c r="A54" s="38">
        <f>Données!A54</f>
        <v>5487</v>
      </c>
      <c r="B54" s="27" t="str">
        <f>Données!B54</f>
        <v>Lussery-Villars</v>
      </c>
      <c r="C54" s="31">
        <f>Données!Z54</f>
        <v>473</v>
      </c>
      <c r="D54" s="176">
        <f>Ecrêtage!E54</f>
        <v>31.564637914023962</v>
      </c>
      <c r="E54" s="176">
        <f t="shared" si="1"/>
        <v>17.89468941429633</v>
      </c>
      <c r="F54" s="176">
        <f>+Données!X54</f>
        <v>75</v>
      </c>
      <c r="G54" s="290">
        <f t="shared" si="2"/>
        <v>-171399.80888248383</v>
      </c>
      <c r="H54" s="122">
        <f t="shared" si="3"/>
        <v>1.1094465289256841</v>
      </c>
      <c r="I54" s="42">
        <f t="shared" si="4"/>
        <v>-190158.92302319733</v>
      </c>
    </row>
    <row r="55" spans="1:9" x14ac:dyDescent="0.25">
      <c r="A55" s="38">
        <f>Données!A55</f>
        <v>5488</v>
      </c>
      <c r="B55" s="27" t="str">
        <f>Données!B55</f>
        <v>Mauraz</v>
      </c>
      <c r="C55" s="31">
        <f>Données!Z55</f>
        <v>64</v>
      </c>
      <c r="D55" s="176">
        <f>Ecrêtage!E55</f>
        <v>28.835655438311687</v>
      </c>
      <c r="E55" s="176">
        <f t="shared" si="1"/>
        <v>20.623671890008605</v>
      </c>
      <c r="F55" s="176">
        <f>+Données!X55</f>
        <v>77</v>
      </c>
      <c r="G55" s="290">
        <f t="shared" si="2"/>
        <v>-27441.032869969851</v>
      </c>
      <c r="H55" s="122">
        <f t="shared" si="3"/>
        <v>1.1390317696970356</v>
      </c>
      <c r="I55" s="42">
        <f t="shared" si="4"/>
        <v>-31256.208232196281</v>
      </c>
    </row>
    <row r="56" spans="1:9" x14ac:dyDescent="0.25">
      <c r="A56" s="38">
        <f>Données!A56</f>
        <v>5489</v>
      </c>
      <c r="B56" s="27" t="str">
        <f>Données!B56</f>
        <v>Mex</v>
      </c>
      <c r="C56" s="31">
        <f>Données!Z56</f>
        <v>816</v>
      </c>
      <c r="D56" s="176">
        <f>Ecrêtage!E56</f>
        <v>75.465449003130644</v>
      </c>
      <c r="E56" s="176">
        <f t="shared" si="1"/>
        <v>0</v>
      </c>
      <c r="F56" s="176">
        <f>+Données!X56</f>
        <v>59.5</v>
      </c>
      <c r="G56" s="290">
        <f t="shared" si="2"/>
        <v>0</v>
      </c>
      <c r="H56" s="122">
        <f t="shared" si="3"/>
        <v>0.88016091294770926</v>
      </c>
      <c r="I56" s="42">
        <f t="shared" si="4"/>
        <v>0</v>
      </c>
    </row>
    <row r="57" spans="1:9" x14ac:dyDescent="0.25">
      <c r="A57" s="38">
        <f>Données!A57</f>
        <v>5490</v>
      </c>
      <c r="B57" s="27" t="str">
        <f>Données!B57</f>
        <v>Moiry</v>
      </c>
      <c r="C57" s="31">
        <f>Données!Z57</f>
        <v>297</v>
      </c>
      <c r="D57" s="176">
        <f>Ecrêtage!E57</f>
        <v>30.786584263689527</v>
      </c>
      <c r="E57" s="176">
        <f t="shared" si="1"/>
        <v>18.672743064630765</v>
      </c>
      <c r="F57" s="176">
        <f>+Données!X57</f>
        <v>76</v>
      </c>
      <c r="G57" s="290">
        <f t="shared" si="2"/>
        <v>-113799.91224280834</v>
      </c>
      <c r="H57" s="122">
        <f t="shared" si="3"/>
        <v>1.1242391493113597</v>
      </c>
      <c r="I57" s="42">
        <f t="shared" si="4"/>
        <v>-127938.31653156223</v>
      </c>
    </row>
    <row r="58" spans="1:9" x14ac:dyDescent="0.25">
      <c r="A58" s="38">
        <f>Données!A58</f>
        <v>5491</v>
      </c>
      <c r="B58" s="27" t="str">
        <f>Données!B58</f>
        <v>Mont-la-Ville</v>
      </c>
      <c r="C58" s="31">
        <f>Données!Z58</f>
        <v>497</v>
      </c>
      <c r="D58" s="176">
        <f>Ecrêtage!E58</f>
        <v>29.146836810335692</v>
      </c>
      <c r="E58" s="176">
        <f t="shared" si="1"/>
        <v>20.3124905179846</v>
      </c>
      <c r="F58" s="176">
        <f>+Données!X58</f>
        <v>76</v>
      </c>
      <c r="G58" s="290">
        <f t="shared" si="2"/>
        <v>-207155.71579823489</v>
      </c>
      <c r="H58" s="122">
        <f t="shared" si="3"/>
        <v>1.1242391493113597</v>
      </c>
      <c r="I58" s="42">
        <f t="shared" si="4"/>
        <v>-232892.5657039934</v>
      </c>
    </row>
    <row r="59" spans="1:9" x14ac:dyDescent="0.25">
      <c r="A59" s="38">
        <f>Données!A59</f>
        <v>5492</v>
      </c>
      <c r="B59" s="27" t="str">
        <f>Données!B59</f>
        <v>Montricher</v>
      </c>
      <c r="C59" s="31">
        <f>Données!Z59</f>
        <v>962</v>
      </c>
      <c r="D59" s="176">
        <f>Ecrêtage!E59</f>
        <v>203.86227423336794</v>
      </c>
      <c r="E59" s="176">
        <f t="shared" si="1"/>
        <v>0</v>
      </c>
      <c r="F59" s="176">
        <f>+Données!X59</f>
        <v>64</v>
      </c>
      <c r="G59" s="290">
        <f t="shared" si="2"/>
        <v>0</v>
      </c>
      <c r="H59" s="122">
        <f t="shared" si="3"/>
        <v>0.94672770468325029</v>
      </c>
      <c r="I59" s="42">
        <f t="shared" si="4"/>
        <v>0</v>
      </c>
    </row>
    <row r="60" spans="1:9" x14ac:dyDescent="0.25">
      <c r="A60" s="38">
        <f>Données!A60</f>
        <v>5493</v>
      </c>
      <c r="B60" s="27" t="str">
        <f>Données!B60</f>
        <v>Orny</v>
      </c>
      <c r="C60" s="31">
        <f>Données!Z60</f>
        <v>500</v>
      </c>
      <c r="D60" s="176">
        <f>Ecrêtage!E60</f>
        <v>30.318726491043201</v>
      </c>
      <c r="E60" s="176">
        <f t="shared" si="1"/>
        <v>19.140600837277091</v>
      </c>
      <c r="F60" s="176">
        <f>+Données!X60</f>
        <v>73</v>
      </c>
      <c r="G60" s="290">
        <f t="shared" si="2"/>
        <v>-188630.62125136575</v>
      </c>
      <c r="H60" s="122">
        <f t="shared" si="3"/>
        <v>1.0798612881543324</v>
      </c>
      <c r="I60" s="42">
        <f t="shared" si="4"/>
        <v>-203694.9056498518</v>
      </c>
    </row>
    <row r="61" spans="1:9" x14ac:dyDescent="0.25">
      <c r="A61" s="38">
        <f>Données!A61</f>
        <v>5495</v>
      </c>
      <c r="B61" s="27" t="str">
        <f>Données!B61</f>
        <v>Penthalaz</v>
      </c>
      <c r="C61" s="31">
        <f>Données!Z61</f>
        <v>3199</v>
      </c>
      <c r="D61" s="176">
        <f>Ecrêtage!E61</f>
        <v>29.962204568237922</v>
      </c>
      <c r="E61" s="176">
        <f t="shared" si="1"/>
        <v>19.49712276008237</v>
      </c>
      <c r="F61" s="176">
        <f>+Données!X61</f>
        <v>72.5</v>
      </c>
      <c r="G61" s="290">
        <f t="shared" si="2"/>
        <v>-1220918.1135135312</v>
      </c>
      <c r="H61" s="122">
        <f t="shared" si="3"/>
        <v>1.0724649779614945</v>
      </c>
      <c r="I61" s="42">
        <f t="shared" si="4"/>
        <v>-1309391.9177020786</v>
      </c>
    </row>
    <row r="62" spans="1:9" x14ac:dyDescent="0.25">
      <c r="A62" s="38">
        <f>Données!A62</f>
        <v>5496</v>
      </c>
      <c r="B62" s="27" t="str">
        <f>Données!B62</f>
        <v>Penthaz</v>
      </c>
      <c r="C62" s="31">
        <f>Données!Z62</f>
        <v>1899</v>
      </c>
      <c r="D62" s="176">
        <f>Ecrêtage!E62</f>
        <v>35.327838506446028</v>
      </c>
      <c r="E62" s="176">
        <f t="shared" si="1"/>
        <v>14.131488821874264</v>
      </c>
      <c r="F62" s="176">
        <f>+Données!X62</f>
        <v>69.5</v>
      </c>
      <c r="G62" s="290">
        <f t="shared" si="2"/>
        <v>-503571.85932295164</v>
      </c>
      <c r="H62" s="122">
        <f t="shared" si="3"/>
        <v>1.0280871168044672</v>
      </c>
      <c r="I62" s="42">
        <f t="shared" si="4"/>
        <v>-517715.74095519813</v>
      </c>
    </row>
    <row r="63" spans="1:9" x14ac:dyDescent="0.25">
      <c r="A63" s="38">
        <f>Données!A63</f>
        <v>5497</v>
      </c>
      <c r="B63" s="27" t="str">
        <f>Données!B63</f>
        <v>Pompaples</v>
      </c>
      <c r="C63" s="31">
        <f>Données!Z63</f>
        <v>926</v>
      </c>
      <c r="D63" s="176">
        <f>Ecrêtage!E63</f>
        <v>27.547496073041437</v>
      </c>
      <c r="E63" s="176">
        <f t="shared" si="1"/>
        <v>21.911831255278855</v>
      </c>
      <c r="F63" s="176">
        <f>+Données!X63</f>
        <v>66</v>
      </c>
      <c r="G63" s="290">
        <f t="shared" si="2"/>
        <v>-361574.13932935806</v>
      </c>
      <c r="H63" s="122">
        <f t="shared" si="3"/>
        <v>0.9763129454546019</v>
      </c>
      <c r="I63" s="42">
        <f t="shared" si="4"/>
        <v>-353009.51296885818</v>
      </c>
    </row>
    <row r="64" spans="1:9" x14ac:dyDescent="0.25">
      <c r="A64" s="38">
        <f>Données!A64</f>
        <v>5498</v>
      </c>
      <c r="B64" s="27" t="str">
        <f>Données!B64</f>
        <v>La Sarraz</v>
      </c>
      <c r="C64" s="31">
        <f>Données!Z64</f>
        <v>2599</v>
      </c>
      <c r="D64" s="176">
        <f>Ecrêtage!E64</f>
        <v>30.072618256438961</v>
      </c>
      <c r="E64" s="176">
        <f t="shared" si="1"/>
        <v>19.386709071881331</v>
      </c>
      <c r="F64" s="176">
        <f>+Données!X64</f>
        <v>66</v>
      </c>
      <c r="G64" s="290">
        <f t="shared" si="2"/>
        <v>-897879.53356274497</v>
      </c>
      <c r="H64" s="122">
        <f t="shared" si="3"/>
        <v>0.9763129454546019</v>
      </c>
      <c r="I64" s="42">
        <f t="shared" si="4"/>
        <v>-876611.41207604762</v>
      </c>
    </row>
    <row r="65" spans="1:9" x14ac:dyDescent="0.25">
      <c r="A65" s="38">
        <f>Données!A65</f>
        <v>5499</v>
      </c>
      <c r="B65" s="27" t="str">
        <f>Données!B65</f>
        <v>Senarclens</v>
      </c>
      <c r="C65" s="31">
        <f>Données!Z65</f>
        <v>491</v>
      </c>
      <c r="D65" s="176">
        <f>Ecrêtage!E65</f>
        <v>52.19541082551622</v>
      </c>
      <c r="E65" s="176">
        <f t="shared" si="1"/>
        <v>0</v>
      </c>
      <c r="F65" s="176">
        <f>+Données!X65</f>
        <v>68.5</v>
      </c>
      <c r="G65" s="290">
        <f t="shared" si="2"/>
        <v>0</v>
      </c>
      <c r="H65" s="122">
        <f t="shared" si="3"/>
        <v>1.0132944964187913</v>
      </c>
      <c r="I65" s="42">
        <f t="shared" si="4"/>
        <v>0</v>
      </c>
    </row>
    <row r="66" spans="1:9" x14ac:dyDescent="0.25">
      <c r="A66" s="38">
        <f>Données!A66</f>
        <v>5501</v>
      </c>
      <c r="B66" s="27" t="str">
        <f>Données!B66</f>
        <v>Sullens</v>
      </c>
      <c r="C66" s="31">
        <f>Données!Z66</f>
        <v>1198</v>
      </c>
      <c r="D66" s="176">
        <f>Ecrêtage!E66</f>
        <v>45.247215671953263</v>
      </c>
      <c r="E66" s="176">
        <f t="shared" si="1"/>
        <v>4.2121116563670284</v>
      </c>
      <c r="F66" s="176">
        <f>+Données!X66</f>
        <v>64</v>
      </c>
      <c r="G66" s="290">
        <f t="shared" si="2"/>
        <v>-87196.776727582663</v>
      </c>
      <c r="H66" s="122">
        <f t="shared" si="3"/>
        <v>0.94672770468325029</v>
      </c>
      <c r="I66" s="42">
        <f t="shared" si="4"/>
        <v>-82551.604287082184</v>
      </c>
    </row>
    <row r="67" spans="1:9" x14ac:dyDescent="0.25">
      <c r="A67" s="38">
        <f>Données!A67</f>
        <v>5503</v>
      </c>
      <c r="B67" s="27" t="str">
        <f>Données!B67</f>
        <v>Vufflens-la-Ville</v>
      </c>
      <c r="C67" s="31">
        <f>Données!Z67</f>
        <v>1336</v>
      </c>
      <c r="D67" s="176">
        <f>Ecrêtage!E67</f>
        <v>57.948926903655369</v>
      </c>
      <c r="E67" s="176">
        <f t="shared" si="1"/>
        <v>0</v>
      </c>
      <c r="F67" s="176">
        <f>+Données!X67</f>
        <v>67</v>
      </c>
      <c r="G67" s="290">
        <f t="shared" si="2"/>
        <v>0</v>
      </c>
      <c r="H67" s="122">
        <f t="shared" si="3"/>
        <v>0.99110556584027765</v>
      </c>
      <c r="I67" s="42">
        <f t="shared" si="4"/>
        <v>0</v>
      </c>
    </row>
    <row r="68" spans="1:9" x14ac:dyDescent="0.25">
      <c r="A68" s="38">
        <f>Données!A68</f>
        <v>5511</v>
      </c>
      <c r="B68" s="27" t="str">
        <f>Données!B68</f>
        <v>Assens</v>
      </c>
      <c r="C68" s="31">
        <f>Données!Z68</f>
        <v>1698</v>
      </c>
      <c r="D68" s="176">
        <f>Ecrêtage!E68</f>
        <v>44.057742554265523</v>
      </c>
      <c r="E68" s="176">
        <f t="shared" si="1"/>
        <v>5.4015847740547684</v>
      </c>
      <c r="F68" s="176">
        <f>+Données!X68</f>
        <v>70</v>
      </c>
      <c r="G68" s="290">
        <f t="shared" si="2"/>
        <v>-173348.73888592044</v>
      </c>
      <c r="H68" s="122">
        <f t="shared" si="3"/>
        <v>1.035483426997305</v>
      </c>
      <c r="I68" s="42">
        <f t="shared" si="4"/>
        <v>-179499.74620725389</v>
      </c>
    </row>
    <row r="69" spans="1:9" x14ac:dyDescent="0.25">
      <c r="A69" s="38">
        <f>Données!A69</f>
        <v>5512</v>
      </c>
      <c r="B69" s="27" t="str">
        <f>Données!B69</f>
        <v>Bercher</v>
      </c>
      <c r="C69" s="31">
        <f>Données!Z69</f>
        <v>1330</v>
      </c>
      <c r="D69" s="176">
        <f>Ecrêtage!E69</f>
        <v>31.805918340154186</v>
      </c>
      <c r="E69" s="176">
        <f t="shared" si="1"/>
        <v>17.653408988166106</v>
      </c>
      <c r="F69" s="176">
        <f>+Données!X69</f>
        <v>79</v>
      </c>
      <c r="G69" s="290">
        <f t="shared" si="2"/>
        <v>-500807.7942443855</v>
      </c>
      <c r="H69" s="122">
        <f t="shared" si="3"/>
        <v>1.1686170104683871</v>
      </c>
      <c r="I69" s="42">
        <f t="shared" si="4"/>
        <v>-585252.50732914091</v>
      </c>
    </row>
    <row r="70" spans="1:9" x14ac:dyDescent="0.25">
      <c r="A70" s="38">
        <f>Données!A70</f>
        <v>5514</v>
      </c>
      <c r="B70" s="27" t="str">
        <f>Données!B70</f>
        <v>Bottens</v>
      </c>
      <c r="C70" s="31">
        <f>Données!Z70</f>
        <v>1378</v>
      </c>
      <c r="D70" s="176">
        <f>Ecrêtage!E70</f>
        <v>32.692031229668196</v>
      </c>
      <c r="E70" s="176">
        <f t="shared" si="1"/>
        <v>16.767296098652096</v>
      </c>
      <c r="F70" s="176">
        <f>+Données!X70</f>
        <v>72.5</v>
      </c>
      <c r="G70" s="290">
        <f t="shared" si="2"/>
        <v>-452286.91351867624</v>
      </c>
      <c r="H70" s="122">
        <f t="shared" si="3"/>
        <v>1.0724649779614945</v>
      </c>
      <c r="I70" s="42">
        <f t="shared" si="4"/>
        <v>-485061.8747390795</v>
      </c>
    </row>
    <row r="71" spans="1:9" x14ac:dyDescent="0.25">
      <c r="A71" s="38">
        <f>Données!A71</f>
        <v>5515</v>
      </c>
      <c r="B71" s="27" t="str">
        <f>Données!B71</f>
        <v>Bretigny-sur-Morrens</v>
      </c>
      <c r="C71" s="31">
        <f>Données!Z71</f>
        <v>893</v>
      </c>
      <c r="D71" s="176">
        <f>Ecrêtage!E71</f>
        <v>36.126723806242275</v>
      </c>
      <c r="E71" s="176">
        <f t="shared" ref="E71:E134" si="5">IF($D$306-D71&lt;0,0,$D$306-D71)</f>
        <v>13.332603522078017</v>
      </c>
      <c r="F71" s="176">
        <f>+Données!X71</f>
        <v>78</v>
      </c>
      <c r="G71" s="290">
        <f t="shared" ref="G71:G134" si="6">-((C71*E71*F71)*$E$5)</f>
        <v>-250740.674746242</v>
      </c>
      <c r="H71" s="122">
        <f t="shared" ref="H71:H134" si="7">F71/$F$306</f>
        <v>1.1538243900827114</v>
      </c>
      <c r="I71" s="42">
        <f t="shared" ref="I71:I134" si="8">G71*H71</f>
        <v>-289310.7061080102</v>
      </c>
    </row>
    <row r="72" spans="1:9" x14ac:dyDescent="0.25">
      <c r="A72" s="38">
        <f>Données!A72</f>
        <v>5516</v>
      </c>
      <c r="B72" s="27" t="str">
        <f>Données!B72</f>
        <v>Cugy</v>
      </c>
      <c r="C72" s="31">
        <f>Données!Z72</f>
        <v>2733</v>
      </c>
      <c r="D72" s="176">
        <f>Ecrêtage!E72</f>
        <v>41.748880279045586</v>
      </c>
      <c r="E72" s="176">
        <f t="shared" si="5"/>
        <v>7.7104470492747055</v>
      </c>
      <c r="F72" s="176">
        <f>+Données!X72</f>
        <v>76</v>
      </c>
      <c r="G72" s="290">
        <f t="shared" si="6"/>
        <v>-432410.81464190269</v>
      </c>
      <c r="H72" s="122">
        <f t="shared" si="7"/>
        <v>1.1242391493113597</v>
      </c>
      <c r="I72" s="42">
        <f t="shared" si="8"/>
        <v>-486133.16640604474</v>
      </c>
    </row>
    <row r="73" spans="1:9" x14ac:dyDescent="0.25">
      <c r="A73" s="38">
        <f>Données!A73</f>
        <v>5518</v>
      </c>
      <c r="B73" s="27" t="str">
        <f>Données!B73</f>
        <v>Echallens</v>
      </c>
      <c r="C73" s="31">
        <f>Données!Z73</f>
        <v>6572</v>
      </c>
      <c r="D73" s="176">
        <f>Ecrêtage!E73</f>
        <v>30.701423300522588</v>
      </c>
      <c r="E73" s="176">
        <f t="shared" si="5"/>
        <v>18.757904027797704</v>
      </c>
      <c r="F73" s="176">
        <f>+Données!X73</f>
        <v>72.5</v>
      </c>
      <c r="G73" s="290">
        <f t="shared" si="6"/>
        <v>-2413146.2036736887</v>
      </c>
      <c r="H73" s="122">
        <f t="shared" si="7"/>
        <v>1.0724649779614945</v>
      </c>
      <c r="I73" s="42">
        <f t="shared" si="8"/>
        <v>-2588014.7901407667</v>
      </c>
    </row>
    <row r="74" spans="1:9" x14ac:dyDescent="0.25">
      <c r="A74" s="38">
        <f>Données!A74</f>
        <v>5520</v>
      </c>
      <c r="B74" s="27" t="str">
        <f>Données!B74</f>
        <v>Essertines-sur-Yverdon</v>
      </c>
      <c r="C74" s="31">
        <f>Données!Z74</f>
        <v>1105</v>
      </c>
      <c r="D74" s="176">
        <f>Ecrêtage!E74</f>
        <v>29.502471444294972</v>
      </c>
      <c r="E74" s="176">
        <f t="shared" si="5"/>
        <v>19.95685588402532</v>
      </c>
      <c r="F74" s="176">
        <f>+Données!X74</f>
        <v>74</v>
      </c>
      <c r="G74" s="290">
        <f t="shared" si="6"/>
        <v>-440605.46852192259</v>
      </c>
      <c r="H74" s="122">
        <f t="shared" si="7"/>
        <v>1.0946539085400082</v>
      </c>
      <c r="I74" s="42">
        <f t="shared" si="8"/>
        <v>-482310.4982416241</v>
      </c>
    </row>
    <row r="75" spans="1:9" x14ac:dyDescent="0.25">
      <c r="A75" s="38">
        <f>Données!A75</f>
        <v>5521</v>
      </c>
      <c r="B75" s="27" t="str">
        <f>Données!B75</f>
        <v>Etagnières</v>
      </c>
      <c r="C75" s="31">
        <f>Données!Z75</f>
        <v>1172</v>
      </c>
      <c r="D75" s="176">
        <f>Ecrêtage!E75</f>
        <v>38.455027584272294</v>
      </c>
      <c r="E75" s="176">
        <f t="shared" si="5"/>
        <v>11.004299744047998</v>
      </c>
      <c r="F75" s="176">
        <f>+Données!X75</f>
        <v>73</v>
      </c>
      <c r="G75" s="290">
        <f t="shared" si="6"/>
        <v>-254200.64460347802</v>
      </c>
      <c r="H75" s="122">
        <f t="shared" si="7"/>
        <v>1.0798612881543324</v>
      </c>
      <c r="I75" s="42">
        <f t="shared" si="8"/>
        <v>-274501.43553117343</v>
      </c>
    </row>
    <row r="76" spans="1:9" x14ac:dyDescent="0.25">
      <c r="A76" s="38">
        <f>Données!A76</f>
        <v>5522</v>
      </c>
      <c r="B76" s="27" t="str">
        <f>Données!B76</f>
        <v>Fey</v>
      </c>
      <c r="C76" s="31">
        <f>Données!Z76</f>
        <v>763</v>
      </c>
      <c r="D76" s="176">
        <f>Ecrêtage!E76</f>
        <v>30.070695500218434</v>
      </c>
      <c r="E76" s="176">
        <f t="shared" si="5"/>
        <v>19.388631828101857</v>
      </c>
      <c r="F76" s="176">
        <f>+Données!X76</f>
        <v>75</v>
      </c>
      <c r="G76" s="290">
        <f t="shared" si="6"/>
        <v>-299568.90321804478</v>
      </c>
      <c r="H76" s="122">
        <f t="shared" si="7"/>
        <v>1.1094465289256841</v>
      </c>
      <c r="I76" s="42">
        <f t="shared" si="8"/>
        <v>-332355.67984933394</v>
      </c>
    </row>
    <row r="77" spans="1:9" x14ac:dyDescent="0.25">
      <c r="A77" s="38">
        <f>Données!A77</f>
        <v>5523</v>
      </c>
      <c r="B77" s="27" t="str">
        <f>Données!B77</f>
        <v>Froideville</v>
      </c>
      <c r="C77" s="31">
        <f>Données!Z77</f>
        <v>2728</v>
      </c>
      <c r="D77" s="176">
        <f>Ecrêtage!E77</f>
        <v>33.939458496252847</v>
      </c>
      <c r="E77" s="176">
        <f t="shared" si="5"/>
        <v>15.519868832067445</v>
      </c>
      <c r="F77" s="176">
        <f>+Données!X77</f>
        <v>72</v>
      </c>
      <c r="G77" s="290">
        <f t="shared" si="6"/>
        <v>-823054.65026022703</v>
      </c>
      <c r="H77" s="122">
        <f t="shared" si="7"/>
        <v>1.0650686677686567</v>
      </c>
      <c r="I77" s="42">
        <f t="shared" si="8"/>
        <v>-876609.71985345765</v>
      </c>
    </row>
    <row r="78" spans="1:9" x14ac:dyDescent="0.25">
      <c r="A78" s="38">
        <f>Données!A78</f>
        <v>5527</v>
      </c>
      <c r="B78" s="27" t="str">
        <f>Données!B78</f>
        <v>Morrens</v>
      </c>
      <c r="C78" s="31">
        <f>Données!Z78</f>
        <v>1142</v>
      </c>
      <c r="D78" s="176">
        <f>Ecrêtage!E78</f>
        <v>37.573487125479247</v>
      </c>
      <c r="E78" s="176">
        <f t="shared" si="5"/>
        <v>11.885840202841045</v>
      </c>
      <c r="F78" s="176">
        <f>+Données!X78</f>
        <v>74</v>
      </c>
      <c r="G78" s="290">
        <f t="shared" si="6"/>
        <v>-271201.11764265661</v>
      </c>
      <c r="H78" s="122">
        <f t="shared" si="7"/>
        <v>1.0946539085400082</v>
      </c>
      <c r="I78" s="42">
        <f t="shared" si="8"/>
        <v>-296871.36342795263</v>
      </c>
    </row>
    <row r="79" spans="1:9" x14ac:dyDescent="0.25">
      <c r="A79" s="38">
        <f>Données!A79</f>
        <v>5529</v>
      </c>
      <c r="B79" s="27" t="str">
        <f>Données!B79</f>
        <v>Oulens-sous-Echallens</v>
      </c>
      <c r="C79" s="31">
        <f>Données!Z79</f>
        <v>600</v>
      </c>
      <c r="D79" s="176">
        <f>Ecrêtage!E79</f>
        <v>38.247690845070423</v>
      </c>
      <c r="E79" s="176">
        <f t="shared" si="5"/>
        <v>11.211636483249869</v>
      </c>
      <c r="F79" s="176">
        <f>+Données!X79</f>
        <v>71</v>
      </c>
      <c r="G79" s="290">
        <f t="shared" si="6"/>
        <v>-128956.24283033999</v>
      </c>
      <c r="H79" s="122">
        <f t="shared" si="7"/>
        <v>1.0502760473829809</v>
      </c>
      <c r="I79" s="42">
        <f t="shared" si="8"/>
        <v>-135439.65300520934</v>
      </c>
    </row>
    <row r="80" spans="1:9" x14ac:dyDescent="0.25">
      <c r="A80" s="38">
        <f>Données!A80</f>
        <v>5530</v>
      </c>
      <c r="B80" s="27" t="str">
        <f>Données!B80</f>
        <v>Pailly</v>
      </c>
      <c r="C80" s="31">
        <f>Données!Z80</f>
        <v>576</v>
      </c>
      <c r="D80" s="176">
        <f>Ecrêtage!E80</f>
        <v>35.665911800986841</v>
      </c>
      <c r="E80" s="176">
        <f t="shared" si="5"/>
        <v>13.793415527333451</v>
      </c>
      <c r="F80" s="176">
        <f>+Données!X80</f>
        <v>76</v>
      </c>
      <c r="G80" s="290">
        <f t="shared" si="6"/>
        <v>-163031.55069362826</v>
      </c>
      <c r="H80" s="122">
        <f t="shared" si="7"/>
        <v>1.1242391493113597</v>
      </c>
      <c r="I80" s="42">
        <f t="shared" si="8"/>
        <v>-183286.45186271647</v>
      </c>
    </row>
    <row r="81" spans="1:9" x14ac:dyDescent="0.25">
      <c r="A81" s="38">
        <f>Données!A81</f>
        <v>5531</v>
      </c>
      <c r="B81" s="27" t="str">
        <f>Données!B81</f>
        <v>Penthéréaz</v>
      </c>
      <c r="C81" s="31">
        <f>Données!Z81</f>
        <v>437</v>
      </c>
      <c r="D81" s="176">
        <f>Ecrêtage!E81</f>
        <v>39.26489362360072</v>
      </c>
      <c r="E81" s="176">
        <f t="shared" si="5"/>
        <v>10.194433704719572</v>
      </c>
      <c r="F81" s="176">
        <f>+Données!X81</f>
        <v>74</v>
      </c>
      <c r="G81" s="290">
        <f t="shared" si="6"/>
        <v>-89010.251228669818</v>
      </c>
      <c r="H81" s="122">
        <f t="shared" si="7"/>
        <v>1.0946539085400082</v>
      </c>
      <c r="I81" s="42">
        <f t="shared" si="8"/>
        <v>-97435.419407591486</v>
      </c>
    </row>
    <row r="82" spans="1:9" x14ac:dyDescent="0.25">
      <c r="A82" s="38">
        <f>Données!A82</f>
        <v>5533</v>
      </c>
      <c r="B82" s="27" t="str">
        <f>Données!B82</f>
        <v>Poliez-Pittet</v>
      </c>
      <c r="C82" s="31">
        <f>Données!Z82</f>
        <v>876</v>
      </c>
      <c r="D82" s="176">
        <f>Ecrêtage!E82</f>
        <v>31.021453681115904</v>
      </c>
      <c r="E82" s="176">
        <f t="shared" si="5"/>
        <v>18.437873647204388</v>
      </c>
      <c r="F82" s="176">
        <f>+Données!X82</f>
        <v>73</v>
      </c>
      <c r="G82" s="290">
        <f t="shared" si="6"/>
        <v>-318347.58887768514</v>
      </c>
      <c r="H82" s="122">
        <f t="shared" si="7"/>
        <v>1.0798612881543324</v>
      </c>
      <c r="I82" s="42">
        <f t="shared" si="8"/>
        <v>-343771.23740628286</v>
      </c>
    </row>
    <row r="83" spans="1:9" x14ac:dyDescent="0.25">
      <c r="A83" s="38">
        <f>Données!A83</f>
        <v>5534</v>
      </c>
      <c r="B83" s="27" t="str">
        <f>Données!B83</f>
        <v>Rueyres</v>
      </c>
      <c r="C83" s="31">
        <f>Données!Z83</f>
        <v>302</v>
      </c>
      <c r="D83" s="176">
        <f>Ecrêtage!E83</f>
        <v>52.583763192113473</v>
      </c>
      <c r="E83" s="176">
        <f t="shared" si="5"/>
        <v>0</v>
      </c>
      <c r="F83" s="176">
        <f>+Données!X83</f>
        <v>73</v>
      </c>
      <c r="G83" s="290">
        <f t="shared" si="6"/>
        <v>0</v>
      </c>
      <c r="H83" s="122">
        <f t="shared" si="7"/>
        <v>1.0798612881543324</v>
      </c>
      <c r="I83" s="42">
        <f t="shared" si="8"/>
        <v>0</v>
      </c>
    </row>
    <row r="84" spans="1:9" x14ac:dyDescent="0.25">
      <c r="A84" s="38">
        <f>Données!A84</f>
        <v>5535</v>
      </c>
      <c r="B84" s="27" t="str">
        <f>Données!B84</f>
        <v>Saint-Barthélemy</v>
      </c>
      <c r="C84" s="31">
        <f>Données!Z84</f>
        <v>829</v>
      </c>
      <c r="D84" s="176">
        <f>Ecrêtage!E84</f>
        <v>32.793202734217928</v>
      </c>
      <c r="E84" s="176">
        <f t="shared" si="5"/>
        <v>16.666124594102364</v>
      </c>
      <c r="F84" s="176">
        <f>+Données!X84</f>
        <v>75</v>
      </c>
      <c r="G84" s="290">
        <f t="shared" si="6"/>
        <v>-279778.40009234491</v>
      </c>
      <c r="H84" s="122">
        <f t="shared" si="7"/>
        <v>1.1094465289256841</v>
      </c>
      <c r="I84" s="42">
        <f t="shared" si="8"/>
        <v>-310399.17485083337</v>
      </c>
    </row>
    <row r="85" spans="1:9" x14ac:dyDescent="0.25">
      <c r="A85" s="38">
        <f>Données!A85</f>
        <v>5537</v>
      </c>
      <c r="B85" s="27" t="str">
        <f>Données!B85</f>
        <v>Villars-le-Terroir</v>
      </c>
      <c r="C85" s="31">
        <f>Données!Z85</f>
        <v>1298</v>
      </c>
      <c r="D85" s="176">
        <f>Ecrêtage!E85</f>
        <v>28.553466466628812</v>
      </c>
      <c r="E85" s="176">
        <f t="shared" si="5"/>
        <v>20.90586086169148</v>
      </c>
      <c r="F85" s="176">
        <f>+Données!X85</f>
        <v>76</v>
      </c>
      <c r="G85" s="290">
        <f t="shared" si="6"/>
        <v>-556826.76781671809</v>
      </c>
      <c r="H85" s="122">
        <f t="shared" si="7"/>
        <v>1.1242391493113597</v>
      </c>
      <c r="I85" s="42">
        <f t="shared" si="8"/>
        <v>-626006.45176406112</v>
      </c>
    </row>
    <row r="86" spans="1:9" x14ac:dyDescent="0.25">
      <c r="A86" s="38">
        <f>Données!A86</f>
        <v>5539</v>
      </c>
      <c r="B86" s="27" t="str">
        <f>Données!B86</f>
        <v>Vuarrens</v>
      </c>
      <c r="C86" s="31">
        <f>Données!Z86</f>
        <v>1103</v>
      </c>
      <c r="D86" s="176">
        <f>Ecrêtage!E86</f>
        <v>30.140707162284681</v>
      </c>
      <c r="E86" s="176">
        <f t="shared" si="5"/>
        <v>19.318620166035611</v>
      </c>
      <c r="F86" s="176">
        <f>+Données!X86</f>
        <v>73.5</v>
      </c>
      <c r="G86" s="290">
        <f t="shared" si="6"/>
        <v>-422865.95296605933</v>
      </c>
      <c r="H86" s="122">
        <f t="shared" si="7"/>
        <v>1.0872575983471704</v>
      </c>
      <c r="I86" s="42">
        <f t="shared" si="8"/>
        <v>-459764.22044466517</v>
      </c>
    </row>
    <row r="87" spans="1:9" x14ac:dyDescent="0.25">
      <c r="A87" s="38">
        <f>Données!A87</f>
        <v>5540</v>
      </c>
      <c r="B87" s="27" t="str">
        <f>Données!B87</f>
        <v>Montilliez</v>
      </c>
      <c r="C87" s="31">
        <f>Données!Z87</f>
        <v>1894</v>
      </c>
      <c r="D87" s="176">
        <f>Ecrêtage!E87</f>
        <v>39.033798091978291</v>
      </c>
      <c r="E87" s="176">
        <f t="shared" si="5"/>
        <v>10.425529236342001</v>
      </c>
      <c r="F87" s="176">
        <f>+Données!X87</f>
        <v>72.5</v>
      </c>
      <c r="G87" s="290">
        <f t="shared" si="6"/>
        <v>-386527.01771384152</v>
      </c>
      <c r="H87" s="122">
        <f t="shared" si="7"/>
        <v>1.0724649779614945</v>
      </c>
      <c r="I87" s="42">
        <f t="shared" si="8"/>
        <v>-414536.68953399727</v>
      </c>
    </row>
    <row r="88" spans="1:9" x14ac:dyDescent="0.25">
      <c r="A88" s="38">
        <f>Données!A88</f>
        <v>5541</v>
      </c>
      <c r="B88" s="27" t="str">
        <f>Données!B88</f>
        <v>Goumoëns</v>
      </c>
      <c r="C88" s="31">
        <f>Données!Z88</f>
        <v>1212</v>
      </c>
      <c r="D88" s="176">
        <f>Ecrêtage!E88</f>
        <v>35.061384827224444</v>
      </c>
      <c r="E88" s="176">
        <f t="shared" si="5"/>
        <v>14.397942501095848</v>
      </c>
      <c r="F88" s="176">
        <f>+Données!X88</f>
        <v>75.5</v>
      </c>
      <c r="G88" s="290">
        <f t="shared" si="6"/>
        <v>-355724.49415642471</v>
      </c>
      <c r="H88" s="122">
        <f t="shared" si="7"/>
        <v>1.1168428391185219</v>
      </c>
      <c r="I88" s="42">
        <f t="shared" si="8"/>
        <v>-397288.35399766144</v>
      </c>
    </row>
    <row r="89" spans="1:9" x14ac:dyDescent="0.25">
      <c r="A89" s="38">
        <f>Données!A89</f>
        <v>5551</v>
      </c>
      <c r="B89" s="27" t="str">
        <f>Données!B89</f>
        <v>Bonvillars</v>
      </c>
      <c r="C89" s="31">
        <f>Données!Z89</f>
        <v>526</v>
      </c>
      <c r="D89" s="176">
        <f>Ecrêtage!E89</f>
        <v>36.11777032886399</v>
      </c>
      <c r="E89" s="176">
        <f t="shared" si="5"/>
        <v>13.341556999456301</v>
      </c>
      <c r="F89" s="176">
        <f>+Données!X89</f>
        <v>57</v>
      </c>
      <c r="G89" s="290">
        <f t="shared" si="6"/>
        <v>-108001.77172857869</v>
      </c>
      <c r="H89" s="122">
        <f t="shared" si="7"/>
        <v>0.84317936198351984</v>
      </c>
      <c r="I89" s="42">
        <f t="shared" si="8"/>
        <v>-91064.864979192731</v>
      </c>
    </row>
    <row r="90" spans="1:9" x14ac:dyDescent="0.25">
      <c r="A90" s="38">
        <f>Données!A90</f>
        <v>5552</v>
      </c>
      <c r="B90" s="27" t="str">
        <f>Données!B90</f>
        <v>Bullet</v>
      </c>
      <c r="C90" s="31">
        <f>Données!Z90</f>
        <v>675</v>
      </c>
      <c r="D90" s="176">
        <f>Ecrêtage!E90</f>
        <v>30.258910899470894</v>
      </c>
      <c r="E90" s="176">
        <f t="shared" si="5"/>
        <v>19.200416428849397</v>
      </c>
      <c r="F90" s="176">
        <f>+Données!X90</f>
        <v>70</v>
      </c>
      <c r="G90" s="290">
        <f t="shared" si="6"/>
        <v>-244949.31259104618</v>
      </c>
      <c r="H90" s="122">
        <f t="shared" si="7"/>
        <v>1.035483426997305</v>
      </c>
      <c r="I90" s="42">
        <f t="shared" si="8"/>
        <v>-253640.9536424106</v>
      </c>
    </row>
    <row r="91" spans="1:9" x14ac:dyDescent="0.25">
      <c r="A91" s="38">
        <f>Données!A91</f>
        <v>5553</v>
      </c>
      <c r="B91" s="27" t="str">
        <f>Données!B91</f>
        <v>Champagne</v>
      </c>
      <c r="C91" s="31">
        <f>Données!Z91</f>
        <v>1071</v>
      </c>
      <c r="D91" s="176">
        <f>Ecrêtage!E91</f>
        <v>33.77732299073476</v>
      </c>
      <c r="E91" s="176">
        <f t="shared" si="5"/>
        <v>15.682004337585532</v>
      </c>
      <c r="F91" s="176">
        <f>+Données!X91</f>
        <v>65</v>
      </c>
      <c r="G91" s="290">
        <f t="shared" si="6"/>
        <v>-294759.73762947455</v>
      </c>
      <c r="H91" s="122">
        <f t="shared" si="7"/>
        <v>0.96152032506892615</v>
      </c>
      <c r="I91" s="42">
        <f t="shared" si="8"/>
        <v>-283417.47874272376</v>
      </c>
    </row>
    <row r="92" spans="1:9" x14ac:dyDescent="0.25">
      <c r="A92" s="38">
        <f>Données!A92</f>
        <v>5554</v>
      </c>
      <c r="B92" s="27" t="str">
        <f>Données!B92</f>
        <v>Concise</v>
      </c>
      <c r="C92" s="31">
        <f>Données!Z92</f>
        <v>1022</v>
      </c>
      <c r="D92" s="176">
        <f>Ecrêtage!E92</f>
        <v>33.570080995868672</v>
      </c>
      <c r="E92" s="176">
        <f t="shared" si="5"/>
        <v>15.88924633245162</v>
      </c>
      <c r="F92" s="176">
        <f>+Données!X92</f>
        <v>72</v>
      </c>
      <c r="G92" s="290">
        <f t="shared" si="6"/>
        <v>-315682.46157432243</v>
      </c>
      <c r="H92" s="122">
        <f t="shared" si="7"/>
        <v>1.0650686677686567</v>
      </c>
      <c r="I92" s="42">
        <f t="shared" si="8"/>
        <v>-336223.49878689373</v>
      </c>
    </row>
    <row r="93" spans="1:9" x14ac:dyDescent="0.25">
      <c r="A93" s="38">
        <f>Données!A93</f>
        <v>5555</v>
      </c>
      <c r="B93" s="27" t="str">
        <f>Données!B93</f>
        <v>Corcelles-près-Concise</v>
      </c>
      <c r="C93" s="31">
        <f>Données!Z93</f>
        <v>425</v>
      </c>
      <c r="D93" s="176">
        <f>Ecrêtage!E93</f>
        <v>32.094046717817562</v>
      </c>
      <c r="E93" s="176">
        <f t="shared" si="5"/>
        <v>17.36528061050273</v>
      </c>
      <c r="F93" s="176">
        <f>+Données!X93</f>
        <v>69</v>
      </c>
      <c r="G93" s="290">
        <f t="shared" si="6"/>
        <v>-137493.95055380801</v>
      </c>
      <c r="H93" s="122">
        <f t="shared" si="7"/>
        <v>1.0206908066116291</v>
      </c>
      <c r="I93" s="42">
        <f t="shared" si="8"/>
        <v>-140338.81129498576</v>
      </c>
    </row>
    <row r="94" spans="1:9" x14ac:dyDescent="0.25">
      <c r="A94" s="38">
        <f>Données!A94</f>
        <v>5556</v>
      </c>
      <c r="B94" s="27" t="str">
        <f>Données!B94</f>
        <v>Fiez</v>
      </c>
      <c r="C94" s="31">
        <f>Données!Z94</f>
        <v>436</v>
      </c>
      <c r="D94" s="176">
        <f>Ecrêtage!E94</f>
        <v>29.659169104285777</v>
      </c>
      <c r="E94" s="176">
        <f t="shared" si="5"/>
        <v>19.800158224034515</v>
      </c>
      <c r="F94" s="176">
        <f>+Données!X94</f>
        <v>69</v>
      </c>
      <c r="G94" s="290">
        <f t="shared" si="6"/>
        <v>-160830.34920320066</v>
      </c>
      <c r="H94" s="122">
        <f t="shared" si="7"/>
        <v>1.0206908066116291</v>
      </c>
      <c r="I94" s="42">
        <f t="shared" si="8"/>
        <v>-164158.05885584487</v>
      </c>
    </row>
    <row r="95" spans="1:9" x14ac:dyDescent="0.25">
      <c r="A95" s="38">
        <f>Données!A95</f>
        <v>5557</v>
      </c>
      <c r="B95" s="27" t="str">
        <f>Données!B95</f>
        <v>Fontaines-sur-Grandson</v>
      </c>
      <c r="C95" s="31">
        <f>Données!Z95</f>
        <v>199</v>
      </c>
      <c r="D95" s="176">
        <f>Ecrêtage!E95</f>
        <v>23.619923530696962</v>
      </c>
      <c r="E95" s="176">
        <f t="shared" si="5"/>
        <v>25.83940379762333</v>
      </c>
      <c r="F95" s="176">
        <f>+Données!X95</f>
        <v>69</v>
      </c>
      <c r="G95" s="290">
        <f t="shared" si="6"/>
        <v>-95796.230457194819</v>
      </c>
      <c r="H95" s="122">
        <f t="shared" si="7"/>
        <v>1.0206908066116291</v>
      </c>
      <c r="I95" s="42">
        <f t="shared" si="8"/>
        <v>-97778.331735707688</v>
      </c>
    </row>
    <row r="96" spans="1:9" x14ac:dyDescent="0.25">
      <c r="A96" s="38">
        <f>Données!A96</f>
        <v>5559</v>
      </c>
      <c r="B96" s="27" t="str">
        <f>Données!B96</f>
        <v>Giez</v>
      </c>
      <c r="C96" s="31">
        <f>Données!Z96</f>
        <v>459</v>
      </c>
      <c r="D96" s="176">
        <f>Ecrêtage!E96</f>
        <v>43.051959133821882</v>
      </c>
      <c r="E96" s="176">
        <f t="shared" si="5"/>
        <v>6.4073681944984102</v>
      </c>
      <c r="F96" s="176">
        <f>+Données!X96</f>
        <v>66</v>
      </c>
      <c r="G96" s="290">
        <f t="shared" si="6"/>
        <v>-52408.299262716413</v>
      </c>
      <c r="H96" s="122">
        <f t="shared" si="7"/>
        <v>0.9763129454546019</v>
      </c>
      <c r="I96" s="42">
        <f t="shared" si="8"/>
        <v>-51166.901019448902</v>
      </c>
    </row>
    <row r="97" spans="1:9" x14ac:dyDescent="0.25">
      <c r="A97" s="38">
        <f>Données!A97</f>
        <v>5560</v>
      </c>
      <c r="B97" s="27" t="str">
        <f>Données!B97</f>
        <v>Grandevent</v>
      </c>
      <c r="C97" s="31">
        <f>Données!Z97</f>
        <v>237</v>
      </c>
      <c r="D97" s="176">
        <f>Ecrêtage!E97</f>
        <v>33.960330319469577</v>
      </c>
      <c r="E97" s="176">
        <f t="shared" si="5"/>
        <v>15.498997008850715</v>
      </c>
      <c r="F97" s="176">
        <f>+Données!X97</f>
        <v>70</v>
      </c>
      <c r="G97" s="290">
        <f t="shared" si="6"/>
        <v>-69424.657301745014</v>
      </c>
      <c r="H97" s="122">
        <f t="shared" si="7"/>
        <v>1.035483426997305</v>
      </c>
      <c r="I97" s="42">
        <f t="shared" si="8"/>
        <v>-71888.082060924397</v>
      </c>
    </row>
    <row r="98" spans="1:9" x14ac:dyDescent="0.25">
      <c r="A98" s="38">
        <f>Données!A98</f>
        <v>5561</v>
      </c>
      <c r="B98" s="27" t="str">
        <f>Données!B98</f>
        <v>Grandson</v>
      </c>
      <c r="C98" s="31">
        <f>Données!Z98</f>
        <v>3386</v>
      </c>
      <c r="D98" s="176">
        <f>Ecrêtage!E98</f>
        <v>52.96676922023336</v>
      </c>
      <c r="E98" s="176">
        <f t="shared" si="5"/>
        <v>0</v>
      </c>
      <c r="F98" s="176">
        <f>+Données!X98</f>
        <v>69</v>
      </c>
      <c r="G98" s="290">
        <f t="shared" si="6"/>
        <v>0</v>
      </c>
      <c r="H98" s="122">
        <f t="shared" si="7"/>
        <v>1.0206908066116291</v>
      </c>
      <c r="I98" s="42">
        <f t="shared" si="8"/>
        <v>0</v>
      </c>
    </row>
    <row r="99" spans="1:9" x14ac:dyDescent="0.25">
      <c r="A99" s="38">
        <f>Données!A99</f>
        <v>5562</v>
      </c>
      <c r="B99" s="27" t="str">
        <f>Données!B99</f>
        <v>Mauborget</v>
      </c>
      <c r="C99" s="31">
        <f>Données!Z99</f>
        <v>134</v>
      </c>
      <c r="D99" s="176">
        <f>Ecrêtage!E99</f>
        <v>36.95290174129353</v>
      </c>
      <c r="E99" s="176">
        <f t="shared" si="5"/>
        <v>12.506425587026762</v>
      </c>
      <c r="F99" s="176">
        <f>+Données!X99</f>
        <v>70</v>
      </c>
      <c r="G99" s="290">
        <f t="shared" si="6"/>
        <v>-31673.773441703976</v>
      </c>
      <c r="H99" s="122">
        <f t="shared" si="7"/>
        <v>1.035483426997305</v>
      </c>
      <c r="I99" s="42">
        <f t="shared" si="8"/>
        <v>-32797.667469351858</v>
      </c>
    </row>
    <row r="100" spans="1:9" x14ac:dyDescent="0.25">
      <c r="A100" s="38">
        <f>Données!A100</f>
        <v>5563</v>
      </c>
      <c r="B100" s="27" t="str">
        <f>Données!B100</f>
        <v>Mutrux</v>
      </c>
      <c r="C100" s="31">
        <f>Données!Z100</f>
        <v>145</v>
      </c>
      <c r="D100" s="176">
        <f>Ecrêtage!E100</f>
        <v>20.077515517241377</v>
      </c>
      <c r="E100" s="176">
        <f t="shared" si="5"/>
        <v>29.381811811078915</v>
      </c>
      <c r="F100" s="176">
        <f>+Données!X100</f>
        <v>80</v>
      </c>
      <c r="G100" s="290">
        <f t="shared" si="6"/>
        <v>-92023.834592299172</v>
      </c>
      <c r="H100" s="122">
        <f t="shared" si="7"/>
        <v>1.1834096308540629</v>
      </c>
      <c r="I100" s="42">
        <f t="shared" si="8"/>
        <v>-108901.8921246481</v>
      </c>
    </row>
    <row r="101" spans="1:9" x14ac:dyDescent="0.25">
      <c r="A101" s="38">
        <f>Données!A101</f>
        <v>5564</v>
      </c>
      <c r="B101" s="27" t="str">
        <f>Données!B101</f>
        <v>Novalles</v>
      </c>
      <c r="C101" s="31">
        <f>Données!Z101</f>
        <v>102</v>
      </c>
      <c r="D101" s="176">
        <f>Ecrêtage!E101</f>
        <v>22.335174471104231</v>
      </c>
      <c r="E101" s="176">
        <f t="shared" si="5"/>
        <v>27.12415285721606</v>
      </c>
      <c r="F101" s="176">
        <f>+Données!X101</f>
        <v>76</v>
      </c>
      <c r="G101" s="290">
        <f t="shared" si="6"/>
        <v>-56771.936896267507</v>
      </c>
      <c r="H101" s="122">
        <f t="shared" si="7"/>
        <v>1.1242391493113597</v>
      </c>
      <c r="I101" s="42">
        <f t="shared" si="8"/>
        <v>-63825.234041017975</v>
      </c>
    </row>
    <row r="102" spans="1:9" x14ac:dyDescent="0.25">
      <c r="A102" s="38">
        <f>Données!A102</f>
        <v>5565</v>
      </c>
      <c r="B102" s="27" t="str">
        <f>Données!B102</f>
        <v>Onnens</v>
      </c>
      <c r="C102" s="31">
        <f>Données!Z102</f>
        <v>498</v>
      </c>
      <c r="D102" s="176">
        <f>Ecrêtage!E102</f>
        <v>43.156481042279353</v>
      </c>
      <c r="E102" s="176">
        <f t="shared" si="5"/>
        <v>6.3028462860409391</v>
      </c>
      <c r="F102" s="176">
        <f>+Données!X102</f>
        <v>63.5</v>
      </c>
      <c r="G102" s="290">
        <f t="shared" si="6"/>
        <v>-53815.025187937608</v>
      </c>
      <c r="H102" s="122">
        <f t="shared" si="7"/>
        <v>0.93933139449041247</v>
      </c>
      <c r="I102" s="42">
        <f t="shared" si="8"/>
        <v>-50550.142654322102</v>
      </c>
    </row>
    <row r="103" spans="1:9" x14ac:dyDescent="0.25">
      <c r="A103" s="38">
        <f>Données!A103</f>
        <v>5566</v>
      </c>
      <c r="B103" s="27" t="str">
        <f>Données!B103</f>
        <v>Provence</v>
      </c>
      <c r="C103" s="31">
        <f>Données!Z103</f>
        <v>415</v>
      </c>
      <c r="D103" s="176">
        <f>Ecrêtage!E103</f>
        <v>23.298605087014721</v>
      </c>
      <c r="E103" s="176">
        <f t="shared" si="5"/>
        <v>26.160722241305571</v>
      </c>
      <c r="F103" s="176">
        <f>+Données!X103</f>
        <v>81</v>
      </c>
      <c r="G103" s="290">
        <f t="shared" si="6"/>
        <v>-237436.02309820146</v>
      </c>
      <c r="H103" s="122">
        <f t="shared" si="7"/>
        <v>1.1982022512397388</v>
      </c>
      <c r="I103" s="42">
        <f t="shared" si="8"/>
        <v>-284496.37740167562</v>
      </c>
    </row>
    <row r="104" spans="1:9" x14ac:dyDescent="0.25">
      <c r="A104" s="38">
        <f>Données!A104</f>
        <v>5568</v>
      </c>
      <c r="B104" s="27" t="str">
        <f>Données!B104</f>
        <v>Sainte-Croix</v>
      </c>
      <c r="C104" s="31">
        <f>Données!Z104</f>
        <v>5051</v>
      </c>
      <c r="D104" s="176">
        <f>Ecrêtage!E104</f>
        <v>21.516402805667902</v>
      </c>
      <c r="E104" s="176">
        <f t="shared" si="5"/>
        <v>27.94292452265239</v>
      </c>
      <c r="F104" s="176">
        <f>+Données!X104</f>
        <v>70</v>
      </c>
      <c r="G104" s="290">
        <f t="shared" si="6"/>
        <v>-2667540.5523380358</v>
      </c>
      <c r="H104" s="122">
        <f t="shared" si="7"/>
        <v>1.035483426997305</v>
      </c>
      <c r="I104" s="42">
        <f t="shared" si="8"/>
        <v>-2762194.0327892732</v>
      </c>
    </row>
    <row r="105" spans="1:9" x14ac:dyDescent="0.25">
      <c r="A105" s="38">
        <f>Données!A105</f>
        <v>5571</v>
      </c>
      <c r="B105" s="27" t="str">
        <f>Données!B105</f>
        <v>Tévenon</v>
      </c>
      <c r="C105" s="31">
        <f>Données!Z105</f>
        <v>865</v>
      </c>
      <c r="D105" s="176">
        <f>Ecrêtage!E105</f>
        <v>30.000889661398329</v>
      </c>
      <c r="E105" s="176">
        <f t="shared" si="5"/>
        <v>19.458437666921963</v>
      </c>
      <c r="F105" s="176">
        <f>+Données!X105</f>
        <v>71.5</v>
      </c>
      <c r="G105" s="290">
        <f t="shared" si="6"/>
        <v>-324933.04537333822</v>
      </c>
      <c r="H105" s="122">
        <f t="shared" si="7"/>
        <v>1.0576723575758187</v>
      </c>
      <c r="I105" s="42">
        <f t="shared" si="8"/>
        <v>-343672.7001543091</v>
      </c>
    </row>
    <row r="106" spans="1:9" x14ac:dyDescent="0.25">
      <c r="A106" s="38">
        <f>Données!A106</f>
        <v>5581</v>
      </c>
      <c r="B106" s="27" t="str">
        <f>Données!B106</f>
        <v>Belmont-sur-Lausanne</v>
      </c>
      <c r="C106" s="31">
        <f>Données!Z106</f>
        <v>3896</v>
      </c>
      <c r="D106" s="176">
        <f>Ecrêtage!E106</f>
        <v>55.643253966556401</v>
      </c>
      <c r="E106" s="176">
        <f t="shared" si="5"/>
        <v>0</v>
      </c>
      <c r="F106" s="176">
        <f>+Données!X106</f>
        <v>72</v>
      </c>
      <c r="G106" s="290">
        <f t="shared" si="6"/>
        <v>0</v>
      </c>
      <c r="H106" s="122">
        <f t="shared" si="7"/>
        <v>1.0650686677686567</v>
      </c>
      <c r="I106" s="42">
        <f t="shared" si="8"/>
        <v>0</v>
      </c>
    </row>
    <row r="107" spans="1:9" x14ac:dyDescent="0.25">
      <c r="A107" s="38">
        <f>Données!A107</f>
        <v>5582</v>
      </c>
      <c r="B107" s="27" t="str">
        <f>Données!B107</f>
        <v>Cheseaux-sur-Lausanne</v>
      </c>
      <c r="C107" s="31">
        <f>Données!Z107</f>
        <v>4842</v>
      </c>
      <c r="D107" s="176">
        <f>Ecrêtage!E107</f>
        <v>37.061589488097866</v>
      </c>
      <c r="E107" s="176">
        <f t="shared" si="5"/>
        <v>12.397737840222426</v>
      </c>
      <c r="F107" s="176">
        <f>+Données!X107</f>
        <v>73</v>
      </c>
      <c r="G107" s="290">
        <f t="shared" si="6"/>
        <v>-1183188.276926656</v>
      </c>
      <c r="H107" s="122">
        <f t="shared" si="7"/>
        <v>1.0798612881543324</v>
      </c>
      <c r="I107" s="42">
        <f t="shared" si="8"/>
        <v>-1277679.2168511236</v>
      </c>
    </row>
    <row r="108" spans="1:9" x14ac:dyDescent="0.25">
      <c r="A108" s="38">
        <f>Données!A108</f>
        <v>5583</v>
      </c>
      <c r="B108" s="27" t="str">
        <f>Données!B108</f>
        <v>Crissier</v>
      </c>
      <c r="C108" s="31">
        <f>Données!Z108</f>
        <v>9327</v>
      </c>
      <c r="D108" s="176">
        <f>Ecrêtage!E108</f>
        <v>39.863194147209576</v>
      </c>
      <c r="E108" s="176">
        <f t="shared" si="5"/>
        <v>9.5961331811107158</v>
      </c>
      <c r="F108" s="176">
        <f>+Données!X108</f>
        <v>63.5</v>
      </c>
      <c r="G108" s="290">
        <f t="shared" si="6"/>
        <v>-1534531.2355198658</v>
      </c>
      <c r="H108" s="122">
        <f t="shared" si="7"/>
        <v>0.93933139449041247</v>
      </c>
      <c r="I108" s="42">
        <f t="shared" si="8"/>
        <v>-1441433.365349971</v>
      </c>
    </row>
    <row r="109" spans="1:9" x14ac:dyDescent="0.25">
      <c r="A109" s="38">
        <f>Données!A109</f>
        <v>5584</v>
      </c>
      <c r="B109" s="27" t="str">
        <f>Données!B109</f>
        <v>Epalinges</v>
      </c>
      <c r="C109" s="31">
        <f>Données!Z109</f>
        <v>9910</v>
      </c>
      <c r="D109" s="176">
        <f>Ecrêtage!E109</f>
        <v>52.14449643692457</v>
      </c>
      <c r="E109" s="176">
        <f t="shared" si="5"/>
        <v>0</v>
      </c>
      <c r="F109" s="176">
        <f>+Données!X109</f>
        <v>64.5</v>
      </c>
      <c r="G109" s="290">
        <f t="shared" si="6"/>
        <v>0</v>
      </c>
      <c r="H109" s="122">
        <f t="shared" si="7"/>
        <v>0.95412401487608822</v>
      </c>
      <c r="I109" s="42">
        <f t="shared" si="8"/>
        <v>0</v>
      </c>
    </row>
    <row r="110" spans="1:9" x14ac:dyDescent="0.25">
      <c r="A110" s="38">
        <f>Données!A110</f>
        <v>5585</v>
      </c>
      <c r="B110" s="27" t="str">
        <f>Données!B110</f>
        <v>Jouxtens-Mézery</v>
      </c>
      <c r="C110" s="31">
        <f>Données!Z110</f>
        <v>1493</v>
      </c>
      <c r="D110" s="176">
        <f>Ecrêtage!E110</f>
        <v>168.56957212755572</v>
      </c>
      <c r="E110" s="176">
        <f t="shared" si="5"/>
        <v>0</v>
      </c>
      <c r="F110" s="176">
        <f>+Données!X110</f>
        <v>59</v>
      </c>
      <c r="G110" s="290">
        <f t="shared" si="6"/>
        <v>0</v>
      </c>
      <c r="H110" s="122">
        <f t="shared" si="7"/>
        <v>0.87276460275487133</v>
      </c>
      <c r="I110" s="42">
        <f t="shared" si="8"/>
        <v>0</v>
      </c>
    </row>
    <row r="111" spans="1:9" x14ac:dyDescent="0.25">
      <c r="A111" s="38">
        <f>Données!A111</f>
        <v>5586</v>
      </c>
      <c r="B111" s="27" t="str">
        <f>Données!B111</f>
        <v>Lausanne</v>
      </c>
      <c r="C111" s="31">
        <f>Données!Z111</f>
        <v>144365</v>
      </c>
      <c r="D111" s="176">
        <f>Ecrêtage!E111</f>
        <v>47.901732750857171</v>
      </c>
      <c r="E111" s="176">
        <f t="shared" si="5"/>
        <v>1.5575945774631208</v>
      </c>
      <c r="F111" s="176">
        <f>+Données!X111</f>
        <v>78.5</v>
      </c>
      <c r="G111" s="290">
        <f t="shared" si="6"/>
        <v>-4765953.0822139485</v>
      </c>
      <c r="H111" s="122">
        <f t="shared" si="7"/>
        <v>1.1612207002755492</v>
      </c>
      <c r="I111" s="42">
        <f t="shared" si="8"/>
        <v>-5534323.3756088931</v>
      </c>
    </row>
    <row r="112" spans="1:9" x14ac:dyDescent="0.25">
      <c r="A112" s="38">
        <f>Données!A112</f>
        <v>5587</v>
      </c>
      <c r="B112" s="27" t="str">
        <f>Données!B112</f>
        <v>Le Mont-sur-Lausanne</v>
      </c>
      <c r="C112" s="31">
        <f>Données!Z112</f>
        <v>9274</v>
      </c>
      <c r="D112" s="176">
        <f>Ecrêtage!E112</f>
        <v>52.899816376410392</v>
      </c>
      <c r="E112" s="176">
        <f t="shared" si="5"/>
        <v>0</v>
      </c>
      <c r="F112" s="176">
        <f>+Données!X112</f>
        <v>73.5</v>
      </c>
      <c r="G112" s="290">
        <f t="shared" si="6"/>
        <v>0</v>
      </c>
      <c r="H112" s="122">
        <f t="shared" si="7"/>
        <v>1.0872575983471704</v>
      </c>
      <c r="I112" s="42">
        <f t="shared" si="8"/>
        <v>0</v>
      </c>
    </row>
    <row r="113" spans="1:9" x14ac:dyDescent="0.25">
      <c r="A113" s="38">
        <f>Données!A113</f>
        <v>5588</v>
      </c>
      <c r="B113" s="27" t="str">
        <f>Données!B113</f>
        <v>Paudex</v>
      </c>
      <c r="C113" s="31">
        <f>Données!Z113</f>
        <v>1538</v>
      </c>
      <c r="D113" s="176">
        <f>Ecrêtage!E113</f>
        <v>80.255947224554035</v>
      </c>
      <c r="E113" s="176">
        <f t="shared" si="5"/>
        <v>0</v>
      </c>
      <c r="F113" s="176">
        <f>+Données!X113</f>
        <v>66.5</v>
      </c>
      <c r="G113" s="290">
        <f t="shared" si="6"/>
        <v>0</v>
      </c>
      <c r="H113" s="122">
        <f t="shared" si="7"/>
        <v>0.98370925564743983</v>
      </c>
      <c r="I113" s="42">
        <f t="shared" si="8"/>
        <v>0</v>
      </c>
    </row>
    <row r="114" spans="1:9" x14ac:dyDescent="0.25">
      <c r="A114" s="38">
        <f>Données!A114</f>
        <v>5589</v>
      </c>
      <c r="B114" s="27" t="str">
        <f>Données!B114</f>
        <v>Prilly</v>
      </c>
      <c r="C114" s="31">
        <f>Données!Z114</f>
        <v>12439</v>
      </c>
      <c r="D114" s="176">
        <f>Ecrêtage!E114</f>
        <v>36.198935666316885</v>
      </c>
      <c r="E114" s="176">
        <f t="shared" si="5"/>
        <v>13.260391662003407</v>
      </c>
      <c r="F114" s="176">
        <f>+Données!X114</f>
        <v>72.5</v>
      </c>
      <c r="G114" s="290">
        <f t="shared" si="6"/>
        <v>-3228818.1826226525</v>
      </c>
      <c r="H114" s="122">
        <f t="shared" si="7"/>
        <v>1.0724649779614945</v>
      </c>
      <c r="I114" s="42">
        <f t="shared" si="8"/>
        <v>-3462794.421068076</v>
      </c>
    </row>
    <row r="115" spans="1:9" x14ac:dyDescent="0.25">
      <c r="A115" s="38">
        <f>Données!A115</f>
        <v>5590</v>
      </c>
      <c r="B115" s="27" t="str">
        <f>Données!B115</f>
        <v>Pully</v>
      </c>
      <c r="C115" s="31">
        <f>Données!Z115</f>
        <v>19298</v>
      </c>
      <c r="D115" s="176">
        <f>Ecrêtage!E115</f>
        <v>83.193363778217275</v>
      </c>
      <c r="E115" s="176">
        <f t="shared" si="5"/>
        <v>0</v>
      </c>
      <c r="F115" s="176">
        <f>+Données!X115</f>
        <v>61</v>
      </c>
      <c r="G115" s="290">
        <f t="shared" si="6"/>
        <v>0</v>
      </c>
      <c r="H115" s="122">
        <f t="shared" si="7"/>
        <v>0.90234984352622294</v>
      </c>
      <c r="I115" s="42">
        <f t="shared" si="8"/>
        <v>0</v>
      </c>
    </row>
    <row r="116" spans="1:9" x14ac:dyDescent="0.25">
      <c r="A116" s="38">
        <f>Données!A116</f>
        <v>5591</v>
      </c>
      <c r="B116" s="27" t="str">
        <f>Données!B116</f>
        <v>Renens</v>
      </c>
      <c r="C116" s="31">
        <f>Données!Z116</f>
        <v>21466</v>
      </c>
      <c r="D116" s="176">
        <f>Ecrêtage!E116</f>
        <v>29.842058695919356</v>
      </c>
      <c r="E116" s="176">
        <f t="shared" si="5"/>
        <v>19.617268632400936</v>
      </c>
      <c r="F116" s="176">
        <f>+Données!X116</f>
        <v>77</v>
      </c>
      <c r="G116" s="290">
        <f t="shared" si="6"/>
        <v>-8754758.1571482345</v>
      </c>
      <c r="H116" s="122">
        <f t="shared" si="7"/>
        <v>1.1390317696970356</v>
      </c>
      <c r="I116" s="42">
        <f t="shared" si="8"/>
        <v>-9971947.6770061105</v>
      </c>
    </row>
    <row r="117" spans="1:9" x14ac:dyDescent="0.25">
      <c r="A117" s="38">
        <f>Données!A117</f>
        <v>5592</v>
      </c>
      <c r="B117" s="27" t="str">
        <f>Données!B117</f>
        <v>Romanel-sur-Lausanne</v>
      </c>
      <c r="C117" s="31">
        <f>Données!Z117</f>
        <v>3992</v>
      </c>
      <c r="D117" s="176">
        <f>Ecrêtage!E117</f>
        <v>34.066361837149472</v>
      </c>
      <c r="E117" s="176">
        <f t="shared" si="5"/>
        <v>15.39296549117082</v>
      </c>
      <c r="F117" s="176">
        <f>+Données!X117</f>
        <v>70.5</v>
      </c>
      <c r="G117" s="290">
        <f t="shared" si="6"/>
        <v>-1169676.3517127507</v>
      </c>
      <c r="H117" s="122">
        <f t="shared" si="7"/>
        <v>1.0428797371901428</v>
      </c>
      <c r="I117" s="42">
        <f t="shared" si="8"/>
        <v>-1219831.7662717185</v>
      </c>
    </row>
    <row r="118" spans="1:9" x14ac:dyDescent="0.25">
      <c r="A118" s="38">
        <f>Données!A118</f>
        <v>5601</v>
      </c>
      <c r="B118" s="27" t="str">
        <f>Données!B118</f>
        <v>Chexbres</v>
      </c>
      <c r="C118" s="31">
        <f>Données!Z118</f>
        <v>2230</v>
      </c>
      <c r="D118" s="176">
        <f>Ecrêtage!E118</f>
        <v>45.749642650722471</v>
      </c>
      <c r="E118" s="176">
        <f t="shared" si="5"/>
        <v>3.7096846775978207</v>
      </c>
      <c r="F118" s="176">
        <f>+Données!X118</f>
        <v>67.5</v>
      </c>
      <c r="G118" s="290">
        <f t="shared" si="6"/>
        <v>-150768.07724576123</v>
      </c>
      <c r="H118" s="122">
        <f t="shared" si="7"/>
        <v>0.99850187603311558</v>
      </c>
      <c r="I118" s="42">
        <f t="shared" si="8"/>
        <v>-150542.20797579829</v>
      </c>
    </row>
    <row r="119" spans="1:9" x14ac:dyDescent="0.25">
      <c r="A119" s="38">
        <f>Données!A119</f>
        <v>5604</v>
      </c>
      <c r="B119" s="27" t="str">
        <f>Données!B119</f>
        <v>Forel (Lavaux)</v>
      </c>
      <c r="C119" s="31">
        <f>Données!Z119</f>
        <v>2068</v>
      </c>
      <c r="D119" s="176">
        <f>Ecrêtage!E119</f>
        <v>36.606498682476946</v>
      </c>
      <c r="E119" s="176">
        <f t="shared" si="5"/>
        <v>12.852828645843346</v>
      </c>
      <c r="F119" s="176">
        <f>+Données!X119</f>
        <v>69</v>
      </c>
      <c r="G119" s="290">
        <f t="shared" si="6"/>
        <v>-495178.8727858233</v>
      </c>
      <c r="H119" s="122">
        <f t="shared" si="7"/>
        <v>1.0206908066116291</v>
      </c>
      <c r="I119" s="42">
        <f t="shared" si="8"/>
        <v>-505424.52308079926</v>
      </c>
    </row>
    <row r="120" spans="1:9" x14ac:dyDescent="0.25">
      <c r="A120" s="38">
        <f>Données!A120</f>
        <v>5606</v>
      </c>
      <c r="B120" s="27" t="str">
        <f>Données!B120</f>
        <v>Lutry</v>
      </c>
      <c r="C120" s="31">
        <f>Données!Z120</f>
        <v>10796</v>
      </c>
      <c r="D120" s="176">
        <f>Ecrêtage!E120</f>
        <v>92.376079684127561</v>
      </c>
      <c r="E120" s="176">
        <f t="shared" si="5"/>
        <v>0</v>
      </c>
      <c r="F120" s="176">
        <f>+Données!X120</f>
        <v>54</v>
      </c>
      <c r="G120" s="290">
        <f t="shared" si="6"/>
        <v>0</v>
      </c>
      <c r="H120" s="122">
        <f t="shared" si="7"/>
        <v>0.79880150082649248</v>
      </c>
      <c r="I120" s="42">
        <f t="shared" si="8"/>
        <v>0</v>
      </c>
    </row>
    <row r="121" spans="1:9" x14ac:dyDescent="0.25">
      <c r="A121" s="38">
        <f>Données!A121</f>
        <v>5607</v>
      </c>
      <c r="B121" s="27" t="str">
        <f>Données!B121</f>
        <v>Puidoux</v>
      </c>
      <c r="C121" s="31">
        <f>Données!Z121</f>
        <v>3012</v>
      </c>
      <c r="D121" s="176">
        <f>Ecrêtage!E121</f>
        <v>44.707412902078353</v>
      </c>
      <c r="E121" s="176">
        <f t="shared" si="5"/>
        <v>4.7519144262419388</v>
      </c>
      <c r="F121" s="176">
        <f>+Données!X121</f>
        <v>68.5</v>
      </c>
      <c r="G121" s="290">
        <f t="shared" si="6"/>
        <v>-264714.61182779411</v>
      </c>
      <c r="H121" s="122">
        <f t="shared" si="7"/>
        <v>1.0132944964187913</v>
      </c>
      <c r="I121" s="42">
        <f t="shared" si="8"/>
        <v>-268233.85928674048</v>
      </c>
    </row>
    <row r="122" spans="1:9" x14ac:dyDescent="0.25">
      <c r="A122" s="38">
        <f>Données!A122</f>
        <v>5609</v>
      </c>
      <c r="B122" s="27" t="str">
        <f>Données!B122</f>
        <v>Rivaz</v>
      </c>
      <c r="C122" s="31">
        <f>Données!Z122</f>
        <v>326</v>
      </c>
      <c r="D122" s="176">
        <f>Ecrêtage!E122</f>
        <v>42.883106075598661</v>
      </c>
      <c r="E122" s="176">
        <f t="shared" si="5"/>
        <v>6.5762212527216306</v>
      </c>
      <c r="F122" s="176">
        <f>+Données!X122</f>
        <v>62</v>
      </c>
      <c r="G122" s="290">
        <f t="shared" si="6"/>
        <v>-35888.017669202593</v>
      </c>
      <c r="H122" s="122">
        <f t="shared" si="7"/>
        <v>0.9171424639118988</v>
      </c>
      <c r="I122" s="42">
        <f t="shared" si="8"/>
        <v>-32914.424950046225</v>
      </c>
    </row>
    <row r="123" spans="1:9" x14ac:dyDescent="0.25">
      <c r="A123" s="38">
        <f>Données!A123</f>
        <v>5610</v>
      </c>
      <c r="B123" s="27" t="str">
        <f>Données!B123</f>
        <v>St-Saphorin (Lavaux)</v>
      </c>
      <c r="C123" s="31">
        <f>Données!Z123</f>
        <v>391</v>
      </c>
      <c r="D123" s="176">
        <f>Ecrêtage!E123</f>
        <v>49.326745228284544</v>
      </c>
      <c r="E123" s="176">
        <f t="shared" si="5"/>
        <v>0.13258210003574789</v>
      </c>
      <c r="F123" s="176">
        <f>+Données!X123</f>
        <v>72</v>
      </c>
      <c r="G123" s="290">
        <f t="shared" si="6"/>
        <v>-1007.7618456557212</v>
      </c>
      <c r="H123" s="122">
        <f t="shared" si="7"/>
        <v>1.0650686677686567</v>
      </c>
      <c r="I123" s="42">
        <f t="shared" si="8"/>
        <v>-1073.3355663806217</v>
      </c>
    </row>
    <row r="124" spans="1:9" x14ac:dyDescent="0.25">
      <c r="A124" s="38">
        <f>Données!A124</f>
        <v>5611</v>
      </c>
      <c r="B124" s="27" t="str">
        <f>Données!B124</f>
        <v>Savigny</v>
      </c>
      <c r="C124" s="31">
        <f>Données!Z124</f>
        <v>3448</v>
      </c>
      <c r="D124" s="176">
        <f>Ecrêtage!E124</f>
        <v>41.735195961812202</v>
      </c>
      <c r="E124" s="176">
        <f t="shared" si="5"/>
        <v>7.7241313665080895</v>
      </c>
      <c r="F124" s="176">
        <f>+Données!X124</f>
        <v>69</v>
      </c>
      <c r="G124" s="290">
        <f t="shared" si="6"/>
        <v>-496169.15625054162</v>
      </c>
      <c r="H124" s="122">
        <f t="shared" si="7"/>
        <v>1.0206908066116291</v>
      </c>
      <c r="I124" s="42">
        <f t="shared" si="8"/>
        <v>-506435.29630917677</v>
      </c>
    </row>
    <row r="125" spans="1:9" x14ac:dyDescent="0.25">
      <c r="A125" s="38">
        <f>Données!A125</f>
        <v>5613</v>
      </c>
      <c r="B125" s="27" t="str">
        <f>Données!B125</f>
        <v>Bourg-en-Lavaux</v>
      </c>
      <c r="C125" s="31">
        <f>Données!Z125</f>
        <v>5411</v>
      </c>
      <c r="D125" s="176">
        <f>Ecrêtage!E125</f>
        <v>67.239617076326013</v>
      </c>
      <c r="E125" s="176">
        <f t="shared" si="5"/>
        <v>0</v>
      </c>
      <c r="F125" s="176">
        <f>+Données!X125</f>
        <v>62.5</v>
      </c>
      <c r="G125" s="290">
        <f t="shared" si="6"/>
        <v>0</v>
      </c>
      <c r="H125" s="122">
        <f t="shared" si="7"/>
        <v>0.92453877410473662</v>
      </c>
      <c r="I125" s="42">
        <f t="shared" si="8"/>
        <v>0</v>
      </c>
    </row>
    <row r="126" spans="1:9" x14ac:dyDescent="0.25">
      <c r="A126" s="38">
        <f>Données!A126</f>
        <v>5621</v>
      </c>
      <c r="B126" s="27" t="str">
        <f>Données!B126</f>
        <v>Aclens</v>
      </c>
      <c r="C126" s="31">
        <f>Données!Z126</f>
        <v>578</v>
      </c>
      <c r="D126" s="176">
        <f>Ecrêtage!E126</f>
        <v>58.456280352920878</v>
      </c>
      <c r="E126" s="176">
        <f t="shared" si="5"/>
        <v>0</v>
      </c>
      <c r="F126" s="176">
        <f>+Données!X126</f>
        <v>62</v>
      </c>
      <c r="G126" s="290">
        <f t="shared" si="6"/>
        <v>0</v>
      </c>
      <c r="H126" s="122">
        <f t="shared" si="7"/>
        <v>0.9171424639118988</v>
      </c>
      <c r="I126" s="42">
        <f t="shared" si="8"/>
        <v>0</v>
      </c>
    </row>
    <row r="127" spans="1:9" x14ac:dyDescent="0.25">
      <c r="A127" s="38">
        <f>Données!A127</f>
        <v>5622</v>
      </c>
      <c r="B127" s="27" t="str">
        <f>Données!B127</f>
        <v>Bremblens</v>
      </c>
      <c r="C127" s="31">
        <f>Données!Z127</f>
        <v>614</v>
      </c>
      <c r="D127" s="176">
        <f>Ecrêtage!E127</f>
        <v>48.705749904196203</v>
      </c>
      <c r="E127" s="176">
        <f t="shared" si="5"/>
        <v>0.75357742412408868</v>
      </c>
      <c r="F127" s="176">
        <f>+Données!X127</f>
        <v>68</v>
      </c>
      <c r="G127" s="290">
        <f t="shared" si="6"/>
        <v>-8495.1084452478171</v>
      </c>
      <c r="H127" s="122">
        <f t="shared" si="7"/>
        <v>1.0058981862259535</v>
      </c>
      <c r="I127" s="42">
        <f t="shared" si="8"/>
        <v>-8545.2141768675592</v>
      </c>
    </row>
    <row r="128" spans="1:9" x14ac:dyDescent="0.25">
      <c r="A128" s="38">
        <f>Données!A128</f>
        <v>5623</v>
      </c>
      <c r="B128" s="27" t="str">
        <f>Données!B128</f>
        <v>Buchillon</v>
      </c>
      <c r="C128" s="31">
        <f>Données!Z128</f>
        <v>687</v>
      </c>
      <c r="D128" s="176">
        <f>Ecrêtage!E128</f>
        <v>137.18662971671702</v>
      </c>
      <c r="E128" s="176">
        <f t="shared" si="5"/>
        <v>0</v>
      </c>
      <c r="F128" s="176">
        <f>+Données!X128</f>
        <v>52</v>
      </c>
      <c r="G128" s="290">
        <f t="shared" si="6"/>
        <v>0</v>
      </c>
      <c r="H128" s="122">
        <f t="shared" si="7"/>
        <v>0.76921626005514088</v>
      </c>
      <c r="I128" s="42">
        <f t="shared" si="8"/>
        <v>0</v>
      </c>
    </row>
    <row r="129" spans="1:9" x14ac:dyDescent="0.25">
      <c r="A129" s="38">
        <f>Données!A129</f>
        <v>5624</v>
      </c>
      <c r="B129" s="27" t="str">
        <f>Données!B129</f>
        <v>Bussigny</v>
      </c>
      <c r="C129" s="31">
        <f>Données!Z129</f>
        <v>10645</v>
      </c>
      <c r="D129" s="176">
        <f>Ecrêtage!E129</f>
        <v>38.717334966651009</v>
      </c>
      <c r="E129" s="176">
        <f t="shared" si="5"/>
        <v>10.741992361669283</v>
      </c>
      <c r="F129" s="176">
        <f>+Données!X129</f>
        <v>62.5</v>
      </c>
      <c r="G129" s="290">
        <f t="shared" si="6"/>
        <v>-1929631.0841432356</v>
      </c>
      <c r="H129" s="122">
        <f t="shared" si="7"/>
        <v>0.92453877410473662</v>
      </c>
      <c r="I129" s="42">
        <f t="shared" si="8"/>
        <v>-1784018.757008181</v>
      </c>
    </row>
    <row r="130" spans="1:9" x14ac:dyDescent="0.25">
      <c r="A130" s="38">
        <f>Données!A130</f>
        <v>5627</v>
      </c>
      <c r="B130" s="27" t="str">
        <f>Données!B130</f>
        <v>Chavannes-près-Renens</v>
      </c>
      <c r="C130" s="31">
        <f>Données!Z130</f>
        <v>9337</v>
      </c>
      <c r="D130" s="176">
        <f>Ecrêtage!E130</f>
        <v>21.17986123884511</v>
      </c>
      <c r="E130" s="176">
        <f t="shared" si="5"/>
        <v>28.279466089475182</v>
      </c>
      <c r="F130" s="176">
        <f>+Données!X130</f>
        <v>77.5</v>
      </c>
      <c r="G130" s="290">
        <f t="shared" si="6"/>
        <v>-5525149.4693102185</v>
      </c>
      <c r="H130" s="122">
        <f t="shared" si="7"/>
        <v>1.1464280798898734</v>
      </c>
      <c r="I130" s="42">
        <f t="shared" si="8"/>
        <v>-6334186.4972058665</v>
      </c>
    </row>
    <row r="131" spans="1:9" x14ac:dyDescent="0.25">
      <c r="A131" s="38">
        <f>Données!A131</f>
        <v>5628</v>
      </c>
      <c r="B131" s="27" t="str">
        <f>Données!B131</f>
        <v>Chigny</v>
      </c>
      <c r="C131" s="31">
        <f>Données!Z131</f>
        <v>422</v>
      </c>
      <c r="D131" s="176">
        <f>Ecrêtage!E131</f>
        <v>70.382279467971259</v>
      </c>
      <c r="E131" s="176">
        <f t="shared" si="5"/>
        <v>0</v>
      </c>
      <c r="F131" s="176">
        <f>+Données!X131</f>
        <v>62</v>
      </c>
      <c r="G131" s="290">
        <f t="shared" si="6"/>
        <v>0</v>
      </c>
      <c r="H131" s="122">
        <f t="shared" si="7"/>
        <v>0.9171424639118988</v>
      </c>
      <c r="I131" s="42">
        <f t="shared" si="8"/>
        <v>0</v>
      </c>
    </row>
    <row r="132" spans="1:9" x14ac:dyDescent="0.25">
      <c r="A132" s="38">
        <f>Données!A132</f>
        <v>5629</v>
      </c>
      <c r="B132" s="27" t="str">
        <f>Données!B132</f>
        <v>Clarmont</v>
      </c>
      <c r="C132" s="31">
        <f>Données!Z132</f>
        <v>219</v>
      </c>
      <c r="D132" s="176">
        <f>Ecrêtage!E132</f>
        <v>51.20979769152715</v>
      </c>
      <c r="E132" s="176">
        <f t="shared" si="5"/>
        <v>0</v>
      </c>
      <c r="F132" s="176">
        <f>+Données!X132</f>
        <v>72</v>
      </c>
      <c r="G132" s="290">
        <f t="shared" si="6"/>
        <v>0</v>
      </c>
      <c r="H132" s="122">
        <f t="shared" si="7"/>
        <v>1.0650686677686567</v>
      </c>
      <c r="I132" s="42">
        <f t="shared" si="8"/>
        <v>0</v>
      </c>
    </row>
    <row r="133" spans="1:9" x14ac:dyDescent="0.25">
      <c r="A133" s="38">
        <f>Données!A133</f>
        <v>5631</v>
      </c>
      <c r="B133" s="27" t="str">
        <f>Données!B133</f>
        <v>Denens</v>
      </c>
      <c r="C133" s="31">
        <f>Données!Z133</f>
        <v>742</v>
      </c>
      <c r="D133" s="176">
        <f>Ecrêtage!E133</f>
        <v>64.016518764254627</v>
      </c>
      <c r="E133" s="176">
        <f t="shared" si="5"/>
        <v>0</v>
      </c>
      <c r="F133" s="176">
        <f>+Données!X133</f>
        <v>65</v>
      </c>
      <c r="G133" s="290">
        <f t="shared" si="6"/>
        <v>0</v>
      </c>
      <c r="H133" s="122">
        <f t="shared" si="7"/>
        <v>0.96152032506892615</v>
      </c>
      <c r="I133" s="42">
        <f t="shared" si="8"/>
        <v>0</v>
      </c>
    </row>
    <row r="134" spans="1:9" x14ac:dyDescent="0.25">
      <c r="A134" s="38">
        <f>Données!A134</f>
        <v>5632</v>
      </c>
      <c r="B134" s="27" t="str">
        <f>Données!B134</f>
        <v>Denges</v>
      </c>
      <c r="C134" s="31">
        <f>Données!Z134</f>
        <v>1821</v>
      </c>
      <c r="D134" s="176">
        <f>Ecrêtage!E134</f>
        <v>49.321920160847469</v>
      </c>
      <c r="E134" s="176">
        <f t="shared" si="5"/>
        <v>0.13740716747282278</v>
      </c>
      <c r="F134" s="176">
        <f>+Données!X134</f>
        <v>62</v>
      </c>
      <c r="G134" s="290">
        <f t="shared" si="6"/>
        <v>-4188.6568859444924</v>
      </c>
      <c r="H134" s="122">
        <f t="shared" si="7"/>
        <v>0.9171424639118988</v>
      </c>
      <c r="I134" s="42">
        <f t="shared" si="8"/>
        <v>-3841.5950968566731</v>
      </c>
    </row>
    <row r="135" spans="1:9" x14ac:dyDescent="0.25">
      <c r="A135" s="38">
        <f>Données!A135</f>
        <v>5633</v>
      </c>
      <c r="B135" s="27" t="str">
        <f>Données!B135</f>
        <v>Echandens</v>
      </c>
      <c r="C135" s="31">
        <f>Données!Z135</f>
        <v>2910</v>
      </c>
      <c r="D135" s="176">
        <f>Ecrêtage!E135</f>
        <v>50.383837550765378</v>
      </c>
      <c r="E135" s="176">
        <f t="shared" ref="E135:E198" si="9">IF($D$306-D135&lt;0,0,$D$306-D135)</f>
        <v>0</v>
      </c>
      <c r="F135" s="176">
        <f>+Données!X135</f>
        <v>60.5</v>
      </c>
      <c r="G135" s="290">
        <f t="shared" ref="G135:G198" si="10">-((C135*E135*F135)*$E$5)</f>
        <v>0</v>
      </c>
      <c r="H135" s="122">
        <f t="shared" ref="H135:H198" si="11">F135/$F$306</f>
        <v>0.89495353333338512</v>
      </c>
      <c r="I135" s="42">
        <f t="shared" ref="I135:I198" si="12">G135*H135</f>
        <v>0</v>
      </c>
    </row>
    <row r="136" spans="1:9" x14ac:dyDescent="0.25">
      <c r="A136" s="38">
        <f>Données!A136</f>
        <v>5634</v>
      </c>
      <c r="B136" s="27" t="str">
        <f>Données!B136</f>
        <v>Echichens</v>
      </c>
      <c r="C136" s="31">
        <f>Données!Z136</f>
        <v>3181</v>
      </c>
      <c r="D136" s="176">
        <f>Ecrêtage!E136</f>
        <v>57.033647414096954</v>
      </c>
      <c r="E136" s="176">
        <f t="shared" si="9"/>
        <v>0</v>
      </c>
      <c r="F136" s="176">
        <f>+Données!X136</f>
        <v>66</v>
      </c>
      <c r="G136" s="290">
        <f t="shared" si="10"/>
        <v>0</v>
      </c>
      <c r="H136" s="122">
        <f t="shared" si="11"/>
        <v>0.9763129454546019</v>
      </c>
      <c r="I136" s="42">
        <f t="shared" si="12"/>
        <v>0</v>
      </c>
    </row>
    <row r="137" spans="1:9" x14ac:dyDescent="0.25">
      <c r="A137" s="38">
        <f>Données!A137</f>
        <v>5635</v>
      </c>
      <c r="B137" s="27" t="str">
        <f>Données!B137</f>
        <v>Ecublens</v>
      </c>
      <c r="C137" s="31">
        <f>Données!Z137</f>
        <v>13334</v>
      </c>
      <c r="D137" s="176">
        <f>Ecrêtage!E137</f>
        <v>37.915162375881209</v>
      </c>
      <c r="E137" s="176">
        <f t="shared" si="9"/>
        <v>11.544164952439083</v>
      </c>
      <c r="F137" s="176">
        <f>+Données!X137</f>
        <v>62.5</v>
      </c>
      <c r="G137" s="290">
        <f t="shared" si="10"/>
        <v>-2597566.9861545092</v>
      </c>
      <c r="H137" s="122">
        <f t="shared" si="11"/>
        <v>0.92453877410473662</v>
      </c>
      <c r="I137" s="42">
        <f t="shared" si="12"/>
        <v>-2401551.3970342255</v>
      </c>
    </row>
    <row r="138" spans="1:9" x14ac:dyDescent="0.25">
      <c r="A138" s="38">
        <f>Données!A138</f>
        <v>5636</v>
      </c>
      <c r="B138" s="27" t="str">
        <f>Données!B138</f>
        <v>Etoy</v>
      </c>
      <c r="C138" s="31">
        <f>Données!Z138</f>
        <v>2920</v>
      </c>
      <c r="D138" s="176">
        <f>Ecrêtage!E138</f>
        <v>81.063056678082205</v>
      </c>
      <c r="E138" s="176">
        <f t="shared" si="9"/>
        <v>0</v>
      </c>
      <c r="F138" s="176">
        <f>+Données!X138</f>
        <v>60</v>
      </c>
      <c r="G138" s="290">
        <f t="shared" si="10"/>
        <v>0</v>
      </c>
      <c r="H138" s="122">
        <f t="shared" si="11"/>
        <v>0.88755722314054719</v>
      </c>
      <c r="I138" s="42">
        <f t="shared" si="12"/>
        <v>0</v>
      </c>
    </row>
    <row r="139" spans="1:9" x14ac:dyDescent="0.25">
      <c r="A139" s="38">
        <f>Données!A139</f>
        <v>5637</v>
      </c>
      <c r="B139" s="27" t="str">
        <f>Données!B139</f>
        <v>Lavigny</v>
      </c>
      <c r="C139" s="31">
        <f>Données!Z139</f>
        <v>1052</v>
      </c>
      <c r="D139" s="176">
        <f>Ecrêtage!E139</f>
        <v>36.390497031095371</v>
      </c>
      <c r="E139" s="176">
        <f t="shared" si="9"/>
        <v>13.06883029722492</v>
      </c>
      <c r="F139" s="176">
        <f>+Données!X139</f>
        <v>73</v>
      </c>
      <c r="G139" s="290">
        <f t="shared" si="10"/>
        <v>-270981.15070653497</v>
      </c>
      <c r="H139" s="122">
        <f t="shared" si="11"/>
        <v>1.0798612881543324</v>
      </c>
      <c r="I139" s="42">
        <f t="shared" si="12"/>
        <v>-292622.05446750211</v>
      </c>
    </row>
    <row r="140" spans="1:9" x14ac:dyDescent="0.25">
      <c r="A140" s="38">
        <f>Données!A140</f>
        <v>5638</v>
      </c>
      <c r="B140" s="27" t="str">
        <f>Données!B140</f>
        <v>Lonay</v>
      </c>
      <c r="C140" s="31">
        <f>Données!Z140</f>
        <v>2693</v>
      </c>
      <c r="D140" s="176">
        <f>Ecrêtage!E140</f>
        <v>62.572258515342796</v>
      </c>
      <c r="E140" s="176">
        <f t="shared" si="9"/>
        <v>0</v>
      </c>
      <c r="F140" s="176">
        <f>+Données!X140</f>
        <v>55</v>
      </c>
      <c r="G140" s="290">
        <f t="shared" si="10"/>
        <v>0</v>
      </c>
      <c r="H140" s="122">
        <f t="shared" si="11"/>
        <v>0.81359412121216823</v>
      </c>
      <c r="I140" s="42">
        <f t="shared" si="12"/>
        <v>0</v>
      </c>
    </row>
    <row r="141" spans="1:9" x14ac:dyDescent="0.25">
      <c r="A141" s="38">
        <f>Données!A141</f>
        <v>5639</v>
      </c>
      <c r="B141" s="27" t="str">
        <f>Données!B141</f>
        <v>Lully</v>
      </c>
      <c r="C141" s="31">
        <f>Données!Z141</f>
        <v>833</v>
      </c>
      <c r="D141" s="176">
        <f>Ecrêtage!E141</f>
        <v>61.159875622380106</v>
      </c>
      <c r="E141" s="176">
        <f t="shared" si="9"/>
        <v>0</v>
      </c>
      <c r="F141" s="176">
        <f>+Données!X141</f>
        <v>61</v>
      </c>
      <c r="G141" s="290">
        <f t="shared" si="10"/>
        <v>0</v>
      </c>
      <c r="H141" s="122">
        <f t="shared" si="11"/>
        <v>0.90234984352622294</v>
      </c>
      <c r="I141" s="42">
        <f t="shared" si="12"/>
        <v>0</v>
      </c>
    </row>
    <row r="142" spans="1:9" x14ac:dyDescent="0.25">
      <c r="A142" s="38">
        <f>Données!A142</f>
        <v>5640</v>
      </c>
      <c r="B142" s="27" t="str">
        <f>Données!B142</f>
        <v>Lussy-sur-Morges</v>
      </c>
      <c r="C142" s="31">
        <f>Données!Z142</f>
        <v>732</v>
      </c>
      <c r="D142" s="176">
        <f>Ecrêtage!E142</f>
        <v>73.350054422675385</v>
      </c>
      <c r="E142" s="176">
        <f t="shared" si="9"/>
        <v>0</v>
      </c>
      <c r="F142" s="176">
        <f>+Données!X142</f>
        <v>61.5</v>
      </c>
      <c r="G142" s="290">
        <f t="shared" si="10"/>
        <v>0</v>
      </c>
      <c r="H142" s="122">
        <f t="shared" si="11"/>
        <v>0.90974615371906087</v>
      </c>
      <c r="I142" s="42">
        <f t="shared" si="12"/>
        <v>0</v>
      </c>
    </row>
    <row r="143" spans="1:9" x14ac:dyDescent="0.25">
      <c r="A143" s="38">
        <f>Données!A143</f>
        <v>5642</v>
      </c>
      <c r="B143" s="27" t="str">
        <f>Données!B143</f>
        <v>Morges</v>
      </c>
      <c r="C143" s="31">
        <f>Données!Z143</f>
        <v>17755</v>
      </c>
      <c r="D143" s="176">
        <f>Ecrêtage!E143</f>
        <v>63.769953698138437</v>
      </c>
      <c r="E143" s="176">
        <f t="shared" si="9"/>
        <v>0</v>
      </c>
      <c r="F143" s="176">
        <f>+Données!X143</f>
        <v>67</v>
      </c>
      <c r="G143" s="290">
        <f t="shared" si="10"/>
        <v>0</v>
      </c>
      <c r="H143" s="122">
        <f t="shared" si="11"/>
        <v>0.99110556584027765</v>
      </c>
      <c r="I143" s="42">
        <f t="shared" si="12"/>
        <v>0</v>
      </c>
    </row>
    <row r="144" spans="1:9" x14ac:dyDescent="0.25">
      <c r="A144" s="38">
        <f>Données!A144</f>
        <v>5643</v>
      </c>
      <c r="B144" s="27" t="str">
        <f>Données!B144</f>
        <v>Préverenges</v>
      </c>
      <c r="C144" s="31">
        <f>Données!Z144</f>
        <v>5223</v>
      </c>
      <c r="D144" s="176">
        <f>Ecrêtage!E144</f>
        <v>47.678973861765265</v>
      </c>
      <c r="E144" s="176">
        <f t="shared" si="9"/>
        <v>1.7803534665550274</v>
      </c>
      <c r="F144" s="176">
        <f>+Données!X144</f>
        <v>62.5</v>
      </c>
      <c r="G144" s="290">
        <f t="shared" si="10"/>
        <v>-156917.01637941031</v>
      </c>
      <c r="H144" s="122">
        <f t="shared" si="11"/>
        <v>0.92453877410473662</v>
      </c>
      <c r="I144" s="42">
        <f t="shared" si="12"/>
        <v>-145075.86595959289</v>
      </c>
    </row>
    <row r="145" spans="1:9" x14ac:dyDescent="0.25">
      <c r="A145" s="38">
        <f>Données!A145</f>
        <v>5645</v>
      </c>
      <c r="B145" s="27" t="str">
        <f>Données!B145</f>
        <v>Romanel-sur-Morges</v>
      </c>
      <c r="C145" s="31">
        <f>Données!Z145</f>
        <v>462</v>
      </c>
      <c r="D145" s="176">
        <f>Ecrêtage!E145</f>
        <v>58.735007730364885</v>
      </c>
      <c r="E145" s="176">
        <f t="shared" si="9"/>
        <v>0</v>
      </c>
      <c r="F145" s="176">
        <f>+Données!X145</f>
        <v>56</v>
      </c>
      <c r="G145" s="290">
        <f t="shared" si="10"/>
        <v>0</v>
      </c>
      <c r="H145" s="122">
        <f t="shared" si="11"/>
        <v>0.82838674159784398</v>
      </c>
      <c r="I145" s="42">
        <f t="shared" si="12"/>
        <v>0</v>
      </c>
    </row>
    <row r="146" spans="1:9" x14ac:dyDescent="0.25">
      <c r="A146" s="38">
        <f>Données!A146</f>
        <v>5646</v>
      </c>
      <c r="B146" s="27" t="str">
        <f>Données!B146</f>
        <v>Saint-Prex</v>
      </c>
      <c r="C146" s="31">
        <f>Données!Z146</f>
        <v>5907</v>
      </c>
      <c r="D146" s="176">
        <f>Ecrêtage!E146</f>
        <v>88.893806720744053</v>
      </c>
      <c r="E146" s="176">
        <f t="shared" si="9"/>
        <v>0</v>
      </c>
      <c r="F146" s="176">
        <f>+Données!X146</f>
        <v>59</v>
      </c>
      <c r="G146" s="290">
        <f t="shared" si="10"/>
        <v>0</v>
      </c>
      <c r="H146" s="122">
        <f t="shared" si="11"/>
        <v>0.87276460275487133</v>
      </c>
      <c r="I146" s="42">
        <f t="shared" si="12"/>
        <v>0</v>
      </c>
    </row>
    <row r="147" spans="1:9" x14ac:dyDescent="0.25">
      <c r="A147" s="38">
        <f>Données!A147</f>
        <v>5648</v>
      </c>
      <c r="B147" s="27" t="str">
        <f>Données!B147</f>
        <v>Saint-Sulpice</v>
      </c>
      <c r="C147" s="31">
        <f>Données!Z147</f>
        <v>5138</v>
      </c>
      <c r="D147" s="176">
        <f>Ecrêtage!E147</f>
        <v>77.145461675926256</v>
      </c>
      <c r="E147" s="176">
        <f t="shared" si="9"/>
        <v>0</v>
      </c>
      <c r="F147" s="176">
        <f>+Données!X147</f>
        <v>55</v>
      </c>
      <c r="G147" s="290">
        <f t="shared" si="10"/>
        <v>0</v>
      </c>
      <c r="H147" s="122">
        <f t="shared" si="11"/>
        <v>0.81359412121216823</v>
      </c>
      <c r="I147" s="42">
        <f t="shared" si="12"/>
        <v>0</v>
      </c>
    </row>
    <row r="148" spans="1:9" x14ac:dyDescent="0.25">
      <c r="A148" s="38">
        <f>Données!A148</f>
        <v>5649</v>
      </c>
      <c r="B148" s="27" t="str">
        <f>Données!B148</f>
        <v>Tolochenaz</v>
      </c>
      <c r="C148" s="31">
        <f>Données!Z148</f>
        <v>1922</v>
      </c>
      <c r="D148" s="176">
        <f>Ecrêtage!E148</f>
        <v>146.36551939711234</v>
      </c>
      <c r="E148" s="176">
        <f t="shared" si="9"/>
        <v>0</v>
      </c>
      <c r="F148" s="176">
        <f>+Données!X148</f>
        <v>64</v>
      </c>
      <c r="G148" s="290">
        <f t="shared" si="10"/>
        <v>0</v>
      </c>
      <c r="H148" s="122">
        <f t="shared" si="11"/>
        <v>0.94672770468325029</v>
      </c>
      <c r="I148" s="42">
        <f t="shared" si="12"/>
        <v>0</v>
      </c>
    </row>
    <row r="149" spans="1:9" x14ac:dyDescent="0.25">
      <c r="A149" s="38">
        <f>Données!A149</f>
        <v>5650</v>
      </c>
      <c r="B149" s="27" t="str">
        <f>Données!B149</f>
        <v>Vaux-sur-Morges</v>
      </c>
      <c r="C149" s="31">
        <f>Données!Z149</f>
        <v>180</v>
      </c>
      <c r="D149" s="176">
        <f>Ecrêtage!E149</f>
        <v>533.70967757936512</v>
      </c>
      <c r="E149" s="176">
        <f t="shared" si="9"/>
        <v>0</v>
      </c>
      <c r="F149" s="176">
        <f>+Données!X149</f>
        <v>56</v>
      </c>
      <c r="G149" s="290">
        <f t="shared" si="10"/>
        <v>0</v>
      </c>
      <c r="H149" s="122">
        <f t="shared" si="11"/>
        <v>0.82838674159784398</v>
      </c>
      <c r="I149" s="42">
        <f t="shared" si="12"/>
        <v>0</v>
      </c>
    </row>
    <row r="150" spans="1:9" x14ac:dyDescent="0.25">
      <c r="A150" s="38">
        <f>Données!A150</f>
        <v>5651</v>
      </c>
      <c r="B150" s="27" t="str">
        <f>Données!B150</f>
        <v>Villars-Sainte-Croix</v>
      </c>
      <c r="C150" s="31">
        <f>Données!Z150</f>
        <v>980</v>
      </c>
      <c r="D150" s="176">
        <f>Ecrêtage!E150</f>
        <v>62.667362287063575</v>
      </c>
      <c r="E150" s="176">
        <f t="shared" si="9"/>
        <v>0</v>
      </c>
      <c r="F150" s="176">
        <f>+Données!X150</f>
        <v>60.5</v>
      </c>
      <c r="G150" s="290">
        <f t="shared" si="10"/>
        <v>0</v>
      </c>
      <c r="H150" s="122">
        <f t="shared" si="11"/>
        <v>0.89495353333338512</v>
      </c>
      <c r="I150" s="42">
        <f t="shared" si="12"/>
        <v>0</v>
      </c>
    </row>
    <row r="151" spans="1:9" x14ac:dyDescent="0.25">
      <c r="A151" s="38">
        <f>Données!A151</f>
        <v>5652</v>
      </c>
      <c r="B151" s="27" t="str">
        <f>Données!B151</f>
        <v>Villars-sous-Yens</v>
      </c>
      <c r="C151" s="31">
        <f>Données!Z151</f>
        <v>609</v>
      </c>
      <c r="D151" s="176">
        <f>Ecrêtage!E151</f>
        <v>47.925987274220034</v>
      </c>
      <c r="E151" s="176">
        <f t="shared" si="9"/>
        <v>1.5333400541002575</v>
      </c>
      <c r="F151" s="176">
        <f>+Données!X151</f>
        <v>76</v>
      </c>
      <c r="G151" s="290">
        <f t="shared" si="10"/>
        <v>-19161.659987273608</v>
      </c>
      <c r="H151" s="122">
        <f t="shared" si="11"/>
        <v>1.1242391493113597</v>
      </c>
      <c r="I151" s="42">
        <f t="shared" si="12"/>
        <v>-21542.288323486002</v>
      </c>
    </row>
    <row r="152" spans="1:9" x14ac:dyDescent="0.25">
      <c r="A152" s="38">
        <f>Données!A152</f>
        <v>5653</v>
      </c>
      <c r="B152" s="27" t="str">
        <f>Données!B152</f>
        <v>Vufflens-le-Château</v>
      </c>
      <c r="C152" s="31">
        <f>Données!Z152</f>
        <v>882</v>
      </c>
      <c r="D152" s="176">
        <f>Ecrêtage!E152</f>
        <v>75.68155990929705</v>
      </c>
      <c r="E152" s="176">
        <f t="shared" si="9"/>
        <v>0</v>
      </c>
      <c r="F152" s="176">
        <f>+Données!X152</f>
        <v>62.5</v>
      </c>
      <c r="G152" s="290">
        <f t="shared" si="10"/>
        <v>0</v>
      </c>
      <c r="H152" s="122">
        <f t="shared" si="11"/>
        <v>0.92453877410473662</v>
      </c>
      <c r="I152" s="42">
        <f t="shared" si="12"/>
        <v>0</v>
      </c>
    </row>
    <row r="153" spans="1:9" x14ac:dyDescent="0.25">
      <c r="A153" s="38">
        <f>Données!A153</f>
        <v>5654</v>
      </c>
      <c r="B153" s="27" t="str">
        <f>Données!B153</f>
        <v>Vullierens</v>
      </c>
      <c r="C153" s="31">
        <f>Données!Z153</f>
        <v>571</v>
      </c>
      <c r="D153" s="176">
        <f>Ecrêtage!E153</f>
        <v>38.459604571849937</v>
      </c>
      <c r="E153" s="176">
        <f t="shared" si="9"/>
        <v>10.999722756470355</v>
      </c>
      <c r="F153" s="176">
        <f>+Données!X153</f>
        <v>76</v>
      </c>
      <c r="G153" s="290">
        <f t="shared" si="10"/>
        <v>-128882.87155974263</v>
      </c>
      <c r="H153" s="122">
        <f t="shared" si="11"/>
        <v>1.1242391493113597</v>
      </c>
      <c r="I153" s="42">
        <f t="shared" si="12"/>
        <v>-144895.16988313029</v>
      </c>
    </row>
    <row r="154" spans="1:9" x14ac:dyDescent="0.25">
      <c r="A154" s="38">
        <f>Données!A154</f>
        <v>5655</v>
      </c>
      <c r="B154" s="27" t="str">
        <f>Données!B154</f>
        <v>Yens</v>
      </c>
      <c r="C154" s="31">
        <f>Données!Z154</f>
        <v>1505</v>
      </c>
      <c r="D154" s="176">
        <f>Ecrêtage!E154</f>
        <v>55.380552349311813</v>
      </c>
      <c r="E154" s="176">
        <f t="shared" si="9"/>
        <v>0</v>
      </c>
      <c r="F154" s="176">
        <f>+Données!X154</f>
        <v>70</v>
      </c>
      <c r="G154" s="290">
        <f t="shared" si="10"/>
        <v>0</v>
      </c>
      <c r="H154" s="122">
        <f t="shared" si="11"/>
        <v>1.035483426997305</v>
      </c>
      <c r="I154" s="42">
        <f t="shared" si="12"/>
        <v>0</v>
      </c>
    </row>
    <row r="155" spans="1:9" x14ac:dyDescent="0.25">
      <c r="A155" s="38">
        <f>Données!A155</f>
        <v>5656</v>
      </c>
      <c r="B155" s="27" t="str">
        <f>Données!B155</f>
        <v>Hautemorges</v>
      </c>
      <c r="C155" s="31">
        <f>Données!Z155</f>
        <v>4343</v>
      </c>
      <c r="D155" s="176">
        <f>Ecrêtage!E155</f>
        <v>38.674297542102728</v>
      </c>
      <c r="E155" s="176">
        <f t="shared" si="9"/>
        <v>10.785029786217564</v>
      </c>
      <c r="F155" s="176">
        <f>+Données!X155</f>
        <v>71</v>
      </c>
      <c r="G155" s="290">
        <f t="shared" si="10"/>
        <v>-897910.99821077706</v>
      </c>
      <c r="H155" s="122">
        <f t="shared" si="11"/>
        <v>1.0502760473829809</v>
      </c>
      <c r="I155" s="42">
        <f t="shared" si="12"/>
        <v>-943054.41410252172</v>
      </c>
    </row>
    <row r="156" spans="1:9" x14ac:dyDescent="0.25">
      <c r="A156" s="38">
        <f>Données!A156</f>
        <v>5661</v>
      </c>
      <c r="B156" s="27" t="str">
        <f>Données!B156</f>
        <v>Boulens</v>
      </c>
      <c r="C156" s="31">
        <f>Données!Z156</f>
        <v>379</v>
      </c>
      <c r="D156" s="176">
        <f>Ecrêtage!E156</f>
        <v>26.497388785357121</v>
      </c>
      <c r="E156" s="176">
        <f t="shared" si="9"/>
        <v>22.961938542963171</v>
      </c>
      <c r="F156" s="176">
        <f>+Données!X156</f>
        <v>71.5</v>
      </c>
      <c r="G156" s="290">
        <f t="shared" si="10"/>
        <v>-168003.20473375166</v>
      </c>
      <c r="H156" s="122">
        <f t="shared" si="11"/>
        <v>1.0576723575758187</v>
      </c>
      <c r="I156" s="42">
        <f t="shared" si="12"/>
        <v>-177692.34563104005</v>
      </c>
    </row>
    <row r="157" spans="1:9" x14ac:dyDescent="0.25">
      <c r="A157" s="38">
        <f>Données!A157</f>
        <v>5663</v>
      </c>
      <c r="B157" s="27" t="str">
        <f>Données!B157</f>
        <v>Bussy-sur-Moudon</v>
      </c>
      <c r="C157" s="31">
        <f>Données!Z157</f>
        <v>251</v>
      </c>
      <c r="D157" s="176">
        <f>Ecrêtage!E157</f>
        <v>28.348246758190164</v>
      </c>
      <c r="E157" s="176">
        <f t="shared" si="9"/>
        <v>21.111080570130127</v>
      </c>
      <c r="F157" s="176">
        <f>+Données!X157</f>
        <v>78.5</v>
      </c>
      <c r="G157" s="290">
        <f t="shared" si="10"/>
        <v>-112309.78752366094</v>
      </c>
      <c r="H157" s="122">
        <f t="shared" si="11"/>
        <v>1.1612207002755492</v>
      </c>
      <c r="I157" s="42">
        <f t="shared" si="12"/>
        <v>-130416.4501160237</v>
      </c>
    </row>
    <row r="158" spans="1:9" x14ac:dyDescent="0.25">
      <c r="A158" s="38">
        <f>Données!A158</f>
        <v>5665</v>
      </c>
      <c r="B158" s="27" t="str">
        <f>Données!B158</f>
        <v>Chavannes-sur-Moudon</v>
      </c>
      <c r="C158" s="31">
        <f>Données!Z158</f>
        <v>238</v>
      </c>
      <c r="D158" s="176">
        <f>Ecrêtage!E158</f>
        <v>24.821373349339733</v>
      </c>
      <c r="E158" s="176">
        <f t="shared" si="9"/>
        <v>24.637953978980558</v>
      </c>
      <c r="F158" s="176">
        <f>+Données!X158</f>
        <v>70</v>
      </c>
      <c r="G158" s="290">
        <f t="shared" si="10"/>
        <v>-110826.44458825035</v>
      </c>
      <c r="H158" s="122">
        <f t="shared" si="11"/>
        <v>1.035483426997305</v>
      </c>
      <c r="I158" s="42">
        <f t="shared" si="12"/>
        <v>-114758.94664416841</v>
      </c>
    </row>
    <row r="159" spans="1:9" x14ac:dyDescent="0.25">
      <c r="A159" s="38">
        <f>Données!A159</f>
        <v>5669</v>
      </c>
      <c r="B159" s="27" t="str">
        <f>Données!B159</f>
        <v>Curtilles</v>
      </c>
      <c r="C159" s="31">
        <f>Données!Z159</f>
        <v>310</v>
      </c>
      <c r="D159" s="176">
        <f>Ecrêtage!E159</f>
        <v>30.537606274856383</v>
      </c>
      <c r="E159" s="176">
        <f t="shared" si="9"/>
        <v>18.921721053463909</v>
      </c>
      <c r="F159" s="176">
        <f>+Données!X159</f>
        <v>73</v>
      </c>
      <c r="G159" s="290">
        <f t="shared" si="10"/>
        <v>-115613.60780876984</v>
      </c>
      <c r="H159" s="122">
        <f t="shared" si="11"/>
        <v>1.0798612881543324</v>
      </c>
      <c r="I159" s="42">
        <f t="shared" si="12"/>
        <v>-124846.65945654798</v>
      </c>
    </row>
    <row r="160" spans="1:9" x14ac:dyDescent="0.25">
      <c r="A160" s="38">
        <f>Données!A160</f>
        <v>5671</v>
      </c>
      <c r="B160" s="27" t="str">
        <f>Données!B160</f>
        <v>Dompierre</v>
      </c>
      <c r="C160" s="31">
        <f>Données!Z160</f>
        <v>253</v>
      </c>
      <c r="D160" s="176">
        <f>Ecrêtage!E160</f>
        <v>31.902541806020068</v>
      </c>
      <c r="E160" s="176">
        <f t="shared" si="9"/>
        <v>17.556785522300224</v>
      </c>
      <c r="F160" s="176">
        <f>+Données!X160</f>
        <v>78</v>
      </c>
      <c r="G160" s="290">
        <f t="shared" si="10"/>
        <v>-93545.713484209613</v>
      </c>
      <c r="H160" s="122">
        <f t="shared" si="11"/>
        <v>1.1538243900827114</v>
      </c>
      <c r="I160" s="42">
        <f t="shared" si="12"/>
        <v>-107935.32580577023</v>
      </c>
    </row>
    <row r="161" spans="1:9" x14ac:dyDescent="0.25">
      <c r="A161" s="38">
        <f>Données!A161</f>
        <v>5673</v>
      </c>
      <c r="B161" s="27" t="str">
        <f>Données!B161</f>
        <v>Hermenches</v>
      </c>
      <c r="C161" s="31">
        <f>Données!Z161</f>
        <v>377</v>
      </c>
      <c r="D161" s="176">
        <f>Ecrêtage!E161</f>
        <v>29.30594236633646</v>
      </c>
      <c r="E161" s="176">
        <f t="shared" si="9"/>
        <v>20.153384961983832</v>
      </c>
      <c r="F161" s="176">
        <f>+Données!X161</f>
        <v>73.5</v>
      </c>
      <c r="G161" s="290">
        <f t="shared" si="10"/>
        <v>-150778.8595631046</v>
      </c>
      <c r="H161" s="122">
        <f t="shared" si="11"/>
        <v>1.0872575983471704</v>
      </c>
      <c r="I161" s="42">
        <f t="shared" si="12"/>
        <v>-163935.4607301064</v>
      </c>
    </row>
    <row r="162" spans="1:9" x14ac:dyDescent="0.25">
      <c r="A162" s="38">
        <f>Données!A162</f>
        <v>5674</v>
      </c>
      <c r="B162" s="27" t="str">
        <f>Données!B162</f>
        <v>Lovatens</v>
      </c>
      <c r="C162" s="31">
        <f>Données!Z162</f>
        <v>142</v>
      </c>
      <c r="D162" s="176">
        <f>Ecrêtage!E162</f>
        <v>28.903079812206567</v>
      </c>
      <c r="E162" s="176">
        <f t="shared" si="9"/>
        <v>20.556247516113725</v>
      </c>
      <c r="F162" s="176">
        <f>+Données!X162</f>
        <v>75</v>
      </c>
      <c r="G162" s="290">
        <f t="shared" si="10"/>
        <v>-59109.489732585018</v>
      </c>
      <c r="H162" s="122">
        <f t="shared" si="11"/>
        <v>1.1094465289256841</v>
      </c>
      <c r="I162" s="42">
        <f t="shared" si="12"/>
        <v>-65578.818210384808</v>
      </c>
    </row>
    <row r="163" spans="1:9" x14ac:dyDescent="0.25">
      <c r="A163" s="38">
        <f>Données!A163</f>
        <v>5675</v>
      </c>
      <c r="B163" s="27" t="str">
        <f>Données!B163</f>
        <v>Lucens</v>
      </c>
      <c r="C163" s="31">
        <f>Données!Z163</f>
        <v>4599</v>
      </c>
      <c r="D163" s="176">
        <f>Ecrêtage!E163</f>
        <v>21.291598270218554</v>
      </c>
      <c r="E163" s="176">
        <f t="shared" si="9"/>
        <v>28.167729058101738</v>
      </c>
      <c r="F163" s="176">
        <f>+Données!X163</f>
        <v>69.5</v>
      </c>
      <c r="G163" s="290">
        <f t="shared" si="10"/>
        <v>-2430881.6371305087</v>
      </c>
      <c r="H163" s="122">
        <f t="shared" si="11"/>
        <v>1.0280871168044672</v>
      </c>
      <c r="I163" s="42">
        <f t="shared" si="12"/>
        <v>-2499158.0936104278</v>
      </c>
    </row>
    <row r="164" spans="1:9" x14ac:dyDescent="0.25">
      <c r="A164" s="38">
        <f>Données!A164</f>
        <v>5678</v>
      </c>
      <c r="B164" s="27" t="str">
        <f>Données!B164</f>
        <v>Moudon</v>
      </c>
      <c r="C164" s="31">
        <f>Données!Z164</f>
        <v>6375</v>
      </c>
      <c r="D164" s="176">
        <f>Ecrêtage!E164</f>
        <v>20.986059337390127</v>
      </c>
      <c r="E164" s="176">
        <f t="shared" si="9"/>
        <v>28.473267990930164</v>
      </c>
      <c r="F164" s="176">
        <f>+Données!X164</f>
        <v>72.5</v>
      </c>
      <c r="G164" s="290">
        <f t="shared" si="10"/>
        <v>-3553196.90838067</v>
      </c>
      <c r="H164" s="122">
        <f t="shared" si="11"/>
        <v>1.0724649779614945</v>
      </c>
      <c r="I164" s="42">
        <f t="shared" si="12"/>
        <v>-3810679.244039326</v>
      </c>
    </row>
    <row r="165" spans="1:9" x14ac:dyDescent="0.25">
      <c r="A165" s="38">
        <f>Données!A165</f>
        <v>5680</v>
      </c>
      <c r="B165" s="27" t="str">
        <f>Données!B165</f>
        <v>Ogens</v>
      </c>
      <c r="C165" s="31">
        <f>Données!Z165</f>
        <v>332</v>
      </c>
      <c r="D165" s="176">
        <f>Ecrêtage!E165</f>
        <v>23.823823241684682</v>
      </c>
      <c r="E165" s="176">
        <f t="shared" si="9"/>
        <v>25.63550408663561</v>
      </c>
      <c r="F165" s="176">
        <f>+Données!X165</f>
        <v>78</v>
      </c>
      <c r="G165" s="290">
        <f t="shared" si="10"/>
        <v>-179241.39373342926</v>
      </c>
      <c r="H165" s="122">
        <f t="shared" si="11"/>
        <v>1.1538243900827114</v>
      </c>
      <c r="I165" s="42">
        <f t="shared" si="12"/>
        <v>-206813.09180204914</v>
      </c>
    </row>
    <row r="166" spans="1:9" x14ac:dyDescent="0.25">
      <c r="A166" s="38">
        <f>Données!A166</f>
        <v>5683</v>
      </c>
      <c r="B166" s="27" t="str">
        <f>Données!B166</f>
        <v>Prévonloup</v>
      </c>
      <c r="C166" s="31">
        <f>Données!Z166</f>
        <v>226</v>
      </c>
      <c r="D166" s="176">
        <f>Ecrêtage!E166</f>
        <v>28.71228379615502</v>
      </c>
      <c r="E166" s="176">
        <f t="shared" si="9"/>
        <v>20.747043532165272</v>
      </c>
      <c r="F166" s="176">
        <f>+Données!X166</f>
        <v>72.5</v>
      </c>
      <c r="G166" s="290">
        <f t="shared" si="10"/>
        <v>-91783.88323412255</v>
      </c>
      <c r="H166" s="122">
        <f t="shared" si="11"/>
        <v>1.0724649779614945</v>
      </c>
      <c r="I166" s="42">
        <f t="shared" si="12"/>
        <v>-98435.000309903626</v>
      </c>
    </row>
    <row r="167" spans="1:9" x14ac:dyDescent="0.25">
      <c r="A167" s="38">
        <f>Données!A167</f>
        <v>5684</v>
      </c>
      <c r="B167" s="27" t="str">
        <f>Données!B167</f>
        <v>Rossenges</v>
      </c>
      <c r="C167" s="31">
        <f>Données!Z167</f>
        <v>88</v>
      </c>
      <c r="D167" s="176">
        <f>Ecrêtage!E167</f>
        <v>57.087211850649354</v>
      </c>
      <c r="E167" s="176">
        <f t="shared" si="9"/>
        <v>0</v>
      </c>
      <c r="F167" s="176">
        <f>+Données!X167</f>
        <v>70</v>
      </c>
      <c r="G167" s="290">
        <f t="shared" si="10"/>
        <v>0</v>
      </c>
      <c r="H167" s="122">
        <f t="shared" si="11"/>
        <v>1.035483426997305</v>
      </c>
      <c r="I167" s="42">
        <f t="shared" si="12"/>
        <v>0</v>
      </c>
    </row>
    <row r="168" spans="1:9" x14ac:dyDescent="0.25">
      <c r="A168" s="38">
        <f>Données!A168</f>
        <v>5688</v>
      </c>
      <c r="B168" s="27" t="str">
        <f>Données!B168</f>
        <v>Syens</v>
      </c>
      <c r="C168" s="31">
        <f>Données!Z168</f>
        <v>166</v>
      </c>
      <c r="D168" s="176">
        <f>Ecrêtage!E168</f>
        <v>31.477924003707134</v>
      </c>
      <c r="E168" s="176">
        <f t="shared" si="9"/>
        <v>17.981403324613158</v>
      </c>
      <c r="F168" s="176">
        <f>+Données!X168</f>
        <v>65</v>
      </c>
      <c r="G168" s="290">
        <f t="shared" si="10"/>
        <v>-52385.222305595518</v>
      </c>
      <c r="H168" s="122">
        <f t="shared" si="11"/>
        <v>0.96152032506892615</v>
      </c>
      <c r="I168" s="42">
        <f t="shared" si="12"/>
        <v>-50369.455980084167</v>
      </c>
    </row>
    <row r="169" spans="1:9" x14ac:dyDescent="0.25">
      <c r="A169" s="38">
        <f>Données!A169</f>
        <v>5690</v>
      </c>
      <c r="B169" s="27" t="str">
        <f>Données!B169</f>
        <v>Villars-le-Comte</v>
      </c>
      <c r="C169" s="31">
        <f>Données!Z169</f>
        <v>135</v>
      </c>
      <c r="D169" s="176">
        <f>Ecrêtage!E169</f>
        <v>32.468315904139438</v>
      </c>
      <c r="E169" s="176">
        <f t="shared" si="9"/>
        <v>16.991011424180854</v>
      </c>
      <c r="F169" s="176">
        <f>+Données!X169</f>
        <v>68</v>
      </c>
      <c r="G169" s="290">
        <f t="shared" si="10"/>
        <v>-42113.920915974675</v>
      </c>
      <c r="H169" s="122">
        <f t="shared" si="11"/>
        <v>1.0058981862259535</v>
      </c>
      <c r="I169" s="42">
        <f t="shared" si="12"/>
        <v>-42362.316664242171</v>
      </c>
    </row>
    <row r="170" spans="1:9" x14ac:dyDescent="0.25">
      <c r="A170" s="38">
        <f>Données!A170</f>
        <v>5692</v>
      </c>
      <c r="B170" s="27" t="str">
        <f>Données!B170</f>
        <v>Vucherens</v>
      </c>
      <c r="C170" s="31">
        <f>Données!Z170</f>
        <v>635</v>
      </c>
      <c r="D170" s="176">
        <f>Ecrêtage!E170</f>
        <v>28.98950363022804</v>
      </c>
      <c r="E170" s="176">
        <f t="shared" si="9"/>
        <v>20.469823698092252</v>
      </c>
      <c r="F170" s="176">
        <f>+Données!X170</f>
        <v>77</v>
      </c>
      <c r="G170" s="290">
        <f t="shared" si="10"/>
        <v>-270235.4480239196</v>
      </c>
      <c r="H170" s="122">
        <f t="shared" si="11"/>
        <v>1.1390317696970356</v>
      </c>
      <c r="I170" s="42">
        <f t="shared" si="12"/>
        <v>-307806.76059755642</v>
      </c>
    </row>
    <row r="171" spans="1:9" x14ac:dyDescent="0.25">
      <c r="A171" s="38">
        <f>Données!A171</f>
        <v>5693</v>
      </c>
      <c r="B171" s="27" t="str">
        <f>Données!B171</f>
        <v>Montanaire</v>
      </c>
      <c r="C171" s="31">
        <f>Données!Z171</f>
        <v>2835</v>
      </c>
      <c r="D171" s="176">
        <f>Ecrêtage!E171</f>
        <v>26.312577324263042</v>
      </c>
      <c r="E171" s="176">
        <f t="shared" si="9"/>
        <v>23.14675000405725</v>
      </c>
      <c r="F171" s="176">
        <f>+Données!X171</f>
        <v>70</v>
      </c>
      <c r="G171" s="290">
        <f t="shared" si="10"/>
        <v>-1240237.5853423937</v>
      </c>
      <c r="H171" s="122">
        <f t="shared" si="11"/>
        <v>1.035483426997305</v>
      </c>
      <c r="I171" s="42">
        <f t="shared" si="12"/>
        <v>-1284245.4651612043</v>
      </c>
    </row>
    <row r="172" spans="1:9" x14ac:dyDescent="0.25">
      <c r="A172" s="38">
        <f>Données!A172</f>
        <v>5701</v>
      </c>
      <c r="B172" s="27" t="str">
        <f>Données!B172</f>
        <v>Arnex-sur-Nyon</v>
      </c>
      <c r="C172" s="31">
        <f>Données!Z172</f>
        <v>242</v>
      </c>
      <c r="D172" s="176">
        <f>Ecrêtage!E172</f>
        <v>59.622433884297514</v>
      </c>
      <c r="E172" s="176">
        <f t="shared" si="9"/>
        <v>0</v>
      </c>
      <c r="F172" s="176">
        <f>+Données!X172</f>
        <v>70</v>
      </c>
      <c r="G172" s="290">
        <f t="shared" si="10"/>
        <v>0</v>
      </c>
      <c r="H172" s="122">
        <f t="shared" si="11"/>
        <v>1.035483426997305</v>
      </c>
      <c r="I172" s="42">
        <f t="shared" si="12"/>
        <v>0</v>
      </c>
    </row>
    <row r="173" spans="1:9" x14ac:dyDescent="0.25">
      <c r="A173" s="38">
        <f>Données!A173</f>
        <v>5702</v>
      </c>
      <c r="B173" s="27" t="str">
        <f>Données!B173</f>
        <v>Arzier-Le Muids</v>
      </c>
      <c r="C173" s="31">
        <f>Données!Z173</f>
        <v>2971</v>
      </c>
      <c r="D173" s="176">
        <f>Ecrêtage!E173</f>
        <v>63.494574480393815</v>
      </c>
      <c r="E173" s="176">
        <f t="shared" si="9"/>
        <v>0</v>
      </c>
      <c r="F173" s="176">
        <f>+Données!X173</f>
        <v>64</v>
      </c>
      <c r="G173" s="290">
        <f t="shared" si="10"/>
        <v>0</v>
      </c>
      <c r="H173" s="122">
        <f t="shared" si="11"/>
        <v>0.94672770468325029</v>
      </c>
      <c r="I173" s="42">
        <f t="shared" si="12"/>
        <v>0</v>
      </c>
    </row>
    <row r="174" spans="1:9" x14ac:dyDescent="0.25">
      <c r="A174" s="38">
        <f>Données!A174</f>
        <v>5703</v>
      </c>
      <c r="B174" s="27" t="str">
        <f>Données!B174</f>
        <v>Bassins</v>
      </c>
      <c r="C174" s="31">
        <f>Données!Z174</f>
        <v>1483</v>
      </c>
      <c r="D174" s="176">
        <f>Ecrêtage!E174</f>
        <v>44.585524323282925</v>
      </c>
      <c r="E174" s="176">
        <f t="shared" si="9"/>
        <v>4.8738030050373666</v>
      </c>
      <c r="F174" s="176">
        <f>+Données!X174</f>
        <v>72.5</v>
      </c>
      <c r="G174" s="290">
        <f t="shared" si="10"/>
        <v>-141485.16094040839</v>
      </c>
      <c r="H174" s="122">
        <f t="shared" si="11"/>
        <v>1.0724649779614945</v>
      </c>
      <c r="I174" s="42">
        <f t="shared" si="12"/>
        <v>-151737.88000983358</v>
      </c>
    </row>
    <row r="175" spans="1:9" x14ac:dyDescent="0.25">
      <c r="A175" s="38">
        <f>Données!A175</f>
        <v>5704</v>
      </c>
      <c r="B175" s="27" t="str">
        <f>Données!B175</f>
        <v>Begnins</v>
      </c>
      <c r="C175" s="31">
        <f>Données!Z175</f>
        <v>2008</v>
      </c>
      <c r="D175" s="176">
        <f>Ecrêtage!E175</f>
        <v>69.889449057104926</v>
      </c>
      <c r="E175" s="176">
        <f t="shared" si="9"/>
        <v>0</v>
      </c>
      <c r="F175" s="176">
        <f>+Données!X175</f>
        <v>62.5</v>
      </c>
      <c r="G175" s="290">
        <f t="shared" si="10"/>
        <v>0</v>
      </c>
      <c r="H175" s="122">
        <f t="shared" si="11"/>
        <v>0.92453877410473662</v>
      </c>
      <c r="I175" s="42">
        <f t="shared" si="12"/>
        <v>0</v>
      </c>
    </row>
    <row r="176" spans="1:9" x14ac:dyDescent="0.25">
      <c r="A176" s="38">
        <f>Données!A176</f>
        <v>5705</v>
      </c>
      <c r="B176" s="27" t="str">
        <f>Données!B176</f>
        <v>Bogis-Bossey</v>
      </c>
      <c r="C176" s="31">
        <f>Données!Z176</f>
        <v>983</v>
      </c>
      <c r="D176" s="176">
        <f>Ecrêtage!E176</f>
        <v>56.782647931502204</v>
      </c>
      <c r="E176" s="176">
        <f t="shared" si="9"/>
        <v>0</v>
      </c>
      <c r="F176" s="176">
        <f>+Données!X176</f>
        <v>72</v>
      </c>
      <c r="G176" s="290">
        <f t="shared" si="10"/>
        <v>0</v>
      </c>
      <c r="H176" s="122">
        <f t="shared" si="11"/>
        <v>1.0650686677686567</v>
      </c>
      <c r="I176" s="42">
        <f t="shared" si="12"/>
        <v>0</v>
      </c>
    </row>
    <row r="177" spans="1:9" x14ac:dyDescent="0.25">
      <c r="A177" s="38">
        <f>Données!A177</f>
        <v>5706</v>
      </c>
      <c r="B177" s="27" t="str">
        <f>Données!B177</f>
        <v>Borex</v>
      </c>
      <c r="C177" s="31">
        <f>Données!Z177</f>
        <v>1135</v>
      </c>
      <c r="D177" s="176">
        <f>Ecrêtage!E177</f>
        <v>63.026107118015318</v>
      </c>
      <c r="E177" s="176">
        <f t="shared" si="9"/>
        <v>0</v>
      </c>
      <c r="F177" s="176">
        <f>+Données!X177</f>
        <v>57</v>
      </c>
      <c r="G177" s="290">
        <f t="shared" si="10"/>
        <v>0</v>
      </c>
      <c r="H177" s="122">
        <f t="shared" si="11"/>
        <v>0.84317936198351984</v>
      </c>
      <c r="I177" s="42">
        <f t="shared" si="12"/>
        <v>0</v>
      </c>
    </row>
    <row r="178" spans="1:9" x14ac:dyDescent="0.25">
      <c r="A178" s="38">
        <f>Données!A178</f>
        <v>5707</v>
      </c>
      <c r="B178" s="27" t="str">
        <f>Données!B178</f>
        <v>Chavannes-de-Bogis</v>
      </c>
      <c r="C178" s="31">
        <f>Données!Z178</f>
        <v>1394</v>
      </c>
      <c r="D178" s="176">
        <f>Ecrêtage!E178</f>
        <v>66.295855555005843</v>
      </c>
      <c r="E178" s="176">
        <f t="shared" si="9"/>
        <v>0</v>
      </c>
      <c r="F178" s="176">
        <f>+Données!X178</f>
        <v>58</v>
      </c>
      <c r="G178" s="290">
        <f t="shared" si="10"/>
        <v>0</v>
      </c>
      <c r="H178" s="122">
        <f t="shared" si="11"/>
        <v>0.85797198236919558</v>
      </c>
      <c r="I178" s="42">
        <f t="shared" si="12"/>
        <v>0</v>
      </c>
    </row>
    <row r="179" spans="1:9" x14ac:dyDescent="0.25">
      <c r="A179" s="38">
        <f>Données!A179</f>
        <v>5708</v>
      </c>
      <c r="B179" s="27" t="str">
        <f>Données!B179</f>
        <v>Chavannes-des-Bois</v>
      </c>
      <c r="C179" s="31">
        <f>Données!Z179</f>
        <v>1011</v>
      </c>
      <c r="D179" s="176">
        <f>Ecrêtage!E179</f>
        <v>77.468538575667665</v>
      </c>
      <c r="E179" s="176">
        <f t="shared" si="9"/>
        <v>0</v>
      </c>
      <c r="F179" s="176">
        <f>+Données!X179</f>
        <v>68</v>
      </c>
      <c r="G179" s="290">
        <f t="shared" si="10"/>
        <v>0</v>
      </c>
      <c r="H179" s="122">
        <f t="shared" si="11"/>
        <v>1.0058981862259535</v>
      </c>
      <c r="I179" s="42">
        <f t="shared" si="12"/>
        <v>0</v>
      </c>
    </row>
    <row r="180" spans="1:9" x14ac:dyDescent="0.25">
      <c r="A180" s="38">
        <f>Données!A180</f>
        <v>5709</v>
      </c>
      <c r="B180" s="27" t="str">
        <f>Données!B180</f>
        <v>Chéserex</v>
      </c>
      <c r="C180" s="31">
        <f>Données!Z180</f>
        <v>1276</v>
      </c>
      <c r="D180" s="176">
        <f>Ecrêtage!E180</f>
        <v>86.560895891767018</v>
      </c>
      <c r="E180" s="176">
        <f t="shared" si="9"/>
        <v>0</v>
      </c>
      <c r="F180" s="176">
        <f>+Données!X180</f>
        <v>57</v>
      </c>
      <c r="G180" s="290">
        <f t="shared" si="10"/>
        <v>0</v>
      </c>
      <c r="H180" s="122">
        <f t="shared" si="11"/>
        <v>0.84317936198351984</v>
      </c>
      <c r="I180" s="42">
        <f t="shared" si="12"/>
        <v>0</v>
      </c>
    </row>
    <row r="181" spans="1:9" x14ac:dyDescent="0.25">
      <c r="A181" s="38">
        <f>Données!A181</f>
        <v>5710</v>
      </c>
      <c r="B181" s="27" t="str">
        <f>Données!B181</f>
        <v>Coinsins</v>
      </c>
      <c r="C181" s="31">
        <f>Données!Z181</f>
        <v>519</v>
      </c>
      <c r="D181" s="176">
        <f>Ecrêtage!E181</f>
        <v>60.206301711436026</v>
      </c>
      <c r="E181" s="176">
        <f t="shared" si="9"/>
        <v>0</v>
      </c>
      <c r="F181" s="176">
        <f>+Données!X181</f>
        <v>51</v>
      </c>
      <c r="G181" s="290">
        <f t="shared" si="10"/>
        <v>0</v>
      </c>
      <c r="H181" s="122">
        <f t="shared" si="11"/>
        <v>0.75442363966946513</v>
      </c>
      <c r="I181" s="42">
        <f t="shared" si="12"/>
        <v>0</v>
      </c>
    </row>
    <row r="182" spans="1:9" x14ac:dyDescent="0.25">
      <c r="A182" s="38">
        <f>Données!A182</f>
        <v>5711</v>
      </c>
      <c r="B182" s="27" t="str">
        <f>Données!B182</f>
        <v>Commugny</v>
      </c>
      <c r="C182" s="31">
        <f>Données!Z182</f>
        <v>2993</v>
      </c>
      <c r="D182" s="176">
        <f>Ecrêtage!E182</f>
        <v>88.273343212434966</v>
      </c>
      <c r="E182" s="176">
        <f t="shared" si="9"/>
        <v>0</v>
      </c>
      <c r="F182" s="176">
        <f>+Données!X182</f>
        <v>57</v>
      </c>
      <c r="G182" s="290">
        <f t="shared" si="10"/>
        <v>0</v>
      </c>
      <c r="H182" s="122">
        <f t="shared" si="11"/>
        <v>0.84317936198351984</v>
      </c>
      <c r="I182" s="42">
        <f t="shared" si="12"/>
        <v>0</v>
      </c>
    </row>
    <row r="183" spans="1:9" x14ac:dyDescent="0.25">
      <c r="A183" s="38">
        <f>Données!A183</f>
        <v>5712</v>
      </c>
      <c r="B183" s="27" t="str">
        <f>Données!B183</f>
        <v>Coppet</v>
      </c>
      <c r="C183" s="31">
        <f>Données!Z183</f>
        <v>3183</v>
      </c>
      <c r="D183" s="176">
        <f>Ecrêtage!E183</f>
        <v>119.9782162815716</v>
      </c>
      <c r="E183" s="176">
        <f t="shared" si="9"/>
        <v>0</v>
      </c>
      <c r="F183" s="176">
        <f>+Données!X183</f>
        <v>55</v>
      </c>
      <c r="G183" s="290">
        <f t="shared" si="10"/>
        <v>0</v>
      </c>
      <c r="H183" s="122">
        <f t="shared" si="11"/>
        <v>0.81359412121216823</v>
      </c>
      <c r="I183" s="42">
        <f t="shared" si="12"/>
        <v>0</v>
      </c>
    </row>
    <row r="184" spans="1:9" x14ac:dyDescent="0.25">
      <c r="A184" s="38">
        <f>Données!A184</f>
        <v>5713</v>
      </c>
      <c r="B184" s="27" t="str">
        <f>Données!B184</f>
        <v>Crans</v>
      </c>
      <c r="C184" s="31">
        <f>Données!Z184</f>
        <v>2424</v>
      </c>
      <c r="D184" s="176">
        <f>Ecrêtage!E184</f>
        <v>125.09837962186047</v>
      </c>
      <c r="E184" s="176">
        <f t="shared" si="9"/>
        <v>0</v>
      </c>
      <c r="F184" s="176">
        <f>+Données!X184</f>
        <v>59</v>
      </c>
      <c r="G184" s="290">
        <f t="shared" si="10"/>
        <v>0</v>
      </c>
      <c r="H184" s="122">
        <f t="shared" si="11"/>
        <v>0.87276460275487133</v>
      </c>
      <c r="I184" s="42">
        <f t="shared" si="12"/>
        <v>0</v>
      </c>
    </row>
    <row r="185" spans="1:9" x14ac:dyDescent="0.25">
      <c r="A185" s="38">
        <f>Données!A185</f>
        <v>5714</v>
      </c>
      <c r="B185" s="27" t="str">
        <f>Données!B185</f>
        <v>Crassier</v>
      </c>
      <c r="C185" s="31">
        <f>Données!Z185</f>
        <v>1273</v>
      </c>
      <c r="D185" s="176">
        <f>Ecrêtage!E185</f>
        <v>51.941036211896595</v>
      </c>
      <c r="E185" s="176">
        <f t="shared" si="9"/>
        <v>0</v>
      </c>
      <c r="F185" s="176">
        <f>+Données!X185</f>
        <v>66.5</v>
      </c>
      <c r="G185" s="290">
        <f t="shared" si="10"/>
        <v>0</v>
      </c>
      <c r="H185" s="122">
        <f t="shared" si="11"/>
        <v>0.98370925564743983</v>
      </c>
      <c r="I185" s="42">
        <f t="shared" si="12"/>
        <v>0</v>
      </c>
    </row>
    <row r="186" spans="1:9" x14ac:dyDescent="0.25">
      <c r="A186" s="38">
        <f>Données!A186</f>
        <v>5715</v>
      </c>
      <c r="B186" s="27" t="str">
        <f>Données!B186</f>
        <v>Duillier</v>
      </c>
      <c r="C186" s="31">
        <f>Données!Z186</f>
        <v>1115</v>
      </c>
      <c r="D186" s="176">
        <f>Ecrêtage!E186</f>
        <v>55.682488381573584</v>
      </c>
      <c r="E186" s="176">
        <f t="shared" si="9"/>
        <v>0</v>
      </c>
      <c r="F186" s="176">
        <f>+Données!X186</f>
        <v>66</v>
      </c>
      <c r="G186" s="290">
        <f t="shared" si="10"/>
        <v>0</v>
      </c>
      <c r="H186" s="122">
        <f t="shared" si="11"/>
        <v>0.9763129454546019</v>
      </c>
      <c r="I186" s="42">
        <f t="shared" si="12"/>
        <v>0</v>
      </c>
    </row>
    <row r="187" spans="1:9" x14ac:dyDescent="0.25">
      <c r="A187" s="38">
        <f>Données!A187</f>
        <v>5716</v>
      </c>
      <c r="B187" s="27" t="str">
        <f>Données!B187</f>
        <v>Eysins</v>
      </c>
      <c r="C187" s="31">
        <f>Données!Z187</f>
        <v>1739</v>
      </c>
      <c r="D187" s="176">
        <f>Ecrêtage!E187</f>
        <v>152.00964680754421</v>
      </c>
      <c r="E187" s="176">
        <f t="shared" si="9"/>
        <v>0</v>
      </c>
      <c r="F187" s="176">
        <f>+Données!X187</f>
        <v>59.5</v>
      </c>
      <c r="G187" s="290">
        <f t="shared" si="10"/>
        <v>0</v>
      </c>
      <c r="H187" s="122">
        <f t="shared" si="11"/>
        <v>0.88016091294770926</v>
      </c>
      <c r="I187" s="42">
        <f t="shared" si="12"/>
        <v>0</v>
      </c>
    </row>
    <row r="188" spans="1:9" x14ac:dyDescent="0.25">
      <c r="A188" s="38">
        <f>Données!A188</f>
        <v>5717</v>
      </c>
      <c r="B188" s="27" t="str">
        <f>Données!B188</f>
        <v>Founex</v>
      </c>
      <c r="C188" s="31">
        <f>Données!Z188</f>
        <v>3792</v>
      </c>
      <c r="D188" s="176">
        <f>Ecrêtage!E188</f>
        <v>103.15713755644387</v>
      </c>
      <c r="E188" s="176">
        <f t="shared" si="9"/>
        <v>0</v>
      </c>
      <c r="F188" s="176">
        <f>+Données!X188</f>
        <v>57</v>
      </c>
      <c r="G188" s="290">
        <f t="shared" si="10"/>
        <v>0</v>
      </c>
      <c r="H188" s="122">
        <f t="shared" si="11"/>
        <v>0.84317936198351984</v>
      </c>
      <c r="I188" s="42">
        <f t="shared" si="12"/>
        <v>0</v>
      </c>
    </row>
    <row r="189" spans="1:9" x14ac:dyDescent="0.25">
      <c r="A189" s="38">
        <f>Données!A189</f>
        <v>5718</v>
      </c>
      <c r="B189" s="27" t="str">
        <f>Données!B189</f>
        <v>Genolier</v>
      </c>
      <c r="C189" s="31">
        <f>Données!Z189</f>
        <v>2038</v>
      </c>
      <c r="D189" s="176">
        <f>Ecrêtage!E189</f>
        <v>97.94516060240052</v>
      </c>
      <c r="E189" s="176">
        <f t="shared" si="9"/>
        <v>0</v>
      </c>
      <c r="F189" s="176">
        <f>+Données!X189</f>
        <v>52</v>
      </c>
      <c r="G189" s="290">
        <f t="shared" si="10"/>
        <v>0</v>
      </c>
      <c r="H189" s="122">
        <f t="shared" si="11"/>
        <v>0.76921626005514088</v>
      </c>
      <c r="I189" s="42">
        <f t="shared" si="12"/>
        <v>0</v>
      </c>
    </row>
    <row r="190" spans="1:9" x14ac:dyDescent="0.25">
      <c r="A190" s="38">
        <f>Données!A190</f>
        <v>5719</v>
      </c>
      <c r="B190" s="27" t="str">
        <f>Données!B190</f>
        <v>Gingins</v>
      </c>
      <c r="C190" s="31">
        <f>Données!Z190</f>
        <v>1262</v>
      </c>
      <c r="D190" s="176">
        <f>Ecrêtage!E190</f>
        <v>114.12386789047365</v>
      </c>
      <c r="E190" s="176">
        <f t="shared" si="9"/>
        <v>0</v>
      </c>
      <c r="F190" s="176">
        <f>+Données!X190</f>
        <v>60</v>
      </c>
      <c r="G190" s="290">
        <f t="shared" si="10"/>
        <v>0</v>
      </c>
      <c r="H190" s="122">
        <f t="shared" si="11"/>
        <v>0.88755722314054719</v>
      </c>
      <c r="I190" s="42">
        <f t="shared" si="12"/>
        <v>0</v>
      </c>
    </row>
    <row r="191" spans="1:9" x14ac:dyDescent="0.25">
      <c r="A191" s="38">
        <f>Données!A191</f>
        <v>5720</v>
      </c>
      <c r="B191" s="27" t="str">
        <f>Données!B191</f>
        <v>Givrins</v>
      </c>
      <c r="C191" s="31">
        <f>Données!Z191</f>
        <v>1019</v>
      </c>
      <c r="D191" s="176">
        <f>Ecrêtage!E191</f>
        <v>77.967519858997449</v>
      </c>
      <c r="E191" s="176">
        <f t="shared" si="9"/>
        <v>0</v>
      </c>
      <c r="F191" s="176">
        <f>+Données!X191</f>
        <v>67</v>
      </c>
      <c r="G191" s="290">
        <f t="shared" si="10"/>
        <v>0</v>
      </c>
      <c r="H191" s="122">
        <f t="shared" si="11"/>
        <v>0.99110556584027765</v>
      </c>
      <c r="I191" s="42">
        <f t="shared" si="12"/>
        <v>0</v>
      </c>
    </row>
    <row r="192" spans="1:9" x14ac:dyDescent="0.25">
      <c r="A192" s="38">
        <f>Données!A192</f>
        <v>5721</v>
      </c>
      <c r="B192" s="27" t="str">
        <f>Données!B192</f>
        <v>Gland</v>
      </c>
      <c r="C192" s="31">
        <f>Données!Z192</f>
        <v>13976</v>
      </c>
      <c r="D192" s="176">
        <f>Ecrêtage!E192</f>
        <v>52.227664532641434</v>
      </c>
      <c r="E192" s="176">
        <f t="shared" si="9"/>
        <v>0</v>
      </c>
      <c r="F192" s="176">
        <f>+Données!X192</f>
        <v>61</v>
      </c>
      <c r="G192" s="290">
        <f t="shared" si="10"/>
        <v>0</v>
      </c>
      <c r="H192" s="122">
        <f t="shared" si="11"/>
        <v>0.90234984352622294</v>
      </c>
      <c r="I192" s="42">
        <f t="shared" si="12"/>
        <v>0</v>
      </c>
    </row>
    <row r="193" spans="1:9" x14ac:dyDescent="0.25">
      <c r="A193" s="38">
        <f>Données!A193</f>
        <v>5722</v>
      </c>
      <c r="B193" s="27" t="str">
        <f>Données!B193</f>
        <v>Grens</v>
      </c>
      <c r="C193" s="31">
        <f>Données!Z193</f>
        <v>392</v>
      </c>
      <c r="D193" s="176">
        <f>Ecrêtage!E193</f>
        <v>55.713613396971709</v>
      </c>
      <c r="E193" s="176">
        <f t="shared" si="9"/>
        <v>0</v>
      </c>
      <c r="F193" s="176">
        <f>+Données!X193</f>
        <v>62</v>
      </c>
      <c r="G193" s="290">
        <f t="shared" si="10"/>
        <v>0</v>
      </c>
      <c r="H193" s="122">
        <f t="shared" si="11"/>
        <v>0.9171424639118988</v>
      </c>
      <c r="I193" s="42">
        <f t="shared" si="12"/>
        <v>0</v>
      </c>
    </row>
    <row r="194" spans="1:9" x14ac:dyDescent="0.25">
      <c r="A194" s="38">
        <f>Données!A194</f>
        <v>5723</v>
      </c>
      <c r="B194" s="27" t="str">
        <f>Données!B194</f>
        <v>Mies</v>
      </c>
      <c r="C194" s="31">
        <f>Données!Z194</f>
        <v>2171</v>
      </c>
      <c r="D194" s="176">
        <f>Ecrêtage!E194</f>
        <v>116.62808445239698</v>
      </c>
      <c r="E194" s="176">
        <f t="shared" si="9"/>
        <v>0</v>
      </c>
      <c r="F194" s="176">
        <f>+Données!X194</f>
        <v>52</v>
      </c>
      <c r="G194" s="290">
        <f t="shared" si="10"/>
        <v>0</v>
      </c>
      <c r="H194" s="122">
        <f t="shared" si="11"/>
        <v>0.76921626005514088</v>
      </c>
      <c r="I194" s="42">
        <f t="shared" si="12"/>
        <v>0</v>
      </c>
    </row>
    <row r="195" spans="1:9" x14ac:dyDescent="0.25">
      <c r="A195" s="38">
        <f>Données!A195</f>
        <v>5724</v>
      </c>
      <c r="B195" s="27" t="str">
        <f>Données!B195</f>
        <v>Nyon</v>
      </c>
      <c r="C195" s="31">
        <f>Données!Z195</f>
        <v>22978</v>
      </c>
      <c r="D195" s="176">
        <f>Ecrêtage!E195</f>
        <v>72.377492179499797</v>
      </c>
      <c r="E195" s="176">
        <f t="shared" si="9"/>
        <v>0</v>
      </c>
      <c r="F195" s="176">
        <f>+Données!X195</f>
        <v>61</v>
      </c>
      <c r="G195" s="290">
        <f t="shared" si="10"/>
        <v>0</v>
      </c>
      <c r="H195" s="122">
        <f t="shared" si="11"/>
        <v>0.90234984352622294</v>
      </c>
      <c r="I195" s="42">
        <f t="shared" si="12"/>
        <v>0</v>
      </c>
    </row>
    <row r="196" spans="1:9" x14ac:dyDescent="0.25">
      <c r="A196" s="38">
        <f>Données!A196</f>
        <v>5725</v>
      </c>
      <c r="B196" s="27" t="str">
        <f>Données!B196</f>
        <v>Prangins</v>
      </c>
      <c r="C196" s="31">
        <f>Données!Z196</f>
        <v>4284</v>
      </c>
      <c r="D196" s="176">
        <f>Ecrêtage!E196</f>
        <v>79.756039658287548</v>
      </c>
      <c r="E196" s="176">
        <f t="shared" si="9"/>
        <v>0</v>
      </c>
      <c r="F196" s="176">
        <f>+Données!X196</f>
        <v>55</v>
      </c>
      <c r="G196" s="290">
        <f t="shared" si="10"/>
        <v>0</v>
      </c>
      <c r="H196" s="122">
        <f t="shared" si="11"/>
        <v>0.81359412121216823</v>
      </c>
      <c r="I196" s="42">
        <f t="shared" si="12"/>
        <v>0</v>
      </c>
    </row>
    <row r="197" spans="1:9" x14ac:dyDescent="0.25">
      <c r="A197" s="38">
        <f>Données!A197</f>
        <v>5726</v>
      </c>
      <c r="B197" s="27" t="str">
        <f>Données!B197</f>
        <v>La Rippe</v>
      </c>
      <c r="C197" s="31">
        <f>Données!Z197</f>
        <v>1206</v>
      </c>
      <c r="D197" s="176">
        <f>Ecrêtage!E197</f>
        <v>58.980987973518239</v>
      </c>
      <c r="E197" s="176">
        <f t="shared" si="9"/>
        <v>0</v>
      </c>
      <c r="F197" s="176">
        <f>+Données!X197</f>
        <v>63.5</v>
      </c>
      <c r="G197" s="290">
        <f t="shared" si="10"/>
        <v>0</v>
      </c>
      <c r="H197" s="122">
        <f t="shared" si="11"/>
        <v>0.93933139449041247</v>
      </c>
      <c r="I197" s="42">
        <f t="shared" si="12"/>
        <v>0</v>
      </c>
    </row>
    <row r="198" spans="1:9" x14ac:dyDescent="0.25">
      <c r="A198" s="38">
        <f>Données!A198</f>
        <v>5727</v>
      </c>
      <c r="B198" s="27" t="str">
        <f>Données!B198</f>
        <v>Saint-Cergue</v>
      </c>
      <c r="C198" s="31">
        <f>Données!Z198</f>
        <v>2916</v>
      </c>
      <c r="D198" s="176">
        <f>Ecrêtage!E198</f>
        <v>37.300040857823781</v>
      </c>
      <c r="E198" s="176">
        <f t="shared" si="9"/>
        <v>12.159286470496511</v>
      </c>
      <c r="F198" s="176">
        <f>+Données!X198</f>
        <v>66</v>
      </c>
      <c r="G198" s="290">
        <f t="shared" si="10"/>
        <v>-631834.46198078664</v>
      </c>
      <c r="H198" s="122">
        <f t="shared" si="11"/>
        <v>0.9763129454546019</v>
      </c>
      <c r="I198" s="42">
        <f t="shared" si="12"/>
        <v>-616868.16461618547</v>
      </c>
    </row>
    <row r="199" spans="1:9" x14ac:dyDescent="0.25">
      <c r="A199" s="38">
        <f>Données!A199</f>
        <v>5728</v>
      </c>
      <c r="B199" s="27" t="str">
        <f>Données!B199</f>
        <v>Signy-Avenex</v>
      </c>
      <c r="C199" s="31">
        <f>Données!Z199</f>
        <v>606</v>
      </c>
      <c r="D199" s="176">
        <f>Ecrêtage!E199</f>
        <v>90.652194719471936</v>
      </c>
      <c r="E199" s="176">
        <f t="shared" ref="E199:E262" si="13">IF($D$306-D199&lt;0,0,$D$306-D199)</f>
        <v>0</v>
      </c>
      <c r="F199" s="176">
        <f>+Données!X199</f>
        <v>58</v>
      </c>
      <c r="G199" s="290">
        <f t="shared" ref="G199:G262" si="14">-((C199*E199*F199)*$E$5)</f>
        <v>0</v>
      </c>
      <c r="H199" s="122">
        <f t="shared" ref="H199:H262" si="15">F199/$F$306</f>
        <v>0.85797198236919558</v>
      </c>
      <c r="I199" s="42">
        <f t="shared" ref="I199:I262" si="16">G199*H199</f>
        <v>0</v>
      </c>
    </row>
    <row r="200" spans="1:9" x14ac:dyDescent="0.25">
      <c r="A200" s="38">
        <f>Données!A200</f>
        <v>5729</v>
      </c>
      <c r="B200" s="27" t="str">
        <f>Données!B200</f>
        <v>Tannay</v>
      </c>
      <c r="C200" s="31">
        <f>Données!Z200</f>
        <v>1715</v>
      </c>
      <c r="D200" s="176">
        <f>Ecrêtage!E200</f>
        <v>117.07074669301015</v>
      </c>
      <c r="E200" s="176">
        <f t="shared" si="13"/>
        <v>0</v>
      </c>
      <c r="F200" s="176">
        <f>+Données!X200</f>
        <v>60.5</v>
      </c>
      <c r="G200" s="290">
        <f t="shared" si="14"/>
        <v>0</v>
      </c>
      <c r="H200" s="122">
        <f t="shared" si="15"/>
        <v>0.89495353333338512</v>
      </c>
      <c r="I200" s="42">
        <f t="shared" si="16"/>
        <v>0</v>
      </c>
    </row>
    <row r="201" spans="1:9" x14ac:dyDescent="0.25">
      <c r="A201" s="38">
        <f>Données!A201</f>
        <v>5730</v>
      </c>
      <c r="B201" s="27" t="str">
        <f>Données!B201</f>
        <v>Trélex</v>
      </c>
      <c r="C201" s="31">
        <f>Données!Z201</f>
        <v>1447</v>
      </c>
      <c r="D201" s="176">
        <f>Ecrêtage!E201</f>
        <v>101.21814520809681</v>
      </c>
      <c r="E201" s="176">
        <f t="shared" si="13"/>
        <v>0</v>
      </c>
      <c r="F201" s="176">
        <f>+Données!X201</f>
        <v>55.5</v>
      </c>
      <c r="G201" s="290">
        <f t="shared" si="14"/>
        <v>0</v>
      </c>
      <c r="H201" s="122">
        <f t="shared" si="15"/>
        <v>0.82099043140500616</v>
      </c>
      <c r="I201" s="42">
        <f t="shared" si="16"/>
        <v>0</v>
      </c>
    </row>
    <row r="202" spans="1:9" x14ac:dyDescent="0.25">
      <c r="A202" s="38">
        <f>Données!A202</f>
        <v>5731</v>
      </c>
      <c r="B202" s="27" t="str">
        <f>Données!B202</f>
        <v>Le Vaud</v>
      </c>
      <c r="C202" s="31">
        <f>Données!Z202</f>
        <v>1413</v>
      </c>
      <c r="D202" s="176">
        <f>Ecrêtage!E202</f>
        <v>50.176375954525334</v>
      </c>
      <c r="E202" s="176">
        <f t="shared" si="13"/>
        <v>0</v>
      </c>
      <c r="F202" s="176">
        <f>+Données!X202</f>
        <v>73</v>
      </c>
      <c r="G202" s="290">
        <f t="shared" si="14"/>
        <v>0</v>
      </c>
      <c r="H202" s="122">
        <f t="shared" si="15"/>
        <v>1.0798612881543324</v>
      </c>
      <c r="I202" s="42">
        <f t="shared" si="16"/>
        <v>0</v>
      </c>
    </row>
    <row r="203" spans="1:9" x14ac:dyDescent="0.25">
      <c r="A203" s="38">
        <f>Données!A203</f>
        <v>5732</v>
      </c>
      <c r="B203" s="27" t="str">
        <f>Données!B203</f>
        <v>Vich</v>
      </c>
      <c r="C203" s="31">
        <f>Données!Z203</f>
        <v>1174</v>
      </c>
      <c r="D203" s="176">
        <f>Ecrêtage!E203</f>
        <v>71.476834455531218</v>
      </c>
      <c r="E203" s="176">
        <f t="shared" si="13"/>
        <v>0</v>
      </c>
      <c r="F203" s="176">
        <f>+Données!X203</f>
        <v>63</v>
      </c>
      <c r="G203" s="290">
        <f t="shared" si="14"/>
        <v>0</v>
      </c>
      <c r="H203" s="122">
        <f t="shared" si="15"/>
        <v>0.93193508429757455</v>
      </c>
      <c r="I203" s="42">
        <f t="shared" si="16"/>
        <v>0</v>
      </c>
    </row>
    <row r="204" spans="1:9" x14ac:dyDescent="0.25">
      <c r="A204" s="38">
        <f>Données!A204</f>
        <v>5741</v>
      </c>
      <c r="B204" s="27" t="str">
        <f>Données!B204</f>
        <v>L'Abergement</v>
      </c>
      <c r="C204" s="31">
        <f>Données!Z204</f>
        <v>268</v>
      </c>
      <c r="D204" s="176">
        <f>Ecrêtage!E204</f>
        <v>30.87954780783582</v>
      </c>
      <c r="E204" s="176">
        <f t="shared" si="13"/>
        <v>18.579779520484472</v>
      </c>
      <c r="F204" s="176">
        <f>+Données!X204</f>
        <v>80</v>
      </c>
      <c r="G204" s="290">
        <f t="shared" si="14"/>
        <v>-107554.62768818052</v>
      </c>
      <c r="H204" s="122">
        <f t="shared" si="15"/>
        <v>1.1834096308540629</v>
      </c>
      <c r="I204" s="42">
        <f t="shared" si="16"/>
        <v>-127281.1822491159</v>
      </c>
    </row>
    <row r="205" spans="1:9" x14ac:dyDescent="0.25">
      <c r="A205" s="38">
        <f>Données!A205</f>
        <v>5742</v>
      </c>
      <c r="B205" s="27" t="str">
        <f>Données!B205</f>
        <v>Agiez</v>
      </c>
      <c r="C205" s="31">
        <f>Données!Z205</f>
        <v>383</v>
      </c>
      <c r="D205" s="176">
        <f>Ecrêtage!E205</f>
        <v>24.043452315514642</v>
      </c>
      <c r="E205" s="176">
        <f t="shared" si="13"/>
        <v>25.41587501280565</v>
      </c>
      <c r="F205" s="176">
        <f>+Données!X205</f>
        <v>76</v>
      </c>
      <c r="G205" s="290">
        <f t="shared" si="14"/>
        <v>-199747.42826564168</v>
      </c>
      <c r="H205" s="122">
        <f t="shared" si="15"/>
        <v>1.1242391493113597</v>
      </c>
      <c r="I205" s="42">
        <f t="shared" si="16"/>
        <v>-224563.87883049683</v>
      </c>
    </row>
    <row r="206" spans="1:9" x14ac:dyDescent="0.25">
      <c r="A206" s="38">
        <f>Données!A206</f>
        <v>5743</v>
      </c>
      <c r="B206" s="27" t="str">
        <f>Données!B206</f>
        <v>Arnex-sur-Orbe</v>
      </c>
      <c r="C206" s="31">
        <f>Données!Z206</f>
        <v>661</v>
      </c>
      <c r="D206" s="176">
        <f>Ecrêtage!E206</f>
        <v>28.928997198014109</v>
      </c>
      <c r="E206" s="176">
        <f t="shared" si="13"/>
        <v>20.530330130306183</v>
      </c>
      <c r="F206" s="176">
        <f>+Données!X206</f>
        <v>71</v>
      </c>
      <c r="G206" s="290">
        <f t="shared" si="14"/>
        <v>-260147.40930325785</v>
      </c>
      <c r="H206" s="122">
        <f t="shared" si="15"/>
        <v>1.0502760473829809</v>
      </c>
      <c r="I206" s="42">
        <f t="shared" si="16"/>
        <v>-273226.59277994814</v>
      </c>
    </row>
    <row r="207" spans="1:9" x14ac:dyDescent="0.25">
      <c r="A207" s="38">
        <f>Données!A207</f>
        <v>5744</v>
      </c>
      <c r="B207" s="27" t="str">
        <f>Données!B207</f>
        <v>Ballaigues</v>
      </c>
      <c r="C207" s="31">
        <f>Données!Z207</f>
        <v>1193</v>
      </c>
      <c r="D207" s="176">
        <f>Ecrêtage!E207</f>
        <v>51.1305810819524</v>
      </c>
      <c r="E207" s="176">
        <f t="shared" si="13"/>
        <v>0</v>
      </c>
      <c r="F207" s="176">
        <f>+Données!X207</f>
        <v>65</v>
      </c>
      <c r="G207" s="290">
        <f t="shared" si="14"/>
        <v>0</v>
      </c>
      <c r="H207" s="122">
        <f t="shared" si="15"/>
        <v>0.96152032506892615</v>
      </c>
      <c r="I207" s="42">
        <f t="shared" si="16"/>
        <v>0</v>
      </c>
    </row>
    <row r="208" spans="1:9" x14ac:dyDescent="0.25">
      <c r="A208" s="38">
        <f>Données!A208</f>
        <v>5745</v>
      </c>
      <c r="B208" s="27" t="str">
        <f>Données!B208</f>
        <v>Baulmes</v>
      </c>
      <c r="C208" s="31">
        <f>Données!Z208</f>
        <v>1146</v>
      </c>
      <c r="D208" s="176">
        <f>Ecrêtage!E208</f>
        <v>25.434537635880414</v>
      </c>
      <c r="E208" s="176">
        <f t="shared" si="13"/>
        <v>24.024789692439878</v>
      </c>
      <c r="F208" s="176">
        <f>+Données!X208</f>
        <v>76.5</v>
      </c>
      <c r="G208" s="290">
        <f t="shared" si="14"/>
        <v>-568681.90763755818</v>
      </c>
      <c r="H208" s="122">
        <f t="shared" si="15"/>
        <v>1.1316354595041977</v>
      </c>
      <c r="I208" s="42">
        <f t="shared" si="16"/>
        <v>-643540.61186115188</v>
      </c>
    </row>
    <row r="209" spans="1:9" x14ac:dyDescent="0.25">
      <c r="A209" s="38">
        <f>Données!A209</f>
        <v>5746</v>
      </c>
      <c r="B209" s="27" t="str">
        <f>Données!B209</f>
        <v>Bavois</v>
      </c>
      <c r="C209" s="31">
        <f>Données!Z209</f>
        <v>1037</v>
      </c>
      <c r="D209" s="176">
        <f>Ecrêtage!E209</f>
        <v>32.644080726097357</v>
      </c>
      <c r="E209" s="176">
        <f t="shared" si="13"/>
        <v>16.815246602222935</v>
      </c>
      <c r="F209" s="176">
        <f>+Données!X209</f>
        <v>72</v>
      </c>
      <c r="G209" s="290">
        <f t="shared" si="14"/>
        <v>-338983.26452326076</v>
      </c>
      <c r="H209" s="122">
        <f t="shared" si="15"/>
        <v>1.0650686677686567</v>
      </c>
      <c r="I209" s="42">
        <f t="shared" si="16"/>
        <v>-361040.45394165948</v>
      </c>
    </row>
    <row r="210" spans="1:9" x14ac:dyDescent="0.25">
      <c r="A210" s="38">
        <f>Données!A210</f>
        <v>5747</v>
      </c>
      <c r="B210" s="27" t="str">
        <f>Données!B210</f>
        <v>Bofflens</v>
      </c>
      <c r="C210" s="31">
        <f>Données!Z210</f>
        <v>194</v>
      </c>
      <c r="D210" s="176">
        <f>Ecrêtage!E210</f>
        <v>36.42033467802181</v>
      </c>
      <c r="E210" s="176">
        <f t="shared" si="13"/>
        <v>13.038992650298482</v>
      </c>
      <c r="F210" s="176">
        <f>+Données!X210</f>
        <v>69</v>
      </c>
      <c r="G210" s="290">
        <f t="shared" si="14"/>
        <v>-47125.788016561783</v>
      </c>
      <c r="H210" s="122">
        <f t="shared" si="15"/>
        <v>1.0206908066116291</v>
      </c>
      <c r="I210" s="42">
        <f t="shared" si="16"/>
        <v>-48100.858582833091</v>
      </c>
    </row>
    <row r="211" spans="1:9" x14ac:dyDescent="0.25">
      <c r="A211" s="38">
        <f>Données!A211</f>
        <v>5748</v>
      </c>
      <c r="B211" s="27" t="str">
        <f>Données!B211</f>
        <v>Bretonnières</v>
      </c>
      <c r="C211" s="31">
        <f>Données!Z211</f>
        <v>259</v>
      </c>
      <c r="D211" s="176">
        <f>Ecrêtage!E211</f>
        <v>26.505473862920674</v>
      </c>
      <c r="E211" s="176">
        <f t="shared" si="13"/>
        <v>22.953853465399618</v>
      </c>
      <c r="F211" s="176">
        <f>+Données!X211</f>
        <v>70.5</v>
      </c>
      <c r="G211" s="290">
        <f t="shared" si="14"/>
        <v>-113163.98958489537</v>
      </c>
      <c r="H211" s="122">
        <f t="shared" si="15"/>
        <v>1.0428797371901428</v>
      </c>
      <c r="I211" s="42">
        <f t="shared" si="16"/>
        <v>-118016.43171768375</v>
      </c>
    </row>
    <row r="212" spans="1:9" x14ac:dyDescent="0.25">
      <c r="A212" s="38">
        <f>Données!A212</f>
        <v>5749</v>
      </c>
      <c r="B212" s="27" t="str">
        <f>Données!B212</f>
        <v>Chavornay</v>
      </c>
      <c r="C212" s="31">
        <f>Données!Z212</f>
        <v>5423</v>
      </c>
      <c r="D212" s="176">
        <f>Ecrêtage!E212</f>
        <v>27.582490600188585</v>
      </c>
      <c r="E212" s="176">
        <f t="shared" si="13"/>
        <v>21.876836728131707</v>
      </c>
      <c r="F212" s="176">
        <f>+Données!X212</f>
        <v>70.5</v>
      </c>
      <c r="G212" s="290">
        <f t="shared" si="14"/>
        <v>-2258275.9589516898</v>
      </c>
      <c r="H212" s="122">
        <f t="shared" si="15"/>
        <v>1.0428797371901428</v>
      </c>
      <c r="I212" s="42">
        <f t="shared" si="16"/>
        <v>-2355110.2385743558</v>
      </c>
    </row>
    <row r="213" spans="1:9" x14ac:dyDescent="0.25">
      <c r="A213" s="38">
        <f>Données!A213</f>
        <v>5750</v>
      </c>
      <c r="B213" s="27" t="str">
        <f>Données!B213</f>
        <v>Les Clées</v>
      </c>
      <c r="C213" s="31">
        <f>Données!Z213</f>
        <v>192</v>
      </c>
      <c r="D213" s="176">
        <f>Ecrêtage!E213</f>
        <v>27.711090711805557</v>
      </c>
      <c r="E213" s="176">
        <f t="shared" si="13"/>
        <v>21.748236616514735</v>
      </c>
      <c r="F213" s="176">
        <f>+Données!X213</f>
        <v>80</v>
      </c>
      <c r="G213" s="290">
        <f t="shared" si="14"/>
        <v>-90194.286896009929</v>
      </c>
      <c r="H213" s="122">
        <f t="shared" si="15"/>
        <v>1.1834096308540629</v>
      </c>
      <c r="I213" s="42">
        <f t="shared" si="16"/>
        <v>-106736.78776075256</v>
      </c>
    </row>
    <row r="214" spans="1:9" x14ac:dyDescent="0.25">
      <c r="A214" s="38">
        <f>Données!A214</f>
        <v>5752</v>
      </c>
      <c r="B214" s="27" t="str">
        <f>Données!B214</f>
        <v>Croy</v>
      </c>
      <c r="C214" s="31">
        <f>Données!Z214</f>
        <v>397</v>
      </c>
      <c r="D214" s="176">
        <f>Ecrêtage!E214</f>
        <v>24.832138286181099</v>
      </c>
      <c r="E214" s="176">
        <f t="shared" si="13"/>
        <v>24.627189042139193</v>
      </c>
      <c r="F214" s="176">
        <f>+Données!X214</f>
        <v>74</v>
      </c>
      <c r="G214" s="290">
        <f t="shared" si="14"/>
        <v>-195344.34111359061</v>
      </c>
      <c r="H214" s="122">
        <f t="shared" si="15"/>
        <v>1.0946539085400082</v>
      </c>
      <c r="I214" s="42">
        <f t="shared" si="16"/>
        <v>-213834.44651116457</v>
      </c>
    </row>
    <row r="215" spans="1:9" x14ac:dyDescent="0.25">
      <c r="A215" s="38">
        <f>Données!A215</f>
        <v>5754</v>
      </c>
      <c r="B215" s="27" t="str">
        <f>Données!B215</f>
        <v>Juriens</v>
      </c>
      <c r="C215" s="31">
        <f>Données!Z215</f>
        <v>351</v>
      </c>
      <c r="D215" s="176">
        <f>Ecrêtage!E215</f>
        <v>25.106044213639152</v>
      </c>
      <c r="E215" s="176">
        <f t="shared" si="13"/>
        <v>24.35328311468114</v>
      </c>
      <c r="F215" s="176">
        <f>+Données!X215</f>
        <v>79</v>
      </c>
      <c r="G215" s="290">
        <f t="shared" si="14"/>
        <v>-182328.89062148822</v>
      </c>
      <c r="H215" s="122">
        <f t="shared" si="15"/>
        <v>1.1686170104683871</v>
      </c>
      <c r="I215" s="42">
        <f t="shared" si="16"/>
        <v>-213072.64308010109</v>
      </c>
    </row>
    <row r="216" spans="1:9" x14ac:dyDescent="0.25">
      <c r="A216" s="38">
        <f>Données!A216</f>
        <v>5755</v>
      </c>
      <c r="B216" s="27" t="str">
        <f>Données!B216</f>
        <v>Lignerolle</v>
      </c>
      <c r="C216" s="31">
        <f>Données!Z216</f>
        <v>462</v>
      </c>
      <c r="D216" s="176">
        <f>Ecrêtage!E216</f>
        <v>24.061854145248141</v>
      </c>
      <c r="E216" s="176">
        <f t="shared" si="13"/>
        <v>25.397473183072151</v>
      </c>
      <c r="F216" s="176">
        <f>+Données!X216</f>
        <v>78.5</v>
      </c>
      <c r="G216" s="290">
        <f t="shared" si="14"/>
        <v>-248694.34318122899</v>
      </c>
      <c r="H216" s="122">
        <f t="shared" si="15"/>
        <v>1.1612207002755492</v>
      </c>
      <c r="I216" s="42">
        <f t="shared" si="16"/>
        <v>-288789.01934347447</v>
      </c>
    </row>
    <row r="217" spans="1:9" x14ac:dyDescent="0.25">
      <c r="A217" s="38">
        <f>Données!A217</f>
        <v>5756</v>
      </c>
      <c r="B217" s="27" t="str">
        <f>Données!B217</f>
        <v>Montcherand</v>
      </c>
      <c r="C217" s="31">
        <f>Données!Z217</f>
        <v>494</v>
      </c>
      <c r="D217" s="176">
        <f>Ecrêtage!E217</f>
        <v>42.39189074448943</v>
      </c>
      <c r="E217" s="176">
        <f t="shared" si="13"/>
        <v>7.0674365838308617</v>
      </c>
      <c r="F217" s="176">
        <f>+Données!X217</f>
        <v>72</v>
      </c>
      <c r="G217" s="290">
        <f t="shared" si="14"/>
        <v>-67871.13779169794</v>
      </c>
      <c r="H217" s="122">
        <f t="shared" si="15"/>
        <v>1.0650686677686567</v>
      </c>
      <c r="I217" s="42">
        <f t="shared" si="16"/>
        <v>-72287.422307746659</v>
      </c>
    </row>
    <row r="218" spans="1:9" x14ac:dyDescent="0.25">
      <c r="A218" s="38">
        <f>Données!A218</f>
        <v>5757</v>
      </c>
      <c r="B218" s="27" t="str">
        <f>Données!B218</f>
        <v>Orbe</v>
      </c>
      <c r="C218" s="31">
        <f>Données!Z218</f>
        <v>7827</v>
      </c>
      <c r="D218" s="176">
        <f>Ecrêtage!E218</f>
        <v>28.901140575542126</v>
      </c>
      <c r="E218" s="176">
        <f t="shared" si="13"/>
        <v>20.558186752778166</v>
      </c>
      <c r="F218" s="176">
        <f>+Données!X218</f>
        <v>75.5</v>
      </c>
      <c r="G218" s="290">
        <f t="shared" si="14"/>
        <v>-3280128.4914497822</v>
      </c>
      <c r="H218" s="122">
        <f t="shared" si="15"/>
        <v>1.1168428391185219</v>
      </c>
      <c r="I218" s="42">
        <f t="shared" si="16"/>
        <v>-3663388.0170643288</v>
      </c>
    </row>
    <row r="219" spans="1:9" x14ac:dyDescent="0.25">
      <c r="A219" s="38">
        <f>Données!A219</f>
        <v>5758</v>
      </c>
      <c r="B219" s="27" t="str">
        <f>Données!B219</f>
        <v>La Praz</v>
      </c>
      <c r="C219" s="31">
        <f>Données!Z219</f>
        <v>206</v>
      </c>
      <c r="D219" s="176">
        <f>Ecrêtage!E219</f>
        <v>27.150958006784425</v>
      </c>
      <c r="E219" s="176">
        <f t="shared" si="13"/>
        <v>22.308369321535867</v>
      </c>
      <c r="F219" s="176">
        <f>+Données!X219</f>
        <v>83</v>
      </c>
      <c r="G219" s="290">
        <f t="shared" si="14"/>
        <v>-102985.69463809747</v>
      </c>
      <c r="H219" s="122">
        <f t="shared" si="15"/>
        <v>1.2277874920110903</v>
      </c>
      <c r="I219" s="42">
        <f t="shared" si="16"/>
        <v>-126444.54773272968</v>
      </c>
    </row>
    <row r="220" spans="1:9" x14ac:dyDescent="0.25">
      <c r="A220" s="38">
        <f>Données!A220</f>
        <v>5759</v>
      </c>
      <c r="B220" s="27" t="str">
        <f>Données!B220</f>
        <v>Premier</v>
      </c>
      <c r="C220" s="31">
        <f>Données!Z220</f>
        <v>233</v>
      </c>
      <c r="D220" s="176">
        <f>Ecrêtage!E220</f>
        <v>22.968504872189389</v>
      </c>
      <c r="E220" s="176">
        <f t="shared" si="13"/>
        <v>26.490822456130903</v>
      </c>
      <c r="F220" s="176">
        <f>+Données!X220</f>
        <v>79.5</v>
      </c>
      <c r="G220" s="290">
        <f t="shared" si="14"/>
        <v>-132489.74243685801</v>
      </c>
      <c r="H220" s="122">
        <f t="shared" si="15"/>
        <v>1.1760133206612251</v>
      </c>
      <c r="I220" s="42">
        <f t="shared" si="16"/>
        <v>-155809.70195671983</v>
      </c>
    </row>
    <row r="221" spans="1:9" x14ac:dyDescent="0.25">
      <c r="A221" s="38">
        <f>Données!A221</f>
        <v>5760</v>
      </c>
      <c r="B221" s="27" t="str">
        <f>Données!B221</f>
        <v>Rances</v>
      </c>
      <c r="C221" s="31">
        <f>Données!Z221</f>
        <v>525</v>
      </c>
      <c r="D221" s="176">
        <f>Ecrêtage!E221</f>
        <v>31.194440585122937</v>
      </c>
      <c r="E221" s="176">
        <f t="shared" si="13"/>
        <v>18.264886743197355</v>
      </c>
      <c r="F221" s="176">
        <f>+Données!X221</f>
        <v>76.5</v>
      </c>
      <c r="G221" s="290">
        <f t="shared" si="14"/>
        <v>-198062.14873238924</v>
      </c>
      <c r="H221" s="122">
        <f t="shared" si="15"/>
        <v>1.1316354595041977</v>
      </c>
      <c r="I221" s="42">
        <f t="shared" si="16"/>
        <v>-224134.15069116605</v>
      </c>
    </row>
    <row r="222" spans="1:9" x14ac:dyDescent="0.25">
      <c r="A222" s="38">
        <f>Données!A222</f>
        <v>5761</v>
      </c>
      <c r="B222" s="27" t="str">
        <f>Données!B222</f>
        <v>Romainmôtier-Envy</v>
      </c>
      <c r="C222" s="31">
        <f>Données!Z222</f>
        <v>575</v>
      </c>
      <c r="D222" s="176">
        <f>Ecrêtage!E222</f>
        <v>23.429265837115111</v>
      </c>
      <c r="E222" s="176">
        <f t="shared" si="13"/>
        <v>26.030061491205181</v>
      </c>
      <c r="F222" s="176">
        <f>+Données!X222</f>
        <v>81</v>
      </c>
      <c r="G222" s="290">
        <f t="shared" si="14"/>
        <v>-327334.53076727799</v>
      </c>
      <c r="H222" s="122">
        <f t="shared" si="15"/>
        <v>1.1982022512397388</v>
      </c>
      <c r="I222" s="42">
        <f t="shared" si="16"/>
        <v>-392212.97167385602</v>
      </c>
    </row>
    <row r="223" spans="1:9" x14ac:dyDescent="0.25">
      <c r="A223" s="38">
        <f>Données!A223</f>
        <v>5762</v>
      </c>
      <c r="B223" s="27" t="str">
        <f>Données!B223</f>
        <v>Sergey</v>
      </c>
      <c r="C223" s="31">
        <f>Données!Z223</f>
        <v>137</v>
      </c>
      <c r="D223" s="176">
        <f>Ecrêtage!E223</f>
        <v>26.016279243870486</v>
      </c>
      <c r="E223" s="176">
        <f t="shared" si="13"/>
        <v>23.443048084449806</v>
      </c>
      <c r="F223" s="176">
        <f>+Données!X223</f>
        <v>78</v>
      </c>
      <c r="G223" s="290">
        <f t="shared" si="14"/>
        <v>-67638.351194216273</v>
      </c>
      <c r="H223" s="122">
        <f t="shared" si="15"/>
        <v>1.1538243900827114</v>
      </c>
      <c r="I223" s="42">
        <f t="shared" si="16"/>
        <v>-78042.779312866827</v>
      </c>
    </row>
    <row r="224" spans="1:9" x14ac:dyDescent="0.25">
      <c r="A224" s="38">
        <f>Données!A224</f>
        <v>5763</v>
      </c>
      <c r="B224" s="27" t="str">
        <f>Données!B224</f>
        <v>Valeyres-sous-Rances</v>
      </c>
      <c r="C224" s="31">
        <f>Données!Z224</f>
        <v>583</v>
      </c>
      <c r="D224" s="176">
        <f>Ecrêtage!E224</f>
        <v>36.499279829922926</v>
      </c>
      <c r="E224" s="176">
        <f t="shared" si="13"/>
        <v>12.960047498397365</v>
      </c>
      <c r="F224" s="176">
        <f>+Données!X224</f>
        <v>71</v>
      </c>
      <c r="G224" s="290">
        <f t="shared" si="14"/>
        <v>-144842.91644731379</v>
      </c>
      <c r="H224" s="122">
        <f t="shared" si="15"/>
        <v>1.0502760473829809</v>
      </c>
      <c r="I224" s="42">
        <f t="shared" si="16"/>
        <v>-152125.04577770809</v>
      </c>
    </row>
    <row r="225" spans="1:9" x14ac:dyDescent="0.25">
      <c r="A225" s="38">
        <f>Données!A225</f>
        <v>5764</v>
      </c>
      <c r="B225" s="27" t="str">
        <f>Données!B225</f>
        <v>Vallorbe</v>
      </c>
      <c r="C225" s="31">
        <f>Données!Z225</f>
        <v>4121</v>
      </c>
      <c r="D225" s="176">
        <f>Ecrêtage!E225</f>
        <v>22.91139749840065</v>
      </c>
      <c r="E225" s="176">
        <f t="shared" si="13"/>
        <v>26.547929829919642</v>
      </c>
      <c r="F225" s="176">
        <f>+Données!X225</f>
        <v>71.5</v>
      </c>
      <c r="G225" s="290">
        <f t="shared" si="14"/>
        <v>-2112044.5834957534</v>
      </c>
      <c r="H225" s="122">
        <f t="shared" si="15"/>
        <v>1.0576723575758187</v>
      </c>
      <c r="I225" s="42">
        <f t="shared" si="16"/>
        <v>-2233851.1739311917</v>
      </c>
    </row>
    <row r="226" spans="1:9" x14ac:dyDescent="0.25">
      <c r="A226" s="38">
        <f>Données!A226</f>
        <v>5765</v>
      </c>
      <c r="B226" s="27" t="str">
        <f>Données!B226</f>
        <v>Vaulion</v>
      </c>
      <c r="C226" s="31">
        <f>Données!Z226</f>
        <v>486</v>
      </c>
      <c r="D226" s="176">
        <f>Ecrêtage!E226</f>
        <v>23.78397373367881</v>
      </c>
      <c r="E226" s="176">
        <f t="shared" si="13"/>
        <v>25.675353594641482</v>
      </c>
      <c r="F226" s="176">
        <f>+Données!X226</f>
        <v>81</v>
      </c>
      <c r="G226" s="290">
        <f t="shared" si="14"/>
        <v>-272898.71179379732</v>
      </c>
      <c r="H226" s="122">
        <f t="shared" si="15"/>
        <v>1.1982022512397388</v>
      </c>
      <c r="I226" s="42">
        <f t="shared" si="16"/>
        <v>-326987.85083175258</v>
      </c>
    </row>
    <row r="227" spans="1:9" x14ac:dyDescent="0.25">
      <c r="A227" s="38">
        <f>Données!A227</f>
        <v>5766</v>
      </c>
      <c r="B227" s="27" t="str">
        <f>Données!B227</f>
        <v>Vuiteboeuf</v>
      </c>
      <c r="C227" s="31">
        <f>Données!Z227</f>
        <v>586</v>
      </c>
      <c r="D227" s="176">
        <f>Ecrêtage!E227</f>
        <v>24.950795839427919</v>
      </c>
      <c r="E227" s="176">
        <f t="shared" si="13"/>
        <v>24.508531488892373</v>
      </c>
      <c r="F227" s="176">
        <f>+Données!X227</f>
        <v>75</v>
      </c>
      <c r="G227" s="290">
        <f t="shared" si="14"/>
        <v>-290830.48891294136</v>
      </c>
      <c r="H227" s="122">
        <f t="shared" si="15"/>
        <v>1.1094465289256841</v>
      </c>
      <c r="I227" s="42">
        <f t="shared" si="16"/>
        <v>-322660.87643022242</v>
      </c>
    </row>
    <row r="228" spans="1:9" x14ac:dyDescent="0.25">
      <c r="A228" s="38">
        <f>Données!A228</f>
        <v>5785</v>
      </c>
      <c r="B228" s="27" t="str">
        <f>Données!B228</f>
        <v>Corcelles-le-Jorat</v>
      </c>
      <c r="C228" s="31">
        <f>Données!Z228</f>
        <v>500</v>
      </c>
      <c r="D228" s="176">
        <f>Ecrêtage!E228</f>
        <v>35.935652533333339</v>
      </c>
      <c r="E228" s="176">
        <f t="shared" si="13"/>
        <v>13.523674794986952</v>
      </c>
      <c r="F228" s="176">
        <f>+Données!X228</f>
        <v>75</v>
      </c>
      <c r="G228" s="290">
        <f t="shared" si="14"/>
        <v>-136927.2072992429</v>
      </c>
      <c r="H228" s="122">
        <f t="shared" si="15"/>
        <v>1.1094465289256841</v>
      </c>
      <c r="I228" s="42">
        <f t="shared" si="16"/>
        <v>-151913.41485363262</v>
      </c>
    </row>
    <row r="229" spans="1:9" x14ac:dyDescent="0.25">
      <c r="A229" s="38">
        <f>Données!A229</f>
        <v>5790</v>
      </c>
      <c r="B229" s="27" t="str">
        <f>Données!B229</f>
        <v>Maracon</v>
      </c>
      <c r="C229" s="31">
        <f>Données!Z229</f>
        <v>567</v>
      </c>
      <c r="D229" s="176">
        <f>Ecrêtage!E229</f>
        <v>30.963637181444788</v>
      </c>
      <c r="E229" s="176">
        <f t="shared" si="13"/>
        <v>18.495690146875504</v>
      </c>
      <c r="F229" s="176">
        <f>+Données!X229</f>
        <v>74.5</v>
      </c>
      <c r="G229" s="290">
        <f t="shared" si="14"/>
        <v>-210947.13774159522</v>
      </c>
      <c r="H229" s="122">
        <f t="shared" si="15"/>
        <v>1.102050218732846</v>
      </c>
      <c r="I229" s="42">
        <f t="shared" si="16"/>
        <v>-232474.33928919281</v>
      </c>
    </row>
    <row r="230" spans="1:9" x14ac:dyDescent="0.25">
      <c r="A230" s="38">
        <f>Données!A230</f>
        <v>5792</v>
      </c>
      <c r="B230" s="27" t="str">
        <f>Données!B230</f>
        <v>Montpreveyres</v>
      </c>
      <c r="C230" s="31">
        <f>Données!Z230</f>
        <v>632</v>
      </c>
      <c r="D230" s="176">
        <f>Ecrêtage!E230</f>
        <v>30.85936202531645</v>
      </c>
      <c r="E230" s="176">
        <f t="shared" si="13"/>
        <v>18.599965303003842</v>
      </c>
      <c r="F230" s="176">
        <f>+Données!X230</f>
        <v>75</v>
      </c>
      <c r="G230" s="290">
        <f t="shared" si="14"/>
        <v>-238042.35594784317</v>
      </c>
      <c r="H230" s="122">
        <f t="shared" si="15"/>
        <v>1.1094465289256841</v>
      </c>
      <c r="I230" s="42">
        <f t="shared" si="16"/>
        <v>-264095.2655436268</v>
      </c>
    </row>
    <row r="231" spans="1:9" x14ac:dyDescent="0.25">
      <c r="A231" s="38">
        <f>Données!A231</f>
        <v>5798</v>
      </c>
      <c r="B231" s="27" t="str">
        <f>Données!B231</f>
        <v>Ropraz</v>
      </c>
      <c r="C231" s="31">
        <f>Données!Z231</f>
        <v>535</v>
      </c>
      <c r="D231" s="176">
        <f>Ecrêtage!E231</f>
        <v>30.087615315043713</v>
      </c>
      <c r="E231" s="176">
        <f t="shared" si="13"/>
        <v>19.371712013276579</v>
      </c>
      <c r="F231" s="176">
        <f>+Données!X231</f>
        <v>77.5</v>
      </c>
      <c r="G231" s="290">
        <f t="shared" si="14"/>
        <v>-216863.89452462966</v>
      </c>
      <c r="H231" s="122">
        <f t="shared" si="15"/>
        <v>1.1464280798898734</v>
      </c>
      <c r="I231" s="42">
        <f t="shared" si="16"/>
        <v>-248618.8581973112</v>
      </c>
    </row>
    <row r="232" spans="1:9" x14ac:dyDescent="0.25">
      <c r="A232" s="38">
        <f>Données!A232</f>
        <v>5799</v>
      </c>
      <c r="B232" s="27" t="str">
        <f>Données!B232</f>
        <v>Servion</v>
      </c>
      <c r="C232" s="31">
        <f>Données!Z232</f>
        <v>2172</v>
      </c>
      <c r="D232" s="176">
        <f>Ecrêtage!E232</f>
        <v>36.097230963247661</v>
      </c>
      <c r="E232" s="176">
        <f t="shared" si="13"/>
        <v>13.362096365072631</v>
      </c>
      <c r="F232" s="176">
        <f>+Données!X232</f>
        <v>69</v>
      </c>
      <c r="G232" s="290">
        <f t="shared" si="14"/>
        <v>-540688.67767099035</v>
      </c>
      <c r="H232" s="122">
        <f t="shared" si="15"/>
        <v>1.0206908066116291</v>
      </c>
      <c r="I232" s="42">
        <f t="shared" si="16"/>
        <v>-551875.96253777831</v>
      </c>
    </row>
    <row r="233" spans="1:9" x14ac:dyDescent="0.25">
      <c r="A233" s="38">
        <f>Données!A233</f>
        <v>5803</v>
      </c>
      <c r="B233" s="27" t="str">
        <f>Données!B233</f>
        <v>Vulliens</v>
      </c>
      <c r="C233" s="31">
        <f>Données!Z233</f>
        <v>646</v>
      </c>
      <c r="D233" s="176">
        <f>Ecrêtage!E233</f>
        <v>28.645280102083511</v>
      </c>
      <c r="E233" s="176">
        <f t="shared" si="13"/>
        <v>20.814047226236781</v>
      </c>
      <c r="F233" s="176">
        <f>+Données!X233</f>
        <v>74</v>
      </c>
      <c r="G233" s="290">
        <f t="shared" si="14"/>
        <v>-268648.57267281623</v>
      </c>
      <c r="H233" s="122">
        <f t="shared" si="15"/>
        <v>1.0946539085400082</v>
      </c>
      <c r="I233" s="42">
        <f t="shared" si="16"/>
        <v>-294077.21009999275</v>
      </c>
    </row>
    <row r="234" spans="1:9" x14ac:dyDescent="0.25">
      <c r="A234" s="38">
        <f>Données!A234</f>
        <v>5804</v>
      </c>
      <c r="B234" s="27" t="str">
        <f>Données!B234</f>
        <v>Jorat-Menthue</v>
      </c>
      <c r="C234" s="31">
        <f>Données!Z234</f>
        <v>1557</v>
      </c>
      <c r="D234" s="176">
        <f>Ecrêtage!E234</f>
        <v>31.476142335916041</v>
      </c>
      <c r="E234" s="176">
        <f t="shared" si="13"/>
        <v>17.983184992404251</v>
      </c>
      <c r="F234" s="176">
        <f>+Données!X234</f>
        <v>70.5</v>
      </c>
      <c r="G234" s="290">
        <f t="shared" si="14"/>
        <v>-532976.55529645609</v>
      </c>
      <c r="H234" s="122">
        <f t="shared" si="15"/>
        <v>1.0428797371901428</v>
      </c>
      <c r="I234" s="42">
        <f t="shared" si="16"/>
        <v>-555830.4499160758</v>
      </c>
    </row>
    <row r="235" spans="1:9" x14ac:dyDescent="0.25">
      <c r="A235" s="38">
        <f>Données!A235</f>
        <v>5805</v>
      </c>
      <c r="B235" s="27" t="str">
        <f>Données!B235</f>
        <v>Oron</v>
      </c>
      <c r="C235" s="31">
        <f>Données!Z235</f>
        <v>6173</v>
      </c>
      <c r="D235" s="176">
        <f>Ecrêtage!E235</f>
        <v>28.727864229601174</v>
      </c>
      <c r="E235" s="176">
        <f t="shared" si="13"/>
        <v>20.731463098719118</v>
      </c>
      <c r="F235" s="176">
        <f>+Données!X235</f>
        <v>69</v>
      </c>
      <c r="G235" s="290">
        <f t="shared" si="14"/>
        <v>-2384180.2434273637</v>
      </c>
      <c r="H235" s="122">
        <f t="shared" si="15"/>
        <v>1.0206908066116291</v>
      </c>
      <c r="I235" s="42">
        <f t="shared" si="16"/>
        <v>-2433510.8557713861</v>
      </c>
    </row>
    <row r="236" spans="1:9" x14ac:dyDescent="0.25">
      <c r="A236" s="38">
        <f>Données!A236</f>
        <v>5806</v>
      </c>
      <c r="B236" s="27" t="str">
        <f>Données!B236</f>
        <v>Jorat-Mézières</v>
      </c>
      <c r="C236" s="31">
        <f>Données!Z236</f>
        <v>3177</v>
      </c>
      <c r="D236" s="176">
        <f>Ecrêtage!E236</f>
        <v>31.01064991958469</v>
      </c>
      <c r="E236" s="176">
        <f t="shared" si="13"/>
        <v>18.448677408735602</v>
      </c>
      <c r="F236" s="176">
        <f>+Données!X236</f>
        <v>73</v>
      </c>
      <c r="G236" s="290">
        <f t="shared" si="14"/>
        <v>-1155231.6425940699</v>
      </c>
      <c r="H236" s="122">
        <f t="shared" si="15"/>
        <v>1.0798612881543324</v>
      </c>
      <c r="I236" s="42">
        <f t="shared" si="16"/>
        <v>-1247489.9296882777</v>
      </c>
    </row>
    <row r="237" spans="1:9" x14ac:dyDescent="0.25">
      <c r="A237" s="38">
        <f>Données!A237</f>
        <v>5812</v>
      </c>
      <c r="B237" s="27" t="str">
        <f>Données!B237</f>
        <v>Champtauroz</v>
      </c>
      <c r="C237" s="31">
        <f>Données!Z237</f>
        <v>188</v>
      </c>
      <c r="D237" s="176">
        <f>Ecrêtage!E237</f>
        <v>18.933463663995582</v>
      </c>
      <c r="E237" s="176">
        <f t="shared" si="13"/>
        <v>30.52586366432471</v>
      </c>
      <c r="F237" s="176">
        <f>+Données!X237</f>
        <v>77</v>
      </c>
      <c r="G237" s="290">
        <f t="shared" si="14"/>
        <v>-119310.94864928642</v>
      </c>
      <c r="H237" s="122">
        <f t="shared" si="15"/>
        <v>1.1390317696970356</v>
      </c>
      <c r="I237" s="42">
        <f t="shared" si="16"/>
        <v>-135898.96098422885</v>
      </c>
    </row>
    <row r="238" spans="1:9" x14ac:dyDescent="0.25">
      <c r="A238" s="38">
        <f>Données!A238</f>
        <v>5813</v>
      </c>
      <c r="B238" s="27" t="str">
        <f>Données!B238</f>
        <v>Chevroux</v>
      </c>
      <c r="C238" s="31">
        <f>Données!Z238</f>
        <v>524</v>
      </c>
      <c r="D238" s="176">
        <f>Ecrêtage!E238</f>
        <v>36.675281801972481</v>
      </c>
      <c r="E238" s="176">
        <f t="shared" si="13"/>
        <v>12.784045526347811</v>
      </c>
      <c r="F238" s="176">
        <f>+Données!X238</f>
        <v>68.5</v>
      </c>
      <c r="G238" s="290">
        <f t="shared" si="14"/>
        <v>-123895.04313313666</v>
      </c>
      <c r="H238" s="122">
        <f t="shared" si="15"/>
        <v>1.0132944964187913</v>
      </c>
      <c r="I238" s="42">
        <f t="shared" si="16"/>
        <v>-125542.16534037614</v>
      </c>
    </row>
    <row r="239" spans="1:9" x14ac:dyDescent="0.25">
      <c r="A239" s="38">
        <f>Données!A239</f>
        <v>5816</v>
      </c>
      <c r="B239" s="27" t="str">
        <f>Données!B239</f>
        <v>Corcelles-près-Payerne</v>
      </c>
      <c r="C239" s="31">
        <f>Données!Z239</f>
        <v>2915</v>
      </c>
      <c r="D239" s="176">
        <f>Ecrêtage!E239</f>
        <v>24.138237943188891</v>
      </c>
      <c r="E239" s="176">
        <f t="shared" si="13"/>
        <v>25.321089385131401</v>
      </c>
      <c r="F239" s="176">
        <f>+Données!X239</f>
        <v>65</v>
      </c>
      <c r="G239" s="290">
        <f t="shared" si="14"/>
        <v>-1295382.6210368986</v>
      </c>
      <c r="H239" s="122">
        <f t="shared" si="15"/>
        <v>0.96152032506892615</v>
      </c>
      <c r="I239" s="42">
        <f t="shared" si="16"/>
        <v>-1245536.7188680363</v>
      </c>
    </row>
    <row r="240" spans="1:9" x14ac:dyDescent="0.25">
      <c r="A240" s="38">
        <f>Données!A240</f>
        <v>5817</v>
      </c>
      <c r="B240" s="27" t="str">
        <f>Données!B240</f>
        <v>Grandcour</v>
      </c>
      <c r="C240" s="31">
        <f>Données!Z240</f>
        <v>1006</v>
      </c>
      <c r="D240" s="176">
        <f>Ecrêtage!E240</f>
        <v>24.883065957993537</v>
      </c>
      <c r="E240" s="176">
        <f t="shared" si="13"/>
        <v>24.576261370326755</v>
      </c>
      <c r="F240" s="176">
        <f>+Données!X240</f>
        <v>73.5</v>
      </c>
      <c r="G240" s="290">
        <f t="shared" si="14"/>
        <v>-490642.20233549923</v>
      </c>
      <c r="H240" s="122">
        <f t="shared" si="15"/>
        <v>1.0872575983471704</v>
      </c>
      <c r="I240" s="42">
        <f t="shared" si="16"/>
        <v>-533454.46255906136</v>
      </c>
    </row>
    <row r="241" spans="1:9" x14ac:dyDescent="0.25">
      <c r="A241" s="38">
        <f>Données!A241</f>
        <v>5819</v>
      </c>
      <c r="B241" s="27" t="str">
        <f>Données!B241</f>
        <v>Henniez</v>
      </c>
      <c r="C241" s="31">
        <f>Données!Z241</f>
        <v>454</v>
      </c>
      <c r="D241" s="176">
        <f>Ecrêtage!E241</f>
        <v>39.364158845687278</v>
      </c>
      <c r="E241" s="176">
        <f t="shared" si="13"/>
        <v>10.095168482633014</v>
      </c>
      <c r="F241" s="176">
        <f>+Données!X241</f>
        <v>69</v>
      </c>
      <c r="G241" s="290">
        <f t="shared" si="14"/>
        <v>-85385.13692947969</v>
      </c>
      <c r="H241" s="122">
        <f t="shared" si="15"/>
        <v>1.0206908066116291</v>
      </c>
      <c r="I241" s="42">
        <f t="shared" si="16"/>
        <v>-87151.824285195034</v>
      </c>
    </row>
    <row r="242" spans="1:9" x14ac:dyDescent="0.25">
      <c r="A242" s="38">
        <f>Données!A242</f>
        <v>5821</v>
      </c>
      <c r="B242" s="27" t="str">
        <f>Données!B242</f>
        <v>Missy</v>
      </c>
      <c r="C242" s="31">
        <f>Données!Z242</f>
        <v>377</v>
      </c>
      <c r="D242" s="176">
        <f>Ecrêtage!E242</f>
        <v>23.051130636604768</v>
      </c>
      <c r="E242" s="176">
        <f t="shared" si="13"/>
        <v>26.408196691715524</v>
      </c>
      <c r="F242" s="176">
        <f>+Données!X242</f>
        <v>72</v>
      </c>
      <c r="G242" s="290">
        <f t="shared" si="14"/>
        <v>-193542.50456998008</v>
      </c>
      <c r="H242" s="122">
        <f t="shared" si="15"/>
        <v>1.0650686677686567</v>
      </c>
      <c r="I242" s="42">
        <f t="shared" si="16"/>
        <v>-206136.05749895785</v>
      </c>
    </row>
    <row r="243" spans="1:9" x14ac:dyDescent="0.25">
      <c r="A243" s="38">
        <f>Données!A243</f>
        <v>5822</v>
      </c>
      <c r="B243" s="27" t="str">
        <f>Données!B243</f>
        <v>Payerne</v>
      </c>
      <c r="C243" s="31">
        <f>Données!Z243</f>
        <v>10577</v>
      </c>
      <c r="D243" s="176">
        <f>Ecrêtage!E243</f>
        <v>24.969026553573119</v>
      </c>
      <c r="E243" s="176">
        <f t="shared" si="13"/>
        <v>24.490300774747173</v>
      </c>
      <c r="F243" s="176">
        <f>+Données!X243</f>
        <v>70</v>
      </c>
      <c r="G243" s="290">
        <f t="shared" si="14"/>
        <v>-4895740.9234660668</v>
      </c>
      <c r="H243" s="122">
        <f t="shared" si="15"/>
        <v>1.035483426997305</v>
      </c>
      <c r="I243" s="42">
        <f t="shared" si="16"/>
        <v>-5069458.5891215932</v>
      </c>
    </row>
    <row r="244" spans="1:9" x14ac:dyDescent="0.25">
      <c r="A244" s="38">
        <f>Données!A244</f>
        <v>5827</v>
      </c>
      <c r="B244" s="27" t="str">
        <f>Données!B244</f>
        <v>Trey</v>
      </c>
      <c r="C244" s="31">
        <f>Données!Z244</f>
        <v>315</v>
      </c>
      <c r="D244" s="176">
        <f>Ecrêtage!E244</f>
        <v>24.360830280830278</v>
      </c>
      <c r="E244" s="176">
        <f t="shared" si="13"/>
        <v>25.098497047490014</v>
      </c>
      <c r="F244" s="176">
        <f>+Données!X244</f>
        <v>78</v>
      </c>
      <c r="G244" s="290">
        <f t="shared" si="14"/>
        <v>-166500.91956334404</v>
      </c>
      <c r="H244" s="122">
        <f t="shared" si="15"/>
        <v>1.1538243900827114</v>
      </c>
      <c r="I244" s="42">
        <f t="shared" si="16"/>
        <v>-192112.82196338603</v>
      </c>
    </row>
    <row r="245" spans="1:9" x14ac:dyDescent="0.25">
      <c r="A245" s="38">
        <f>Données!A245</f>
        <v>5828</v>
      </c>
      <c r="B245" s="27" t="str">
        <f>Données!B245</f>
        <v>Treytorrens (Payerne)</v>
      </c>
      <c r="C245" s="31">
        <f>Données!Z245</f>
        <v>109</v>
      </c>
      <c r="D245" s="176">
        <f>Ecrêtage!E245</f>
        <v>24.996676234967449</v>
      </c>
      <c r="E245" s="176">
        <f t="shared" si="13"/>
        <v>24.462651093352843</v>
      </c>
      <c r="F245" s="176">
        <f>+Données!X245</f>
        <v>81.5</v>
      </c>
      <c r="G245" s="290">
        <f t="shared" si="14"/>
        <v>-58674.769466705999</v>
      </c>
      <c r="H245" s="122">
        <f t="shared" si="15"/>
        <v>1.2055985614325766</v>
      </c>
      <c r="I245" s="42">
        <f t="shared" si="16"/>
        <v>-70738.217661448827</v>
      </c>
    </row>
    <row r="246" spans="1:9" x14ac:dyDescent="0.25">
      <c r="A246" s="38">
        <f>Données!A246</f>
        <v>5830</v>
      </c>
      <c r="B246" s="27" t="str">
        <f>Données!B246</f>
        <v>Villarzel</v>
      </c>
      <c r="C246" s="31">
        <f>Données!Z246</f>
        <v>525</v>
      </c>
      <c r="D246" s="176">
        <f>Ecrêtage!E246</f>
        <v>24.16075149206349</v>
      </c>
      <c r="E246" s="176">
        <f t="shared" si="13"/>
        <v>25.298575836256802</v>
      </c>
      <c r="F246" s="176">
        <f>+Données!X246</f>
        <v>75</v>
      </c>
      <c r="G246" s="290">
        <f t="shared" si="14"/>
        <v>-268955.48435920512</v>
      </c>
      <c r="H246" s="122">
        <f t="shared" si="15"/>
        <v>1.1094465289256841</v>
      </c>
      <c r="I246" s="42">
        <f t="shared" si="16"/>
        <v>-298391.72855784622</v>
      </c>
    </row>
    <row r="247" spans="1:9" x14ac:dyDescent="0.25">
      <c r="A247" s="38">
        <f>Données!A247</f>
        <v>5831</v>
      </c>
      <c r="B247" s="27" t="str">
        <f>Données!B247</f>
        <v>Valbroye</v>
      </c>
      <c r="C247" s="31">
        <f>Données!Z247</f>
        <v>3406</v>
      </c>
      <c r="D247" s="176">
        <f>Ecrêtage!E247</f>
        <v>26.716957545369112</v>
      </c>
      <c r="E247" s="176">
        <f t="shared" si="13"/>
        <v>22.74236978295118</v>
      </c>
      <c r="F247" s="176">
        <f>+Données!X247</f>
        <v>70.5</v>
      </c>
      <c r="G247" s="290">
        <f t="shared" si="14"/>
        <v>-1474460.8360357285</v>
      </c>
      <c r="H247" s="122">
        <f t="shared" si="15"/>
        <v>1.0428797371901428</v>
      </c>
      <c r="I247" s="42">
        <f t="shared" si="16"/>
        <v>-1537685.3291820989</v>
      </c>
    </row>
    <row r="248" spans="1:9" x14ac:dyDescent="0.25">
      <c r="A248" s="38">
        <f>Données!A248</f>
        <v>5841</v>
      </c>
      <c r="B248" s="27" t="str">
        <f>Données!B248</f>
        <v>Château-d'Oex</v>
      </c>
      <c r="C248" s="31">
        <f>Données!Z248</f>
        <v>3625</v>
      </c>
      <c r="D248" s="176">
        <f>Ecrêtage!E248</f>
        <v>36.373777251251674</v>
      </c>
      <c r="E248" s="176">
        <f t="shared" si="13"/>
        <v>13.085550077068618</v>
      </c>
      <c r="F248" s="176">
        <f>+Données!X248</f>
        <v>81.5</v>
      </c>
      <c r="G248" s="290">
        <f t="shared" si="14"/>
        <v>-1043809.7942413691</v>
      </c>
      <c r="H248" s="122">
        <f t="shared" si="15"/>
        <v>1.2055985614325766</v>
      </c>
      <c r="I248" s="42">
        <f t="shared" si="16"/>
        <v>-1258415.5863466284</v>
      </c>
    </row>
    <row r="249" spans="1:9" x14ac:dyDescent="0.25">
      <c r="A249" s="38">
        <f>Données!A249</f>
        <v>5842</v>
      </c>
      <c r="B249" s="27" t="str">
        <f>Données!B249</f>
        <v>Rossinière</v>
      </c>
      <c r="C249" s="31">
        <f>Données!Z249</f>
        <v>529</v>
      </c>
      <c r="D249" s="176">
        <f>Ecrêtage!E249</f>
        <v>37.276731623452903</v>
      </c>
      <c r="E249" s="176">
        <f t="shared" si="13"/>
        <v>12.182595704867389</v>
      </c>
      <c r="F249" s="176">
        <f>+Données!X249</f>
        <v>81</v>
      </c>
      <c r="G249" s="290">
        <f t="shared" si="14"/>
        <v>-140943.25170662295</v>
      </c>
      <c r="H249" s="122">
        <f t="shared" si="15"/>
        <v>1.1982022512397388</v>
      </c>
      <c r="I249" s="42">
        <f t="shared" si="16"/>
        <v>-168878.52149192477</v>
      </c>
    </row>
    <row r="250" spans="1:9" x14ac:dyDescent="0.25">
      <c r="A250" s="38">
        <f>Données!A250</f>
        <v>5843</v>
      </c>
      <c r="B250" s="27" t="str">
        <f>Données!B250</f>
        <v>Rougemont</v>
      </c>
      <c r="C250" s="31">
        <f>Données!Z250</f>
        <v>796</v>
      </c>
      <c r="D250" s="176">
        <f>Ecrêtage!E250</f>
        <v>111.46049323622331</v>
      </c>
      <c r="E250" s="176">
        <f t="shared" si="13"/>
        <v>0</v>
      </c>
      <c r="F250" s="176">
        <f>+Données!X250</f>
        <v>79</v>
      </c>
      <c r="G250" s="290">
        <f t="shared" si="14"/>
        <v>0</v>
      </c>
      <c r="H250" s="122">
        <f t="shared" si="15"/>
        <v>1.1686170104683871</v>
      </c>
      <c r="I250" s="42">
        <f t="shared" si="16"/>
        <v>0</v>
      </c>
    </row>
    <row r="251" spans="1:9" x14ac:dyDescent="0.25">
      <c r="A251" s="38">
        <f>Données!A251</f>
        <v>5851</v>
      </c>
      <c r="B251" s="27" t="str">
        <f>Données!B251</f>
        <v>Allaman</v>
      </c>
      <c r="C251" s="31">
        <f>Données!Z251</f>
        <v>431</v>
      </c>
      <c r="D251" s="176">
        <f>Ecrêtage!E251</f>
        <v>51.206758760188002</v>
      </c>
      <c r="E251" s="176">
        <f t="shared" si="13"/>
        <v>0</v>
      </c>
      <c r="F251" s="176">
        <f>+Données!X251</f>
        <v>65</v>
      </c>
      <c r="G251" s="290">
        <f t="shared" si="14"/>
        <v>0</v>
      </c>
      <c r="H251" s="122">
        <f t="shared" si="15"/>
        <v>0.96152032506892615</v>
      </c>
      <c r="I251" s="42">
        <f t="shared" si="16"/>
        <v>0</v>
      </c>
    </row>
    <row r="252" spans="1:9" x14ac:dyDescent="0.25">
      <c r="A252" s="38">
        <f>Données!A252</f>
        <v>5852</v>
      </c>
      <c r="B252" s="27" t="str">
        <f>Données!B252</f>
        <v>Bursinel</v>
      </c>
      <c r="C252" s="31">
        <f>Données!Z252</f>
        <v>521</v>
      </c>
      <c r="D252" s="176">
        <f>Ecrêtage!E252</f>
        <v>70.151884713020863</v>
      </c>
      <c r="E252" s="176">
        <f t="shared" si="13"/>
        <v>0</v>
      </c>
      <c r="F252" s="176">
        <f>+Données!X252</f>
        <v>62</v>
      </c>
      <c r="G252" s="290">
        <f t="shared" si="14"/>
        <v>0</v>
      </c>
      <c r="H252" s="122">
        <f t="shared" si="15"/>
        <v>0.9171424639118988</v>
      </c>
      <c r="I252" s="42">
        <f t="shared" si="16"/>
        <v>0</v>
      </c>
    </row>
    <row r="253" spans="1:9" x14ac:dyDescent="0.25">
      <c r="A253" s="38">
        <f>Données!A253</f>
        <v>5853</v>
      </c>
      <c r="B253" s="27" t="str">
        <f>Données!B253</f>
        <v>Bursins</v>
      </c>
      <c r="C253" s="31">
        <f>Données!Z253</f>
        <v>796</v>
      </c>
      <c r="D253" s="176">
        <f>Ecrêtage!E253</f>
        <v>54.91308195909123</v>
      </c>
      <c r="E253" s="176">
        <f t="shared" si="13"/>
        <v>0</v>
      </c>
      <c r="F253" s="176">
        <f>+Données!X253</f>
        <v>71</v>
      </c>
      <c r="G253" s="290">
        <f t="shared" si="14"/>
        <v>0</v>
      </c>
      <c r="H253" s="122">
        <f t="shared" si="15"/>
        <v>1.0502760473829809</v>
      </c>
      <c r="I253" s="42">
        <f t="shared" si="16"/>
        <v>0</v>
      </c>
    </row>
    <row r="254" spans="1:9" x14ac:dyDescent="0.25">
      <c r="A254" s="38">
        <f>Données!A254</f>
        <v>5854</v>
      </c>
      <c r="B254" s="27" t="str">
        <f>Données!B254</f>
        <v>Burtigny</v>
      </c>
      <c r="C254" s="31">
        <f>Données!Z254</f>
        <v>412</v>
      </c>
      <c r="D254" s="176">
        <f>Ecrêtage!E254</f>
        <v>41.225011955558315</v>
      </c>
      <c r="E254" s="176">
        <f t="shared" si="13"/>
        <v>8.2343153727619764</v>
      </c>
      <c r="F254" s="176">
        <f>+Données!X254</f>
        <v>78.5</v>
      </c>
      <c r="G254" s="290">
        <f t="shared" si="14"/>
        <v>-71904.841502184325</v>
      </c>
      <c r="H254" s="122">
        <f t="shared" si="15"/>
        <v>1.1612207002755492</v>
      </c>
      <c r="I254" s="42">
        <f t="shared" si="16"/>
        <v>-83497.390402368852</v>
      </c>
    </row>
    <row r="255" spans="1:9" x14ac:dyDescent="0.25">
      <c r="A255" s="38">
        <f>Données!A255</f>
        <v>5855</v>
      </c>
      <c r="B255" s="27" t="str">
        <f>Données!B255</f>
        <v>Dully</v>
      </c>
      <c r="C255" s="31">
        <f>Données!Z255</f>
        <v>632</v>
      </c>
      <c r="D255" s="176">
        <f>Ecrêtage!E255</f>
        <v>127.59442679722952</v>
      </c>
      <c r="E255" s="176">
        <f t="shared" si="13"/>
        <v>0</v>
      </c>
      <c r="F255" s="176">
        <f>+Données!X255</f>
        <v>53</v>
      </c>
      <c r="G255" s="290">
        <f t="shared" si="14"/>
        <v>0</v>
      </c>
      <c r="H255" s="122">
        <f t="shared" si="15"/>
        <v>0.78400888044081662</v>
      </c>
      <c r="I255" s="42">
        <f t="shared" si="16"/>
        <v>0</v>
      </c>
    </row>
    <row r="256" spans="1:9" x14ac:dyDescent="0.25">
      <c r="A256" s="38">
        <f>Données!A256</f>
        <v>5856</v>
      </c>
      <c r="B256" s="27" t="str">
        <f>Données!B256</f>
        <v>Essertines-sur-Rolle</v>
      </c>
      <c r="C256" s="31">
        <f>Données!Z256</f>
        <v>768</v>
      </c>
      <c r="D256" s="176">
        <f>Ecrêtage!E256</f>
        <v>52.196047736528833</v>
      </c>
      <c r="E256" s="176">
        <f t="shared" si="13"/>
        <v>0</v>
      </c>
      <c r="F256" s="176">
        <f>+Données!X256</f>
        <v>66.5</v>
      </c>
      <c r="G256" s="290">
        <f t="shared" si="14"/>
        <v>0</v>
      </c>
      <c r="H256" s="122">
        <f t="shared" si="15"/>
        <v>0.98370925564743983</v>
      </c>
      <c r="I256" s="42">
        <f t="shared" si="16"/>
        <v>0</v>
      </c>
    </row>
    <row r="257" spans="1:9" x14ac:dyDescent="0.25">
      <c r="A257" s="38">
        <f>Données!A257</f>
        <v>5857</v>
      </c>
      <c r="B257" s="27" t="str">
        <f>Données!B257</f>
        <v>Gilly</v>
      </c>
      <c r="C257" s="31">
        <f>Données!Z257</f>
        <v>1475</v>
      </c>
      <c r="D257" s="176">
        <f>Ecrêtage!E257</f>
        <v>63.028110892129796</v>
      </c>
      <c r="E257" s="176">
        <f t="shared" si="13"/>
        <v>0</v>
      </c>
      <c r="F257" s="176">
        <f>+Données!X257</f>
        <v>64.5</v>
      </c>
      <c r="G257" s="290">
        <f t="shared" si="14"/>
        <v>0</v>
      </c>
      <c r="H257" s="122">
        <f t="shared" si="15"/>
        <v>0.95412401487608822</v>
      </c>
      <c r="I257" s="42">
        <f t="shared" si="16"/>
        <v>0</v>
      </c>
    </row>
    <row r="258" spans="1:9" x14ac:dyDescent="0.25">
      <c r="A258" s="38">
        <f>Données!A258</f>
        <v>5858</v>
      </c>
      <c r="B258" s="27" t="str">
        <f>Données!B258</f>
        <v>Luins</v>
      </c>
      <c r="C258" s="31">
        <f>Données!Z258</f>
        <v>629</v>
      </c>
      <c r="D258" s="176">
        <f>Ecrêtage!E258</f>
        <v>54.804818574230339</v>
      </c>
      <c r="E258" s="176">
        <f t="shared" si="13"/>
        <v>0</v>
      </c>
      <c r="F258" s="176">
        <f>+Données!X258</f>
        <v>58.5</v>
      </c>
      <c r="G258" s="290">
        <f t="shared" si="14"/>
        <v>0</v>
      </c>
      <c r="H258" s="122">
        <f t="shared" si="15"/>
        <v>0.86536829256203351</v>
      </c>
      <c r="I258" s="42">
        <f t="shared" si="16"/>
        <v>0</v>
      </c>
    </row>
    <row r="259" spans="1:9" x14ac:dyDescent="0.25">
      <c r="A259" s="38">
        <f>Données!A259</f>
        <v>5859</v>
      </c>
      <c r="B259" s="27" t="str">
        <f>Données!B259</f>
        <v>Mont-sur-Rolle</v>
      </c>
      <c r="C259" s="31">
        <f>Données!Z259</f>
        <v>2784</v>
      </c>
      <c r="D259" s="176">
        <f>Ecrêtage!E259</f>
        <v>66.095374072314257</v>
      </c>
      <c r="E259" s="176">
        <f t="shared" si="13"/>
        <v>0</v>
      </c>
      <c r="F259" s="176">
        <f>+Données!X259</f>
        <v>63.5</v>
      </c>
      <c r="G259" s="290">
        <f t="shared" si="14"/>
        <v>0</v>
      </c>
      <c r="H259" s="122">
        <f t="shared" si="15"/>
        <v>0.93933139449041247</v>
      </c>
      <c r="I259" s="42">
        <f t="shared" si="16"/>
        <v>0</v>
      </c>
    </row>
    <row r="260" spans="1:9" x14ac:dyDescent="0.25">
      <c r="A260" s="38">
        <f>Données!A260</f>
        <v>5860</v>
      </c>
      <c r="B260" s="27" t="str">
        <f>Données!B260</f>
        <v>Perroy</v>
      </c>
      <c r="C260" s="31">
        <f>Données!Z260</f>
        <v>1600</v>
      </c>
      <c r="D260" s="176">
        <f>Ecrêtage!E260</f>
        <v>71.884044666337928</v>
      </c>
      <c r="E260" s="176">
        <f t="shared" si="13"/>
        <v>0</v>
      </c>
      <c r="F260" s="176">
        <f>+Données!X260</f>
        <v>58.5</v>
      </c>
      <c r="G260" s="290">
        <f t="shared" si="14"/>
        <v>0</v>
      </c>
      <c r="H260" s="122">
        <f t="shared" si="15"/>
        <v>0.86536829256203351</v>
      </c>
      <c r="I260" s="42">
        <f t="shared" si="16"/>
        <v>0</v>
      </c>
    </row>
    <row r="261" spans="1:9" x14ac:dyDescent="0.25">
      <c r="A261" s="38">
        <f>Données!A261</f>
        <v>5861</v>
      </c>
      <c r="B261" s="27" t="str">
        <f>Données!B261</f>
        <v>Rolle</v>
      </c>
      <c r="C261" s="31">
        <f>Données!Z261</f>
        <v>6453</v>
      </c>
      <c r="D261" s="176">
        <f>Ecrêtage!E261</f>
        <v>157.87754665604035</v>
      </c>
      <c r="E261" s="176">
        <f t="shared" si="13"/>
        <v>0</v>
      </c>
      <c r="F261" s="176">
        <f>+Données!X261</f>
        <v>59.5</v>
      </c>
      <c r="G261" s="290">
        <f t="shared" si="14"/>
        <v>0</v>
      </c>
      <c r="H261" s="122">
        <f t="shared" si="15"/>
        <v>0.88016091294770926</v>
      </c>
      <c r="I261" s="42">
        <f t="shared" si="16"/>
        <v>0</v>
      </c>
    </row>
    <row r="262" spans="1:9" x14ac:dyDescent="0.25">
      <c r="A262" s="38">
        <f>Données!A262</f>
        <v>5862</v>
      </c>
      <c r="B262" s="27" t="str">
        <f>Données!B262</f>
        <v>Tartegnin</v>
      </c>
      <c r="C262" s="31">
        <f>Données!Z262</f>
        <v>250</v>
      </c>
      <c r="D262" s="176">
        <f>Ecrêtage!E262</f>
        <v>45.565781265822785</v>
      </c>
      <c r="E262" s="176">
        <f t="shared" si="13"/>
        <v>3.8935460624975065</v>
      </c>
      <c r="F262" s="176">
        <f>+Données!X262</f>
        <v>79</v>
      </c>
      <c r="G262" s="290">
        <f t="shared" si="14"/>
        <v>-20762.334378267955</v>
      </c>
      <c r="H262" s="122">
        <f t="shared" si="15"/>
        <v>1.1686170104683871</v>
      </c>
      <c r="I262" s="42">
        <f t="shared" si="16"/>
        <v>-24263.217131476515</v>
      </c>
    </row>
    <row r="263" spans="1:9" x14ac:dyDescent="0.25">
      <c r="A263" s="38">
        <f>Données!A263</f>
        <v>5863</v>
      </c>
      <c r="B263" s="27" t="str">
        <f>Données!B263</f>
        <v>Vinzel</v>
      </c>
      <c r="C263" s="31">
        <f>Données!Z263</f>
        <v>381</v>
      </c>
      <c r="D263" s="176">
        <f>Ecrêtage!E263</f>
        <v>59.305177064405413</v>
      </c>
      <c r="E263" s="176">
        <f t="shared" ref="E263:E305" si="17">IF($D$306-D263&lt;0,0,$D$306-D263)</f>
        <v>0</v>
      </c>
      <c r="F263" s="176">
        <f>+Données!X263</f>
        <v>65</v>
      </c>
      <c r="G263" s="290">
        <f t="shared" ref="G263:G305" si="18">-((C263*E263*F263)*$E$5)</f>
        <v>0</v>
      </c>
      <c r="H263" s="122">
        <f t="shared" ref="H263:H305" si="19">F263/$F$306</f>
        <v>0.96152032506892615</v>
      </c>
      <c r="I263" s="42">
        <f t="shared" ref="I263:I305" si="20">G263*H263</f>
        <v>0</v>
      </c>
    </row>
    <row r="264" spans="1:9" x14ac:dyDescent="0.25">
      <c r="A264" s="38">
        <f>Données!A264</f>
        <v>5871</v>
      </c>
      <c r="B264" s="27" t="str">
        <f>Données!B264</f>
        <v>L'Abbaye</v>
      </c>
      <c r="C264" s="31">
        <f>Données!Z264</f>
        <v>1534</v>
      </c>
      <c r="D264" s="176">
        <f>Ecrêtage!E264</f>
        <v>32.844074177928377</v>
      </c>
      <c r="E264" s="176">
        <f t="shared" si="17"/>
        <v>16.615253150391915</v>
      </c>
      <c r="F264" s="176">
        <f>+Données!X264</f>
        <v>77.23</v>
      </c>
      <c r="G264" s="290">
        <f t="shared" si="18"/>
        <v>-531474.1196133187</v>
      </c>
      <c r="H264" s="122">
        <f t="shared" si="19"/>
        <v>1.1424340723857411</v>
      </c>
      <c r="I264" s="42">
        <f t="shared" si="20"/>
        <v>-607174.14283747016</v>
      </c>
    </row>
    <row r="265" spans="1:9" x14ac:dyDescent="0.25">
      <c r="A265" s="38">
        <f>Données!A265</f>
        <v>5872</v>
      </c>
      <c r="B265" s="27" t="str">
        <f>Données!B265</f>
        <v>Le Chenit</v>
      </c>
      <c r="C265" s="31">
        <f>Données!Z265</f>
        <v>4712</v>
      </c>
      <c r="D265" s="176">
        <f>Ecrêtage!E265</f>
        <v>67.357470427912688</v>
      </c>
      <c r="E265" s="176">
        <f t="shared" si="17"/>
        <v>0</v>
      </c>
      <c r="F265" s="176">
        <f>+Données!X265</f>
        <v>67.040000000000006</v>
      </c>
      <c r="G265" s="290">
        <f t="shared" si="18"/>
        <v>0</v>
      </c>
      <c r="H265" s="122">
        <f t="shared" si="19"/>
        <v>0.99169727065570479</v>
      </c>
      <c r="I265" s="42">
        <f t="shared" si="20"/>
        <v>0</v>
      </c>
    </row>
    <row r="266" spans="1:9" x14ac:dyDescent="0.25">
      <c r="A266" s="38">
        <f>Données!A266</f>
        <v>5873</v>
      </c>
      <c r="B266" s="27" t="str">
        <f>Données!B266</f>
        <v>Le Lieu</v>
      </c>
      <c r="C266" s="31">
        <f>Données!Z266</f>
        <v>910</v>
      </c>
      <c r="D266" s="176">
        <f>Ecrêtage!E266</f>
        <v>35.235905612244899</v>
      </c>
      <c r="E266" s="176">
        <f t="shared" si="17"/>
        <v>14.223421716075393</v>
      </c>
      <c r="F266" s="176">
        <f>+Données!X266</f>
        <v>70</v>
      </c>
      <c r="G266" s="290">
        <f t="shared" si="18"/>
        <v>-244628.6300947807</v>
      </c>
      <c r="H266" s="122">
        <f t="shared" si="19"/>
        <v>1.035483426997305</v>
      </c>
      <c r="I266" s="42">
        <f t="shared" si="20"/>
        <v>-253308.89223219958</v>
      </c>
    </row>
    <row r="267" spans="1:9" x14ac:dyDescent="0.25">
      <c r="A267" s="38">
        <f>Données!A267</f>
        <v>5882</v>
      </c>
      <c r="B267" s="27" t="str">
        <f>Données!B267</f>
        <v>Chardonne</v>
      </c>
      <c r="C267" s="31">
        <f>Données!Z267</f>
        <v>3243</v>
      </c>
      <c r="D267" s="176">
        <f>Ecrêtage!E267</f>
        <v>58.928693656926235</v>
      </c>
      <c r="E267" s="176">
        <f t="shared" si="17"/>
        <v>0</v>
      </c>
      <c r="F267" s="176">
        <f>+Données!X267</f>
        <v>68</v>
      </c>
      <c r="G267" s="290">
        <f t="shared" si="18"/>
        <v>0</v>
      </c>
      <c r="H267" s="122">
        <f t="shared" si="19"/>
        <v>1.0058981862259535</v>
      </c>
      <c r="I267" s="42">
        <f t="shared" si="20"/>
        <v>0</v>
      </c>
    </row>
    <row r="268" spans="1:9" x14ac:dyDescent="0.25">
      <c r="A268" s="38">
        <f>Données!A268</f>
        <v>5883</v>
      </c>
      <c r="B268" s="27" t="str">
        <f>Données!B268</f>
        <v>Corseaux</v>
      </c>
      <c r="C268" s="31">
        <f>Données!Z268</f>
        <v>2339</v>
      </c>
      <c r="D268" s="176">
        <f>Ecrêtage!E268</f>
        <v>73.057206403496281</v>
      </c>
      <c r="E268" s="176">
        <f t="shared" si="17"/>
        <v>0</v>
      </c>
      <c r="F268" s="176">
        <f>+Données!X268</f>
        <v>67.5</v>
      </c>
      <c r="G268" s="290">
        <f t="shared" si="18"/>
        <v>0</v>
      </c>
      <c r="H268" s="122">
        <f t="shared" si="19"/>
        <v>0.99850187603311558</v>
      </c>
      <c r="I268" s="42">
        <f t="shared" si="20"/>
        <v>0</v>
      </c>
    </row>
    <row r="269" spans="1:9" x14ac:dyDescent="0.25">
      <c r="A269" s="38">
        <f>Données!A269</f>
        <v>5884</v>
      </c>
      <c r="B269" s="27" t="str">
        <f>Données!B269</f>
        <v>Corsier-sur-Vevey</v>
      </c>
      <c r="C269" s="31">
        <f>Données!Z269</f>
        <v>3429</v>
      </c>
      <c r="D269" s="176">
        <f>Ecrêtage!E269</f>
        <v>43.139870070074146</v>
      </c>
      <c r="E269" s="176">
        <f t="shared" si="17"/>
        <v>6.3194572582461461</v>
      </c>
      <c r="F269" s="176">
        <f>+Données!X269</f>
        <v>64.5</v>
      </c>
      <c r="G269" s="290">
        <f t="shared" si="18"/>
        <v>-377372.93081443093</v>
      </c>
      <c r="H269" s="122">
        <f t="shared" si="19"/>
        <v>0.95412401487608822</v>
      </c>
      <c r="I269" s="42">
        <f t="shared" si="20"/>
        <v>-360060.57585422113</v>
      </c>
    </row>
    <row r="270" spans="1:9" x14ac:dyDescent="0.25">
      <c r="A270" s="38">
        <f>Données!A270</f>
        <v>5885</v>
      </c>
      <c r="B270" s="27" t="str">
        <f>Données!B270</f>
        <v>Jongny</v>
      </c>
      <c r="C270" s="31">
        <f>Données!Z270</f>
        <v>1918</v>
      </c>
      <c r="D270" s="176">
        <f>Ecrêtage!E270</f>
        <v>51.082378326744234</v>
      </c>
      <c r="E270" s="176">
        <f t="shared" si="17"/>
        <v>0</v>
      </c>
      <c r="F270" s="176">
        <f>+Données!X270</f>
        <v>69.5</v>
      </c>
      <c r="G270" s="290">
        <f t="shared" si="18"/>
        <v>0</v>
      </c>
      <c r="H270" s="122">
        <f t="shared" si="19"/>
        <v>1.0280871168044672</v>
      </c>
      <c r="I270" s="42">
        <f t="shared" si="20"/>
        <v>0</v>
      </c>
    </row>
    <row r="271" spans="1:9" x14ac:dyDescent="0.25">
      <c r="A271" s="38">
        <f>Données!A271</f>
        <v>5886</v>
      </c>
      <c r="B271" s="27" t="str">
        <f>Données!B271</f>
        <v>Montreux</v>
      </c>
      <c r="C271" s="31">
        <f>Données!Z271</f>
        <v>26837</v>
      </c>
      <c r="D271" s="176">
        <f>Ecrêtage!E271</f>
        <v>43.58240610599794</v>
      </c>
      <c r="E271" s="176">
        <f t="shared" si="17"/>
        <v>5.8769212223223519</v>
      </c>
      <c r="F271" s="176">
        <f>+Données!X271</f>
        <v>65</v>
      </c>
      <c r="G271" s="290">
        <f t="shared" si="18"/>
        <v>-2767967.3065028102</v>
      </c>
      <c r="H271" s="122">
        <f t="shared" si="19"/>
        <v>0.96152032506892615</v>
      </c>
      <c r="I271" s="42">
        <f t="shared" si="20"/>
        <v>-2661456.824328742</v>
      </c>
    </row>
    <row r="272" spans="1:9" x14ac:dyDescent="0.25">
      <c r="A272" s="38">
        <f>Données!A272</f>
        <v>5889</v>
      </c>
      <c r="B272" s="27" t="str">
        <f>Données!B272</f>
        <v>La Tour-de-Peilz</v>
      </c>
      <c r="C272" s="31">
        <f>Données!Z272</f>
        <v>12605</v>
      </c>
      <c r="D272" s="176">
        <f>Ecrêtage!E272</f>
        <v>61.817047701391637</v>
      </c>
      <c r="E272" s="176">
        <f t="shared" si="17"/>
        <v>0</v>
      </c>
      <c r="F272" s="176">
        <f>+Données!X272</f>
        <v>64</v>
      </c>
      <c r="G272" s="290">
        <f t="shared" si="18"/>
        <v>0</v>
      </c>
      <c r="H272" s="122">
        <f t="shared" si="19"/>
        <v>0.94672770468325029</v>
      </c>
      <c r="I272" s="42">
        <f t="shared" si="20"/>
        <v>0</v>
      </c>
    </row>
    <row r="273" spans="1:9" x14ac:dyDescent="0.25">
      <c r="A273" s="38">
        <f>Données!A273</f>
        <v>5890</v>
      </c>
      <c r="B273" s="27" t="str">
        <f>Données!B273</f>
        <v>Vevey</v>
      </c>
      <c r="C273" s="31">
        <f>Données!Z273</f>
        <v>20155</v>
      </c>
      <c r="D273" s="176">
        <f>Ecrêtage!E273</f>
        <v>51.318583412557153</v>
      </c>
      <c r="E273" s="176">
        <f t="shared" si="17"/>
        <v>0</v>
      </c>
      <c r="F273" s="176">
        <f>+Données!X273</f>
        <v>74.5</v>
      </c>
      <c r="G273" s="290">
        <f t="shared" si="18"/>
        <v>0</v>
      </c>
      <c r="H273" s="122">
        <f t="shared" si="19"/>
        <v>1.102050218732846</v>
      </c>
      <c r="I273" s="42">
        <f t="shared" si="20"/>
        <v>0</v>
      </c>
    </row>
    <row r="274" spans="1:9" x14ac:dyDescent="0.25">
      <c r="A274" s="38">
        <f>Données!A274</f>
        <v>5891</v>
      </c>
      <c r="B274" s="27" t="str">
        <f>Données!B274</f>
        <v>Veytaux</v>
      </c>
      <c r="C274" s="31">
        <f>Données!Z274</f>
        <v>997</v>
      </c>
      <c r="D274" s="176">
        <f>Ecrêtage!E274</f>
        <v>45.784584073207277</v>
      </c>
      <c r="E274" s="176">
        <f t="shared" si="17"/>
        <v>3.6747432551130146</v>
      </c>
      <c r="F274" s="176">
        <f>+Données!X274</f>
        <v>67.5</v>
      </c>
      <c r="G274" s="290">
        <f t="shared" si="18"/>
        <v>-66771.279236961389</v>
      </c>
      <c r="H274" s="122">
        <f t="shared" si="19"/>
        <v>0.99850187603311558</v>
      </c>
      <c r="I274" s="42">
        <f t="shared" si="20"/>
        <v>-66671.247583236967</v>
      </c>
    </row>
    <row r="275" spans="1:9" x14ac:dyDescent="0.25">
      <c r="A275" s="38">
        <f>Données!A275</f>
        <v>5892</v>
      </c>
      <c r="B275" s="27" t="str">
        <f>Données!B275</f>
        <v>Blonay - Saint-Légier</v>
      </c>
      <c r="C275" s="31">
        <f>Données!Z275</f>
        <v>12340</v>
      </c>
      <c r="D275" s="176">
        <f>Ecrêtage!E275</f>
        <v>58.354143808633715</v>
      </c>
      <c r="E275" s="176">
        <f t="shared" si="17"/>
        <v>0</v>
      </c>
      <c r="F275" s="176">
        <f>+Données!X275</f>
        <v>68.5</v>
      </c>
      <c r="G275" s="290">
        <f t="shared" si="18"/>
        <v>0</v>
      </c>
      <c r="H275" s="122">
        <f t="shared" si="19"/>
        <v>1.0132944964187913</v>
      </c>
      <c r="I275" s="42">
        <f t="shared" si="20"/>
        <v>0</v>
      </c>
    </row>
    <row r="276" spans="1:9" x14ac:dyDescent="0.25">
      <c r="A276" s="38">
        <f>Données!A276</f>
        <v>5902</v>
      </c>
      <c r="B276" s="27" t="str">
        <f>Données!B276</f>
        <v>Belmont-sur-Yverdon</v>
      </c>
      <c r="C276" s="31">
        <f>Données!Z276</f>
        <v>443</v>
      </c>
      <c r="D276" s="176">
        <f>Ecrêtage!E276</f>
        <v>30.313208319896809</v>
      </c>
      <c r="E276" s="176">
        <f t="shared" si="17"/>
        <v>19.146119008423483</v>
      </c>
      <c r="F276" s="176">
        <f>+Données!X276</f>
        <v>70</v>
      </c>
      <c r="G276" s="290">
        <f t="shared" si="18"/>
        <v>-160304.71062182731</v>
      </c>
      <c r="H276" s="122">
        <f t="shared" si="19"/>
        <v>1.035483426997305</v>
      </c>
      <c r="I276" s="42">
        <f t="shared" si="20"/>
        <v>-165992.87111850103</v>
      </c>
    </row>
    <row r="277" spans="1:9" s="156" customFormat="1" x14ac:dyDescent="0.25">
      <c r="A277" s="38">
        <f>Données!A277</f>
        <v>5903</v>
      </c>
      <c r="B277" s="27" t="str">
        <f>Données!B277</f>
        <v>Bioley-Magnoux</v>
      </c>
      <c r="C277" s="31">
        <f>Données!Z277</f>
        <v>253</v>
      </c>
      <c r="D277" s="176">
        <f>Ecrêtage!E277</f>
        <v>24.817050865800869</v>
      </c>
      <c r="E277" s="176">
        <f t="shared" si="17"/>
        <v>24.642276462519423</v>
      </c>
      <c r="F277" s="176">
        <f>+Données!X277</f>
        <v>72</v>
      </c>
      <c r="G277" s="290">
        <f t="shared" si="18"/>
        <v>-121198.60117113854</v>
      </c>
      <c r="H277" s="122">
        <f t="shared" si="19"/>
        <v>1.0650686677686567</v>
      </c>
      <c r="I277" s="42">
        <f t="shared" si="20"/>
        <v>-129084.83268476928</v>
      </c>
    </row>
    <row r="278" spans="1:9" s="156" customFormat="1" x14ac:dyDescent="0.25">
      <c r="A278" s="38">
        <f>Données!A278</f>
        <v>5904</v>
      </c>
      <c r="B278" s="27" t="str">
        <f>Données!B278</f>
        <v>Chamblon</v>
      </c>
      <c r="C278" s="31">
        <f>Données!Z278</f>
        <v>561</v>
      </c>
      <c r="D278" s="176">
        <f>Ecrêtage!E278</f>
        <v>32.378950467239235</v>
      </c>
      <c r="E278" s="176">
        <f t="shared" si="17"/>
        <v>17.080376861081056</v>
      </c>
      <c r="F278" s="176">
        <f>+Données!X278</f>
        <v>66</v>
      </c>
      <c r="G278" s="290">
        <f t="shared" si="18"/>
        <v>-170752.86908776456</v>
      </c>
      <c r="H278" s="122">
        <f t="shared" si="19"/>
        <v>0.9763129454546019</v>
      </c>
      <c r="I278" s="42">
        <f t="shared" si="20"/>
        <v>-166708.23656389947</v>
      </c>
    </row>
    <row r="279" spans="1:9" s="156" customFormat="1" x14ac:dyDescent="0.25">
      <c r="A279" s="38">
        <f>Données!A279</f>
        <v>5905</v>
      </c>
      <c r="B279" s="27" t="str">
        <f>Données!B279</f>
        <v>Champvent</v>
      </c>
      <c r="C279" s="31">
        <f>Données!Z279</f>
        <v>731</v>
      </c>
      <c r="D279" s="176">
        <f>Ecrêtage!E279</f>
        <v>30.450871799882744</v>
      </c>
      <c r="E279" s="176">
        <f t="shared" si="17"/>
        <v>19.008455528437548</v>
      </c>
      <c r="F279" s="176">
        <f>+Données!X279</f>
        <v>70</v>
      </c>
      <c r="G279" s="290">
        <f t="shared" si="18"/>
        <v>-262618.92073534033</v>
      </c>
      <c r="H279" s="122">
        <f t="shared" si="19"/>
        <v>1.035483426997305</v>
      </c>
      <c r="I279" s="42">
        <f t="shared" si="20"/>
        <v>-271937.54003736383</v>
      </c>
    </row>
    <row r="280" spans="1:9" s="156" customFormat="1" x14ac:dyDescent="0.25">
      <c r="A280" s="38">
        <f>Données!A280</f>
        <v>5907</v>
      </c>
      <c r="B280" s="27" t="str">
        <f>Données!B280</f>
        <v>Chavannes-le-Chêne</v>
      </c>
      <c r="C280" s="31">
        <f>Données!Z280</f>
        <v>317</v>
      </c>
      <c r="D280" s="176">
        <f>Ecrêtage!E280</f>
        <v>27.753708096740269</v>
      </c>
      <c r="E280" s="176">
        <f t="shared" si="17"/>
        <v>21.705619231580023</v>
      </c>
      <c r="F280" s="176">
        <f>+Données!X280</f>
        <v>75</v>
      </c>
      <c r="G280" s="290">
        <f t="shared" si="18"/>
        <v>-139333.79625232008</v>
      </c>
      <c r="H280" s="122">
        <f t="shared" si="19"/>
        <v>1.1094465289256841</v>
      </c>
      <c r="I280" s="42">
        <f t="shared" si="20"/>
        <v>-154583.396614175</v>
      </c>
    </row>
    <row r="281" spans="1:9" s="156" customFormat="1" x14ac:dyDescent="0.25">
      <c r="A281" s="38">
        <f>Données!A281</f>
        <v>5908</v>
      </c>
      <c r="B281" s="27" t="str">
        <f>Données!B281</f>
        <v>Chêne-Pâquier</v>
      </c>
      <c r="C281" s="31">
        <f>Données!Z281</f>
        <v>175</v>
      </c>
      <c r="D281" s="176">
        <f>Ecrêtage!E281</f>
        <v>33.421193904761907</v>
      </c>
      <c r="E281" s="176">
        <f t="shared" si="17"/>
        <v>16.038133423558385</v>
      </c>
      <c r="F281" s="176">
        <f>+Données!X281</f>
        <v>75</v>
      </c>
      <c r="G281" s="290">
        <f t="shared" si="18"/>
        <v>-56835.135319735033</v>
      </c>
      <c r="H281" s="122">
        <f t="shared" si="19"/>
        <v>1.1094465289256841</v>
      </c>
      <c r="I281" s="42">
        <f t="shared" si="20"/>
        <v>-63055.54360150158</v>
      </c>
    </row>
    <row r="282" spans="1:9" s="156" customFormat="1" x14ac:dyDescent="0.25">
      <c r="A282" s="38">
        <f>Données!A282</f>
        <v>5909</v>
      </c>
      <c r="B282" s="27" t="str">
        <f>Données!B282</f>
        <v>Cheseaux-Noréaz</v>
      </c>
      <c r="C282" s="31">
        <f>Données!Z282</f>
        <v>739</v>
      </c>
      <c r="D282" s="176">
        <f>Ecrêtage!E282</f>
        <v>52.345852806333703</v>
      </c>
      <c r="E282" s="176">
        <f t="shared" si="17"/>
        <v>0</v>
      </c>
      <c r="F282" s="176">
        <f>+Données!X282</f>
        <v>67</v>
      </c>
      <c r="G282" s="290">
        <f t="shared" si="18"/>
        <v>0</v>
      </c>
      <c r="H282" s="122">
        <f t="shared" si="19"/>
        <v>0.99110556584027765</v>
      </c>
      <c r="I282" s="42">
        <f t="shared" si="20"/>
        <v>0</v>
      </c>
    </row>
    <row r="283" spans="1:9" s="156" customFormat="1" x14ac:dyDescent="0.25">
      <c r="A283" s="38">
        <f>Données!A283</f>
        <v>5910</v>
      </c>
      <c r="B283" s="27" t="str">
        <f>Données!B283</f>
        <v>Cronay</v>
      </c>
      <c r="C283" s="31">
        <f>Données!Z283</f>
        <v>422</v>
      </c>
      <c r="D283" s="176">
        <f>Ecrêtage!E283</f>
        <v>30.752265956792023</v>
      </c>
      <c r="E283" s="176">
        <f t="shared" si="17"/>
        <v>18.707061371528269</v>
      </c>
      <c r="F283" s="176">
        <f>+Données!X283</f>
        <v>77</v>
      </c>
      <c r="G283" s="290">
        <f t="shared" si="18"/>
        <v>-164124.15809573871</v>
      </c>
      <c r="H283" s="122">
        <f t="shared" si="19"/>
        <v>1.1390317696970356</v>
      </c>
      <c r="I283" s="42">
        <f t="shared" si="20"/>
        <v>-186942.6302458253</v>
      </c>
    </row>
    <row r="284" spans="1:9" s="156" customFormat="1" x14ac:dyDescent="0.25">
      <c r="A284" s="38">
        <f>Données!A284</f>
        <v>5911</v>
      </c>
      <c r="B284" s="27" t="str">
        <f>Données!B284</f>
        <v>Cuarny</v>
      </c>
      <c r="C284" s="31">
        <f>Données!Z284</f>
        <v>242</v>
      </c>
      <c r="D284" s="176">
        <f>Ecrêtage!E284</f>
        <v>32.310214661371688</v>
      </c>
      <c r="E284" s="176">
        <f t="shared" si="17"/>
        <v>17.149112666948604</v>
      </c>
      <c r="F284" s="176">
        <f>+Données!X284</f>
        <v>77</v>
      </c>
      <c r="G284" s="290">
        <f t="shared" si="18"/>
        <v>-86280.272667698475</v>
      </c>
      <c r="H284" s="122">
        <f t="shared" si="19"/>
        <v>1.1390317696970356</v>
      </c>
      <c r="I284" s="42">
        <f t="shared" si="20"/>
        <v>-98275.971666631362</v>
      </c>
    </row>
    <row r="285" spans="1:9" x14ac:dyDescent="0.25">
      <c r="A285" s="38">
        <f>Données!A285</f>
        <v>5912</v>
      </c>
      <c r="B285" s="27" t="str">
        <f>Données!B285</f>
        <v>Démoret</v>
      </c>
      <c r="C285" s="31">
        <f>Données!Z285</f>
        <v>160</v>
      </c>
      <c r="D285" s="176">
        <f>Ecrêtage!E285</f>
        <v>23.817637820512825</v>
      </c>
      <c r="E285" s="176">
        <f t="shared" si="17"/>
        <v>25.641689507807467</v>
      </c>
      <c r="F285" s="176">
        <f>+Données!X285</f>
        <v>78</v>
      </c>
      <c r="G285" s="290">
        <f t="shared" si="18"/>
        <v>-86402.236965508055</v>
      </c>
      <c r="H285" s="122">
        <f t="shared" si="19"/>
        <v>1.1538243900827114</v>
      </c>
      <c r="I285" s="42">
        <f t="shared" si="20"/>
        <v>-99693.00836850924</v>
      </c>
    </row>
    <row r="286" spans="1:9" x14ac:dyDescent="0.25">
      <c r="A286" s="38">
        <f>Données!A286</f>
        <v>5913</v>
      </c>
      <c r="B286" s="27" t="str">
        <f>Données!B286</f>
        <v>Donneloye</v>
      </c>
      <c r="C286" s="31">
        <f>Données!Z286</f>
        <v>919</v>
      </c>
      <c r="D286" s="176">
        <f>Ecrêtage!E286</f>
        <v>23.164057119859287</v>
      </c>
      <c r="E286" s="176">
        <f t="shared" si="17"/>
        <v>26.295270208461005</v>
      </c>
      <c r="F286" s="176">
        <f>+Données!X286</f>
        <v>73</v>
      </c>
      <c r="G286" s="290">
        <f t="shared" si="18"/>
        <v>-476299.1139682564</v>
      </c>
      <c r="H286" s="122">
        <f t="shared" si="19"/>
        <v>1.0798612881543324</v>
      </c>
      <c r="I286" s="42">
        <f t="shared" si="20"/>
        <v>-514336.97475652851</v>
      </c>
    </row>
    <row r="287" spans="1:9" x14ac:dyDescent="0.25">
      <c r="A287" s="38">
        <f>Données!A287</f>
        <v>5914</v>
      </c>
      <c r="B287" s="27" t="str">
        <f>Données!B287</f>
        <v>Ependes</v>
      </c>
      <c r="C287" s="31">
        <f>Données!Z287</f>
        <v>388</v>
      </c>
      <c r="D287" s="176">
        <f>Ecrêtage!E287</f>
        <v>29.096549547654114</v>
      </c>
      <c r="E287" s="176">
        <f t="shared" si="17"/>
        <v>20.362777780666178</v>
      </c>
      <c r="F287" s="176">
        <f>+Données!X287</f>
        <v>73.5</v>
      </c>
      <c r="G287" s="290">
        <f t="shared" si="18"/>
        <v>-156790.53812224028</v>
      </c>
      <c r="H287" s="122">
        <f t="shared" si="19"/>
        <v>1.0872575983471704</v>
      </c>
      <c r="I287" s="42">
        <f t="shared" si="20"/>
        <v>-170471.70392234743</v>
      </c>
    </row>
    <row r="288" spans="1:9" x14ac:dyDescent="0.25">
      <c r="A288" s="38">
        <f>Données!A288</f>
        <v>5919</v>
      </c>
      <c r="B288" s="27" t="str">
        <f>Données!B288</f>
        <v>Mathod</v>
      </c>
      <c r="C288" s="31">
        <f>Données!Z288</f>
        <v>709</v>
      </c>
      <c r="D288" s="176">
        <f>Ecrêtage!E288</f>
        <v>28.769918997805984</v>
      </c>
      <c r="E288" s="176">
        <f t="shared" si="17"/>
        <v>20.689408330514308</v>
      </c>
      <c r="F288" s="176">
        <f>+Données!X288</f>
        <v>72</v>
      </c>
      <c r="G288" s="290">
        <f t="shared" si="18"/>
        <v>-285161.28744314553</v>
      </c>
      <c r="H288" s="122">
        <f t="shared" si="19"/>
        <v>1.0650686677686567</v>
      </c>
      <c r="I288" s="42">
        <f t="shared" si="20"/>
        <v>-303716.35251626599</v>
      </c>
    </row>
    <row r="289" spans="1:9" x14ac:dyDescent="0.25">
      <c r="A289" s="38">
        <f>Données!A289</f>
        <v>5921</v>
      </c>
      <c r="B289" s="27" t="str">
        <f>Données!B289</f>
        <v>Molondin</v>
      </c>
      <c r="C289" s="31">
        <f>Données!Z289</f>
        <v>282</v>
      </c>
      <c r="D289" s="176">
        <f>Ecrêtage!E289</f>
        <v>19.342815427720865</v>
      </c>
      <c r="E289" s="176">
        <f t="shared" si="17"/>
        <v>30.116511900599427</v>
      </c>
      <c r="F289" s="176">
        <f>+Données!X289</f>
        <v>81</v>
      </c>
      <c r="G289" s="290">
        <f t="shared" si="18"/>
        <v>-185738.76850504291</v>
      </c>
      <c r="H289" s="122">
        <f t="shared" si="19"/>
        <v>1.1982022512397388</v>
      </c>
      <c r="I289" s="42">
        <f t="shared" si="20"/>
        <v>-222552.6105652391</v>
      </c>
    </row>
    <row r="290" spans="1:9" x14ac:dyDescent="0.25">
      <c r="A290" s="38">
        <f>Données!A290</f>
        <v>5922</v>
      </c>
      <c r="B290" s="27" t="str">
        <f>Données!B290</f>
        <v>Montagny-près-Yverdon</v>
      </c>
      <c r="C290" s="31">
        <f>Données!Z290</f>
        <v>777</v>
      </c>
      <c r="D290" s="176">
        <f>Ecrêtage!E290</f>
        <v>51.369967326130116</v>
      </c>
      <c r="E290" s="176">
        <f t="shared" si="17"/>
        <v>0</v>
      </c>
      <c r="F290" s="176">
        <f>+Données!X290</f>
        <v>64.5</v>
      </c>
      <c r="G290" s="290">
        <f t="shared" si="18"/>
        <v>0</v>
      </c>
      <c r="H290" s="122">
        <f t="shared" si="19"/>
        <v>0.95412401487608822</v>
      </c>
      <c r="I290" s="42">
        <f t="shared" si="20"/>
        <v>0</v>
      </c>
    </row>
    <row r="291" spans="1:9" x14ac:dyDescent="0.25">
      <c r="A291" s="38">
        <f>Données!A291</f>
        <v>5923</v>
      </c>
      <c r="B291" s="27" t="str">
        <f>Données!B291</f>
        <v>Oppens</v>
      </c>
      <c r="C291" s="31">
        <f>Données!Z291</f>
        <v>202</v>
      </c>
      <c r="D291" s="176">
        <f>Ecrêtage!E291</f>
        <v>30.330293973841833</v>
      </c>
      <c r="E291" s="176">
        <f t="shared" si="17"/>
        <v>19.129033354478459</v>
      </c>
      <c r="F291" s="176">
        <f>+Données!X291</f>
        <v>81</v>
      </c>
      <c r="G291" s="290">
        <f t="shared" si="18"/>
        <v>-84507.095811413674</v>
      </c>
      <c r="H291" s="122">
        <f t="shared" si="19"/>
        <v>1.1982022512397388</v>
      </c>
      <c r="I291" s="42">
        <f t="shared" si="20"/>
        <v>-101256.59244696816</v>
      </c>
    </row>
    <row r="292" spans="1:9" x14ac:dyDescent="0.25">
      <c r="A292" s="38">
        <f>Données!A292</f>
        <v>5924</v>
      </c>
      <c r="B292" s="27" t="str">
        <f>Données!B292</f>
        <v>Orges</v>
      </c>
      <c r="C292" s="31">
        <f>Données!Z292</f>
        <v>416</v>
      </c>
      <c r="D292" s="176">
        <f>Ecrêtage!E292</f>
        <v>29.812124155405403</v>
      </c>
      <c r="E292" s="176">
        <f t="shared" si="17"/>
        <v>19.647203172914889</v>
      </c>
      <c r="F292" s="176">
        <f>+Données!X292</f>
        <v>74</v>
      </c>
      <c r="G292" s="290">
        <f t="shared" si="18"/>
        <v>-163301.26566825324</v>
      </c>
      <c r="H292" s="122">
        <f t="shared" si="19"/>
        <v>1.0946539085400082</v>
      </c>
      <c r="I292" s="42">
        <f t="shared" si="20"/>
        <v>-178758.36873328366</v>
      </c>
    </row>
    <row r="293" spans="1:9" x14ac:dyDescent="0.25">
      <c r="A293" s="38">
        <f>Données!A293</f>
        <v>5925</v>
      </c>
      <c r="B293" s="27" t="str">
        <f>Données!B293</f>
        <v>Orzens</v>
      </c>
      <c r="C293" s="31">
        <f>Données!Z293</f>
        <v>214</v>
      </c>
      <c r="D293" s="176">
        <f>Ecrêtage!E293</f>
        <v>27.376788714066016</v>
      </c>
      <c r="E293" s="176">
        <f t="shared" si="17"/>
        <v>22.082538614254275</v>
      </c>
      <c r="F293" s="176">
        <f>+Données!X293</f>
        <v>79</v>
      </c>
      <c r="G293" s="290">
        <f t="shared" si="18"/>
        <v>-100798.39740939735</v>
      </c>
      <c r="H293" s="122">
        <f t="shared" si="19"/>
        <v>1.1686170104683871</v>
      </c>
      <c r="I293" s="42">
        <f t="shared" si="20"/>
        <v>-117794.72184057435</v>
      </c>
    </row>
    <row r="294" spans="1:9" x14ac:dyDescent="0.25">
      <c r="A294" s="38">
        <f>Données!A294</f>
        <v>5926</v>
      </c>
      <c r="B294" s="27" t="str">
        <f>Données!B294</f>
        <v>Pomy</v>
      </c>
      <c r="C294" s="31">
        <f>Données!Z294</f>
        <v>875</v>
      </c>
      <c r="D294" s="176">
        <f>Ecrêtage!E294</f>
        <v>31.148076619718307</v>
      </c>
      <c r="E294" s="176">
        <f t="shared" si="17"/>
        <v>18.311250708601985</v>
      </c>
      <c r="F294" s="176">
        <f>+Données!X294</f>
        <v>71</v>
      </c>
      <c r="G294" s="290">
        <f t="shared" si="18"/>
        <v>-307148.34157341259</v>
      </c>
      <c r="H294" s="122">
        <f t="shared" si="19"/>
        <v>1.0502760473829809</v>
      </c>
      <c r="I294" s="42">
        <f t="shared" si="20"/>
        <v>-322590.54614796146</v>
      </c>
    </row>
    <row r="295" spans="1:9" x14ac:dyDescent="0.25">
      <c r="A295" s="38">
        <f>Données!A295</f>
        <v>5928</v>
      </c>
      <c r="B295" s="27" t="str">
        <f>Données!B295</f>
        <v>Rovray</v>
      </c>
      <c r="C295" s="31">
        <f>Données!Z295</f>
        <v>199</v>
      </c>
      <c r="D295" s="176">
        <f>Ecrêtage!E295</f>
        <v>27.52332690851518</v>
      </c>
      <c r="E295" s="176">
        <f t="shared" si="17"/>
        <v>21.936000419805112</v>
      </c>
      <c r="F295" s="176">
        <f>+Données!X295</f>
        <v>73</v>
      </c>
      <c r="G295" s="290">
        <f t="shared" si="18"/>
        <v>-86039.35508659741</v>
      </c>
      <c r="H295" s="122">
        <f t="shared" si="19"/>
        <v>1.0798612881543324</v>
      </c>
      <c r="I295" s="42">
        <f t="shared" si="20"/>
        <v>-92910.56881578108</v>
      </c>
    </row>
    <row r="296" spans="1:9" x14ac:dyDescent="0.25">
      <c r="A296" s="38">
        <f>Données!A296</f>
        <v>5929</v>
      </c>
      <c r="B296" s="27" t="str">
        <f>Données!B296</f>
        <v>Suchy</v>
      </c>
      <c r="C296" s="31">
        <f>Données!Z296</f>
        <v>665</v>
      </c>
      <c r="D296" s="176">
        <f>Ecrêtage!E296</f>
        <v>33.434237056928033</v>
      </c>
      <c r="E296" s="176">
        <f t="shared" si="17"/>
        <v>16.025090271392259</v>
      </c>
      <c r="F296" s="176">
        <f>+Données!X296</f>
        <v>70</v>
      </c>
      <c r="G296" s="290">
        <f t="shared" si="18"/>
        <v>-201411.34707599363</v>
      </c>
      <c r="H296" s="122">
        <f t="shared" si="19"/>
        <v>1.035483426997305</v>
      </c>
      <c r="I296" s="42">
        <f t="shared" si="20"/>
        <v>-208558.11190639352</v>
      </c>
    </row>
    <row r="297" spans="1:9" x14ac:dyDescent="0.25">
      <c r="A297" s="38">
        <f>Données!A297</f>
        <v>5930</v>
      </c>
      <c r="B297" s="27" t="str">
        <f>Données!B297</f>
        <v>Suscévaz</v>
      </c>
      <c r="C297" s="31">
        <f>Données!Z297</f>
        <v>217</v>
      </c>
      <c r="D297" s="176">
        <f>Ecrêtage!E297</f>
        <v>27.703833205325139</v>
      </c>
      <c r="E297" s="176">
        <f t="shared" si="17"/>
        <v>21.755494122995152</v>
      </c>
      <c r="F297" s="176">
        <f>+Données!X297</f>
        <v>72</v>
      </c>
      <c r="G297" s="290">
        <f t="shared" si="18"/>
        <v>-91775.116847972604</v>
      </c>
      <c r="H297" s="122">
        <f t="shared" si="19"/>
        <v>1.0650686677686567</v>
      </c>
      <c r="I297" s="42">
        <f t="shared" si="20"/>
        <v>-97746.80143558298</v>
      </c>
    </row>
    <row r="298" spans="1:9" x14ac:dyDescent="0.25">
      <c r="A298" s="38">
        <f>Données!A298</f>
        <v>5931</v>
      </c>
      <c r="B298" s="27" t="str">
        <f>Données!B298</f>
        <v>Treycovagnes</v>
      </c>
      <c r="C298" s="31">
        <f>Données!Z298</f>
        <v>522</v>
      </c>
      <c r="D298" s="176">
        <f>Ecrêtage!E298</f>
        <v>30.983518343567933</v>
      </c>
      <c r="E298" s="176">
        <f t="shared" si="17"/>
        <v>18.475808984752359</v>
      </c>
      <c r="F298" s="176">
        <f>+Données!X298</f>
        <v>73</v>
      </c>
      <c r="G298" s="290">
        <f t="shared" si="18"/>
        <v>-190090.57783670284</v>
      </c>
      <c r="H298" s="122">
        <f t="shared" si="19"/>
        <v>1.0798612881543324</v>
      </c>
      <c r="I298" s="42">
        <f t="shared" si="20"/>
        <v>-205271.45624874331</v>
      </c>
    </row>
    <row r="299" spans="1:9" x14ac:dyDescent="0.25">
      <c r="A299" s="38">
        <f>Données!A299</f>
        <v>5932</v>
      </c>
      <c r="B299" s="27" t="str">
        <f>Données!B299</f>
        <v>Ursins</v>
      </c>
      <c r="C299" s="31">
        <f>Données!Z299</f>
        <v>234</v>
      </c>
      <c r="D299" s="176">
        <f>Ecrêtage!E299</f>
        <v>37.090294586894586</v>
      </c>
      <c r="E299" s="176">
        <f t="shared" si="17"/>
        <v>12.369032741425706</v>
      </c>
      <c r="F299" s="176">
        <f>+Données!X299</f>
        <v>75</v>
      </c>
      <c r="G299" s="290">
        <f t="shared" si="18"/>
        <v>-58610.661645245709</v>
      </c>
      <c r="H299" s="122">
        <f t="shared" si="19"/>
        <v>1.1094465289256841</v>
      </c>
      <c r="I299" s="42">
        <f t="shared" si="20"/>
        <v>-65025.395120355577</v>
      </c>
    </row>
    <row r="300" spans="1:9" x14ac:dyDescent="0.25">
      <c r="A300" s="38">
        <f>Données!A300</f>
        <v>5933</v>
      </c>
      <c r="B300" s="27" t="str">
        <f>Données!B300</f>
        <v>Valeyres-sous-Montagny</v>
      </c>
      <c r="C300" s="31">
        <f>Données!Z300</f>
        <v>703</v>
      </c>
      <c r="D300" s="176">
        <f>Ecrêtage!E300</f>
        <v>32.379766754436403</v>
      </c>
      <c r="E300" s="176">
        <f t="shared" si="17"/>
        <v>17.079560573883889</v>
      </c>
      <c r="F300" s="176">
        <f>+Données!X300</f>
        <v>70.5</v>
      </c>
      <c r="G300" s="290">
        <f t="shared" si="18"/>
        <v>-228551.93317328751</v>
      </c>
      <c r="H300" s="122">
        <f t="shared" si="19"/>
        <v>1.0428797371901428</v>
      </c>
      <c r="I300" s="42">
        <f t="shared" si="20"/>
        <v>-238352.18000205717</v>
      </c>
    </row>
    <row r="301" spans="1:9" x14ac:dyDescent="0.25">
      <c r="A301" s="38">
        <f>Données!A301</f>
        <v>5934</v>
      </c>
      <c r="B301" s="27" t="str">
        <f>Données!B301</f>
        <v>Valeyres-sous-Ursins</v>
      </c>
      <c r="C301" s="31">
        <f>Données!Z301</f>
        <v>237</v>
      </c>
      <c r="D301" s="176">
        <f>Ecrêtage!E301</f>
        <v>31.57390377554934</v>
      </c>
      <c r="E301" s="176">
        <f t="shared" si="17"/>
        <v>17.885423552770952</v>
      </c>
      <c r="F301" s="176">
        <f>+Données!X301</f>
        <v>77</v>
      </c>
      <c r="G301" s="290">
        <f t="shared" si="18"/>
        <v>-88125.595491919608</v>
      </c>
      <c r="H301" s="122">
        <f t="shared" si="19"/>
        <v>1.1390317696970356</v>
      </c>
      <c r="I301" s="42">
        <f t="shared" si="20"/>
        <v>-100377.85298876629</v>
      </c>
    </row>
    <row r="302" spans="1:9" x14ac:dyDescent="0.25">
      <c r="A302" s="38">
        <f>Données!A302</f>
        <v>5935</v>
      </c>
      <c r="B302" s="27" t="str">
        <f>Données!B302</f>
        <v>Villars-Epeney</v>
      </c>
      <c r="C302" s="31">
        <f>Données!Z302</f>
        <v>101</v>
      </c>
      <c r="D302" s="176">
        <f>Ecrêtage!E302</f>
        <v>40.509129295282463</v>
      </c>
      <c r="E302" s="176">
        <f t="shared" si="17"/>
        <v>8.9501980330378288</v>
      </c>
      <c r="F302" s="176">
        <f>+Données!X302</f>
        <v>68</v>
      </c>
      <c r="G302" s="290">
        <f t="shared" si="18"/>
        <v>-16596.889224544029</v>
      </c>
      <c r="H302" s="122">
        <f t="shared" si="19"/>
        <v>1.0058981862259535</v>
      </c>
      <c r="I302" s="42">
        <f t="shared" si="20"/>
        <v>-16694.780767961911</v>
      </c>
    </row>
    <row r="303" spans="1:9" x14ac:dyDescent="0.25">
      <c r="A303" s="38">
        <f>Données!A303</f>
        <v>5937</v>
      </c>
      <c r="B303" s="27" t="str">
        <f>Données!B303</f>
        <v>Vugelles-La Mothe</v>
      </c>
      <c r="C303" s="31">
        <f>Données!Z303</f>
        <v>151</v>
      </c>
      <c r="D303" s="176">
        <f>Ecrêtage!E303</f>
        <v>25.125932423300444</v>
      </c>
      <c r="E303" s="176">
        <f t="shared" si="17"/>
        <v>24.333394905019848</v>
      </c>
      <c r="F303" s="176">
        <f>+Données!X303</f>
        <v>70</v>
      </c>
      <c r="G303" s="290">
        <f t="shared" si="18"/>
        <v>-69445.07571943615</v>
      </c>
      <c r="H303" s="122">
        <f t="shared" si="19"/>
        <v>1.035483426997305</v>
      </c>
      <c r="I303" s="42">
        <f t="shared" si="20"/>
        <v>-71909.224994049087</v>
      </c>
    </row>
    <row r="304" spans="1:9" x14ac:dyDescent="0.25">
      <c r="A304" s="38">
        <f>Données!A304</f>
        <v>5938</v>
      </c>
      <c r="B304" s="27" t="str">
        <f>Données!B304</f>
        <v>Yverdon-les-Bains</v>
      </c>
      <c r="C304" s="31">
        <f>Données!Z304</f>
        <v>30221</v>
      </c>
      <c r="D304" s="176">
        <f>Ecrêtage!E304</f>
        <v>26.262610820290519</v>
      </c>
      <c r="E304" s="176">
        <f t="shared" si="17"/>
        <v>23.196716508029773</v>
      </c>
      <c r="F304" s="176">
        <f>+Données!X304</f>
        <v>75</v>
      </c>
      <c r="G304" s="290">
        <f t="shared" si="18"/>
        <v>-14195816.384180648</v>
      </c>
      <c r="H304" s="122">
        <f t="shared" si="19"/>
        <v>1.1094465289256841</v>
      </c>
      <c r="I304" s="42">
        <f t="shared" si="20"/>
        <v>-15749499.212695576</v>
      </c>
    </row>
    <row r="305" spans="1:9" x14ac:dyDescent="0.25">
      <c r="A305" s="38">
        <f>Données!A305</f>
        <v>5939</v>
      </c>
      <c r="B305" s="27" t="str">
        <f>Données!B305</f>
        <v>Yvonand</v>
      </c>
      <c r="C305" s="31">
        <f>Données!Z305</f>
        <v>3536</v>
      </c>
      <c r="D305" s="176">
        <f>Ecrêtage!E305</f>
        <v>27.229458239724078</v>
      </c>
      <c r="E305" s="176">
        <f t="shared" si="17"/>
        <v>22.229869088596214</v>
      </c>
      <c r="F305" s="176">
        <f>+Données!X305</f>
        <v>71.5</v>
      </c>
      <c r="G305" s="317">
        <f t="shared" si="18"/>
        <v>-1517465.9940629175</v>
      </c>
      <c r="H305" s="122">
        <f t="shared" si="19"/>
        <v>1.0576723575758187</v>
      </c>
      <c r="I305" s="42">
        <f t="shared" si="20"/>
        <v>-1604981.8354816593</v>
      </c>
    </row>
    <row r="306" spans="1:9" x14ac:dyDescent="0.25">
      <c r="A306" s="25"/>
      <c r="B306" s="73">
        <f>COUNTA(B6:B305)</f>
        <v>300</v>
      </c>
      <c r="C306" s="9">
        <f>SUM(C6:C305)</f>
        <v>846303</v>
      </c>
      <c r="D306" s="17">
        <f>Ecrêtage!E306</f>
        <v>49.459327328320292</v>
      </c>
      <c r="E306" s="17"/>
      <c r="F306" s="123">
        <f>VPI!Q306</f>
        <v>67.601275090404883</v>
      </c>
      <c r="G306" s="250">
        <f>SUM(G6:G305)</f>
        <v>-138220985.67153913</v>
      </c>
      <c r="H306" s="288">
        <f>F306/F$306</f>
        <v>1</v>
      </c>
      <c r="I306" s="30">
        <f>SUM(I6:I305)</f>
        <v>-147471627.84535584</v>
      </c>
    </row>
  </sheetData>
  <sheetProtection sheet="1" objects="1" scenarios="1"/>
  <mergeCells count="8">
    <mergeCell ref="A4:A5"/>
    <mergeCell ref="I4:I5"/>
    <mergeCell ref="H4:H5"/>
    <mergeCell ref="F4:F5"/>
    <mergeCell ref="G4:G5"/>
    <mergeCell ref="B4:B5"/>
    <mergeCell ref="C4:C5"/>
    <mergeCell ref="D4:D5"/>
  </mergeCells>
  <phoneticPr fontId="21" type="noConversion"/>
  <hyperlinks>
    <hyperlink ref="E1" location="Population!A1" display="← Précédent" xr:uid="{FA7D792E-F931-4B28-A994-C274FA1E13DC}"/>
    <hyperlink ref="G1" location="DT!A1" display="Suivant →" xr:uid="{42740692-23A6-4EE7-A698-07672C5336C9}"/>
    <hyperlink ref="F1" location="'Table des matières'!A1" display="Table des             matières" xr:uid="{1F6BF085-4168-4E4A-85BB-BC1DC2C07F2A}"/>
  </hyperlinks>
  <pageMargins left="0.78740157499999996" right="0.78740157499999996" top="0.984251969" bottom="0.984251969" header="0.4921259845" footer="0.4921259845"/>
  <pageSetup paperSize="9" orientation="portrait" horizontalDpi="4294967292" verticalDpi="4294967292"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tabColor theme="6" tint="0.39997558519241921"/>
  </sheetPr>
  <dimension ref="A1:AL307"/>
  <sheetViews>
    <sheetView zoomScaleNormal="100" workbookViewId="0">
      <pane ySplit="5" topLeftCell="A6" activePane="bottomLeft" state="frozen"/>
      <selection pane="bottomLeft"/>
    </sheetView>
  </sheetViews>
  <sheetFormatPr baseColWidth="10" defaultColWidth="10.75" defaultRowHeight="15" x14ac:dyDescent="0.25"/>
  <cols>
    <col min="1" max="1" width="7.25" style="11" customWidth="1"/>
    <col min="2" max="2" width="20.25" style="11" bestFit="1" customWidth="1"/>
    <col min="3" max="3" width="11.375" style="5" bestFit="1" customWidth="1"/>
    <col min="4" max="4" width="3.625" style="171" customWidth="1"/>
    <col min="5" max="5" width="10.75" style="5" bestFit="1" customWidth="1"/>
    <col min="6" max="6" width="12.5" style="5" customWidth="1"/>
    <col min="7" max="7" width="13.75" style="5" customWidth="1"/>
    <col min="8" max="8" width="13.25" style="5" customWidth="1"/>
    <col min="9" max="9" width="3.625" style="171" customWidth="1"/>
    <col min="10" max="10" width="9.875" style="5" bestFit="1" customWidth="1"/>
    <col min="11" max="11" width="12.5" style="5" customWidth="1"/>
    <col min="12" max="12" width="13" style="5" bestFit="1" customWidth="1"/>
    <col min="13" max="13" width="13.25" style="5" bestFit="1" customWidth="1"/>
    <col min="14" max="14" width="3.625" style="171" customWidth="1"/>
    <col min="15" max="15" width="13.875" style="5" customWidth="1"/>
    <col min="16" max="16" width="10" style="13" customWidth="1"/>
    <col min="17" max="17" width="2.5" style="11" customWidth="1"/>
    <col min="18" max="18" width="10.875" style="156" bestFit="1" customWidth="1"/>
    <col min="19" max="19" width="11.75" style="156" bestFit="1" customWidth="1"/>
    <col min="20" max="20" width="11.125" style="156" bestFit="1" customWidth="1"/>
    <col min="21" max="22" width="10.625" style="156" bestFit="1" customWidth="1"/>
    <col min="23" max="23" width="12.75" style="156" bestFit="1" customWidth="1"/>
    <col min="24" max="38" width="10.75" style="156"/>
    <col min="39" max="16384" width="10.75" style="11"/>
  </cols>
  <sheetData>
    <row r="1" spans="1:38" s="216" customFormat="1" ht="26.25" x14ac:dyDescent="0.4">
      <c r="A1" s="203" t="s">
        <v>564</v>
      </c>
      <c r="B1" s="208"/>
      <c r="C1" s="213"/>
      <c r="D1" s="214"/>
      <c r="E1" s="213"/>
      <c r="G1" s="308" t="s">
        <v>402</v>
      </c>
      <c r="H1" s="227" t="s">
        <v>394</v>
      </c>
      <c r="I1" s="771" t="s">
        <v>403</v>
      </c>
      <c r="J1" s="771"/>
      <c r="K1" s="213"/>
      <c r="O1" s="213"/>
      <c r="P1" s="215"/>
      <c r="Q1" s="210"/>
    </row>
    <row r="2" spans="1:38" s="33" customFormat="1" ht="15.75" x14ac:dyDescent="0.25">
      <c r="A2" s="272" t="str">
        <f>Paramètres!B4</f>
        <v>Décompte 2023</v>
      </c>
      <c r="B2" s="32"/>
      <c r="C2" s="34"/>
      <c r="D2" s="127"/>
      <c r="E2" s="34"/>
      <c r="F2" s="34"/>
      <c r="G2" s="34"/>
      <c r="H2" s="34"/>
      <c r="I2" s="127"/>
      <c r="J2" s="34"/>
      <c r="K2" s="34"/>
      <c r="L2" s="34"/>
      <c r="M2" s="34"/>
      <c r="N2" s="127"/>
      <c r="O2" s="34"/>
      <c r="P2" s="79"/>
      <c r="Q2" s="156"/>
    </row>
    <row r="3" spans="1:38" s="156" customFormat="1" ht="25.5" customHeight="1" x14ac:dyDescent="0.25">
      <c r="C3" s="5"/>
      <c r="D3" s="171"/>
      <c r="E3" s="5"/>
      <c r="F3" s="5"/>
      <c r="G3" s="5"/>
      <c r="H3" s="5"/>
      <c r="I3" s="171"/>
      <c r="J3" s="5"/>
      <c r="K3" s="5"/>
      <c r="L3" s="5"/>
      <c r="M3" s="5"/>
      <c r="N3" s="171"/>
      <c r="O3" s="5"/>
      <c r="P3" s="172"/>
    </row>
    <row r="4" spans="1:38" ht="60" customHeight="1" x14ac:dyDescent="0.25">
      <c r="A4" s="760" t="s">
        <v>44</v>
      </c>
      <c r="B4" s="760" t="s">
        <v>84</v>
      </c>
      <c r="C4" s="766" t="s">
        <v>491</v>
      </c>
      <c r="D4" s="255"/>
      <c r="E4" s="766" t="s">
        <v>427</v>
      </c>
      <c r="F4" s="766" t="s">
        <v>43</v>
      </c>
      <c r="G4" s="226" t="s">
        <v>256</v>
      </c>
      <c r="H4" s="226" t="s">
        <v>505</v>
      </c>
      <c r="I4" s="255"/>
      <c r="J4" s="766" t="s">
        <v>426</v>
      </c>
      <c r="K4" s="766" t="s">
        <v>425</v>
      </c>
      <c r="L4" s="226" t="s">
        <v>190</v>
      </c>
      <c r="M4" s="226" t="s">
        <v>506</v>
      </c>
      <c r="N4" s="255"/>
      <c r="O4" s="766" t="s">
        <v>507</v>
      </c>
      <c r="P4" s="156"/>
      <c r="Q4" s="156"/>
      <c r="AF4" s="11"/>
      <c r="AG4" s="11"/>
      <c r="AH4" s="11"/>
      <c r="AI4" s="11"/>
      <c r="AJ4" s="11"/>
      <c r="AK4" s="11"/>
      <c r="AL4" s="11"/>
    </row>
    <row r="5" spans="1:38" x14ac:dyDescent="0.25">
      <c r="A5" s="761"/>
      <c r="B5" s="762"/>
      <c r="C5" s="770"/>
      <c r="D5" s="255"/>
      <c r="E5" s="770"/>
      <c r="F5" s="767"/>
      <c r="G5" s="251">
        <f>Paramètres!B40</f>
        <v>8</v>
      </c>
      <c r="H5" s="252">
        <f>+Paramètres!C40</f>
        <v>0.75</v>
      </c>
      <c r="I5" s="256"/>
      <c r="J5" s="770"/>
      <c r="K5" s="770"/>
      <c r="L5" s="251">
        <f>Paramètres!B41</f>
        <v>1</v>
      </c>
      <c r="M5" s="254">
        <f>+Paramètres!C41</f>
        <v>0.75</v>
      </c>
      <c r="N5" s="256"/>
      <c r="O5" s="767"/>
      <c r="P5" s="156"/>
      <c r="Q5" s="156"/>
      <c r="AF5" s="11"/>
      <c r="AG5" s="11"/>
      <c r="AH5" s="11"/>
      <c r="AI5" s="11"/>
      <c r="AJ5" s="11"/>
      <c r="AK5" s="11"/>
      <c r="AL5" s="11"/>
    </row>
    <row r="6" spans="1:38" x14ac:dyDescent="0.25">
      <c r="A6" s="36">
        <f>+Données!A6</f>
        <v>5401</v>
      </c>
      <c r="B6" s="181" t="str">
        <f>+Données!B6</f>
        <v>Aigle</v>
      </c>
      <c r="C6" s="169">
        <f>+Ecrêtage!C6</f>
        <v>293879.84888888896</v>
      </c>
      <c r="D6" s="168"/>
      <c r="E6" s="169">
        <f>Données!AF6+Données!AG6+Données!AH6</f>
        <v>0</v>
      </c>
      <c r="F6" s="126">
        <f t="shared" ref="F6" si="0">+C6*$G$5</f>
        <v>2351038.7911111116</v>
      </c>
      <c r="G6" s="41">
        <f>IF(E6&gt;F6,E6-F6,0)</f>
        <v>0</v>
      </c>
      <c r="H6" s="234">
        <f>-G6*H$5</f>
        <v>0</v>
      </c>
      <c r="J6" s="41">
        <f>Données!AN6</f>
        <v>0</v>
      </c>
      <c r="K6" s="153">
        <f t="shared" ref="K6" si="1">C6*L$5</f>
        <v>293879.84888888896</v>
      </c>
      <c r="L6" s="50">
        <f>IF(J6&gt;K6,J6-K6,0)</f>
        <v>0</v>
      </c>
      <c r="M6" s="249">
        <f>-L6*M$5</f>
        <v>0</v>
      </c>
      <c r="O6" s="63">
        <f t="shared" ref="O6" si="2">M6+H6</f>
        <v>0</v>
      </c>
      <c r="P6" s="196"/>
      <c r="Q6" s="162"/>
      <c r="R6" s="162"/>
      <c r="S6" s="162"/>
      <c r="T6" s="162"/>
      <c r="U6" s="162"/>
      <c r="AF6" s="11"/>
      <c r="AG6" s="11"/>
      <c r="AH6" s="11"/>
      <c r="AI6" s="11"/>
      <c r="AJ6" s="11"/>
      <c r="AK6" s="11"/>
      <c r="AL6" s="11"/>
    </row>
    <row r="7" spans="1:38" s="156" customFormat="1" x14ac:dyDescent="0.25">
      <c r="A7" s="38">
        <f>+Données!A7</f>
        <v>5402</v>
      </c>
      <c r="B7" s="181" t="str">
        <f>+Données!B7</f>
        <v>Bex</v>
      </c>
      <c r="C7" s="170">
        <f>+Ecrêtage!C7</f>
        <v>202698.13549295775</v>
      </c>
      <c r="D7" s="168"/>
      <c r="E7" s="170">
        <f>Données!AF7+Données!AG7+Données!AH7</f>
        <v>0</v>
      </c>
      <c r="F7" s="168">
        <f t="shared" ref="F7:F70" si="3">+C7*$G$5</f>
        <v>1621585.083943662</v>
      </c>
      <c r="G7" s="8">
        <f t="shared" ref="G7:G70" si="4">IF(E7&gt;F7,E7-F7,0)</f>
        <v>0</v>
      </c>
      <c r="H7" s="234">
        <f t="shared" ref="H7:H70" si="5">-G7*H$5</f>
        <v>0</v>
      </c>
      <c r="I7" s="171"/>
      <c r="J7" s="8">
        <f>Données!AN7</f>
        <v>0</v>
      </c>
      <c r="K7" s="152">
        <f t="shared" ref="K7:K70" si="6">C7*L$5</f>
        <v>202698.13549295775</v>
      </c>
      <c r="L7" s="171">
        <f t="shared" ref="L7:L70" si="7">IF(J7&gt;K7,J7-K7,0)</f>
        <v>0</v>
      </c>
      <c r="M7" s="234">
        <f t="shared" ref="M7:M70" si="8">-L7*M$5</f>
        <v>0</v>
      </c>
      <c r="N7" s="171"/>
      <c r="O7" s="42">
        <f t="shared" ref="O7:O70" si="9">M7+H7</f>
        <v>0</v>
      </c>
      <c r="P7" s="196"/>
      <c r="Q7" s="162"/>
      <c r="R7" s="162"/>
      <c r="S7" s="162"/>
      <c r="T7" s="162"/>
      <c r="U7" s="162"/>
    </row>
    <row r="8" spans="1:38" s="156" customFormat="1" x14ac:dyDescent="0.25">
      <c r="A8" s="38">
        <f>+Données!A8</f>
        <v>5403</v>
      </c>
      <c r="B8" s="181" t="str">
        <f>+Données!B8</f>
        <v>Chessel</v>
      </c>
      <c r="C8" s="170">
        <f>+Ecrêtage!C8</f>
        <v>13180.672769230767</v>
      </c>
      <c r="D8" s="168"/>
      <c r="E8" s="170">
        <f>Données!AF8+Données!AG8+Données!AH8</f>
        <v>0</v>
      </c>
      <c r="F8" s="168">
        <f t="shared" si="3"/>
        <v>105445.38215384613</v>
      </c>
      <c r="G8" s="8">
        <f t="shared" si="4"/>
        <v>0</v>
      </c>
      <c r="H8" s="234">
        <f t="shared" si="5"/>
        <v>0</v>
      </c>
      <c r="I8" s="171"/>
      <c r="J8" s="8">
        <f>Données!AN8</f>
        <v>0</v>
      </c>
      <c r="K8" s="152">
        <f t="shared" si="6"/>
        <v>13180.672769230767</v>
      </c>
      <c r="L8" s="171">
        <f t="shared" si="7"/>
        <v>0</v>
      </c>
      <c r="M8" s="234">
        <f t="shared" si="8"/>
        <v>0</v>
      </c>
      <c r="N8" s="171"/>
      <c r="O8" s="42">
        <f t="shared" si="9"/>
        <v>0</v>
      </c>
      <c r="P8" s="196"/>
      <c r="Q8" s="162"/>
      <c r="R8" s="162"/>
      <c r="S8" s="162"/>
      <c r="T8" s="162"/>
      <c r="U8" s="162"/>
    </row>
    <row r="9" spans="1:38" s="156" customFormat="1" x14ac:dyDescent="0.25">
      <c r="A9" s="38">
        <f>+Données!A9</f>
        <v>5404</v>
      </c>
      <c r="B9" s="181" t="str">
        <f>+Données!B9</f>
        <v>Corbeyrier</v>
      </c>
      <c r="C9" s="170">
        <f>+Ecrêtage!C9</f>
        <v>10656.798108108109</v>
      </c>
      <c r="D9" s="168"/>
      <c r="E9" s="170">
        <f>Données!AF9+Données!AG9+Données!AH9</f>
        <v>0</v>
      </c>
      <c r="F9" s="168">
        <f t="shared" si="3"/>
        <v>85254.384864864871</v>
      </c>
      <c r="G9" s="8">
        <f t="shared" si="4"/>
        <v>0</v>
      </c>
      <c r="H9" s="234">
        <f t="shared" si="5"/>
        <v>0</v>
      </c>
      <c r="I9" s="171"/>
      <c r="J9" s="8">
        <f>Données!AN9</f>
        <v>0</v>
      </c>
      <c r="K9" s="152">
        <f t="shared" si="6"/>
        <v>10656.798108108109</v>
      </c>
      <c r="L9" s="171">
        <f t="shared" si="7"/>
        <v>0</v>
      </c>
      <c r="M9" s="234">
        <f t="shared" si="8"/>
        <v>0</v>
      </c>
      <c r="N9" s="171"/>
      <c r="O9" s="42">
        <f t="shared" si="9"/>
        <v>0</v>
      </c>
      <c r="P9" s="196"/>
      <c r="Q9" s="162"/>
      <c r="R9" s="162"/>
      <c r="S9" s="162"/>
      <c r="T9" s="162"/>
      <c r="U9" s="162"/>
    </row>
    <row r="10" spans="1:38" s="156" customFormat="1" x14ac:dyDescent="0.25">
      <c r="A10" s="38">
        <f>+Données!A10</f>
        <v>5405</v>
      </c>
      <c r="B10" s="181" t="str">
        <f>+Données!B10</f>
        <v>Gryon</v>
      </c>
      <c r="C10" s="170">
        <f>+Ecrêtage!C10</f>
        <v>79200.140770975064</v>
      </c>
      <c r="D10" s="168"/>
      <c r="E10" s="170">
        <f>Données!AF10+Données!AG10+Données!AH10</f>
        <v>0</v>
      </c>
      <c r="F10" s="168">
        <f t="shared" si="3"/>
        <v>633601.12616780051</v>
      </c>
      <c r="G10" s="8">
        <f t="shared" si="4"/>
        <v>0</v>
      </c>
      <c r="H10" s="234">
        <f t="shared" si="5"/>
        <v>0</v>
      </c>
      <c r="I10" s="171"/>
      <c r="J10" s="8">
        <f>Données!AN10</f>
        <v>0</v>
      </c>
      <c r="K10" s="152">
        <f t="shared" si="6"/>
        <v>79200.140770975064</v>
      </c>
      <c r="L10" s="171">
        <f t="shared" si="7"/>
        <v>0</v>
      </c>
      <c r="M10" s="234">
        <f t="shared" si="8"/>
        <v>0</v>
      </c>
      <c r="N10" s="171"/>
      <c r="O10" s="42">
        <f t="shared" si="9"/>
        <v>0</v>
      </c>
      <c r="P10" s="196"/>
      <c r="Q10" s="162"/>
      <c r="R10" s="162"/>
      <c r="S10" s="162"/>
      <c r="T10" s="162"/>
      <c r="U10" s="162"/>
    </row>
    <row r="11" spans="1:38" x14ac:dyDescent="0.25">
      <c r="A11" s="38">
        <f>+Données!A11</f>
        <v>5406</v>
      </c>
      <c r="B11" s="181" t="str">
        <f>+Données!B11</f>
        <v>Lavey-Morcles</v>
      </c>
      <c r="C11" s="170">
        <f>+Ecrêtage!C11</f>
        <v>24174.314276492736</v>
      </c>
      <c r="D11" s="168"/>
      <c r="E11" s="170">
        <f>Données!AF11+Données!AG11+Données!AH11</f>
        <v>0</v>
      </c>
      <c r="F11" s="168">
        <f t="shared" si="3"/>
        <v>193394.51421194189</v>
      </c>
      <c r="G11" s="8">
        <f t="shared" si="4"/>
        <v>0</v>
      </c>
      <c r="H11" s="234">
        <f t="shared" si="5"/>
        <v>0</v>
      </c>
      <c r="J11" s="8">
        <f>Données!AN11</f>
        <v>0</v>
      </c>
      <c r="K11" s="152">
        <f t="shared" si="6"/>
        <v>24174.314276492736</v>
      </c>
      <c r="L11" s="12">
        <f t="shared" si="7"/>
        <v>0</v>
      </c>
      <c r="M11" s="234">
        <f t="shared" si="8"/>
        <v>0</v>
      </c>
      <c r="O11" s="42">
        <f t="shared" si="9"/>
        <v>0</v>
      </c>
      <c r="P11" s="196"/>
      <c r="Q11" s="162"/>
      <c r="R11" s="162"/>
      <c r="S11" s="162"/>
      <c r="T11" s="162"/>
      <c r="U11" s="162"/>
      <c r="AF11" s="11"/>
      <c r="AG11" s="11"/>
      <c r="AH11" s="11"/>
      <c r="AI11" s="11"/>
      <c r="AJ11" s="11"/>
      <c r="AK11" s="11"/>
      <c r="AL11" s="11"/>
    </row>
    <row r="12" spans="1:38" x14ac:dyDescent="0.25">
      <c r="A12" s="38">
        <f>+Données!A12</f>
        <v>5407</v>
      </c>
      <c r="B12" s="181" t="str">
        <f>+Données!B12</f>
        <v>Leysin</v>
      </c>
      <c r="C12" s="170">
        <f>+Ecrêtage!C12</f>
        <v>97593.933333333334</v>
      </c>
      <c r="D12" s="168"/>
      <c r="E12" s="170">
        <f>Données!AF12+Données!AG12+Données!AH12</f>
        <v>0</v>
      </c>
      <c r="F12" s="168">
        <f t="shared" si="3"/>
        <v>780751.46666666667</v>
      </c>
      <c r="G12" s="8">
        <f t="shared" si="4"/>
        <v>0</v>
      </c>
      <c r="H12" s="234">
        <f t="shared" si="5"/>
        <v>0</v>
      </c>
      <c r="J12" s="8">
        <f>Données!AN12</f>
        <v>0</v>
      </c>
      <c r="K12" s="152">
        <f t="shared" si="6"/>
        <v>97593.933333333334</v>
      </c>
      <c r="L12" s="12">
        <f t="shared" si="7"/>
        <v>0</v>
      </c>
      <c r="M12" s="234">
        <f t="shared" si="8"/>
        <v>0</v>
      </c>
      <c r="O12" s="42">
        <f t="shared" si="9"/>
        <v>0</v>
      </c>
      <c r="P12" s="196"/>
      <c r="Q12" s="162"/>
      <c r="R12" s="162"/>
      <c r="S12" s="162"/>
      <c r="T12" s="162"/>
      <c r="U12" s="162"/>
      <c r="AF12" s="11"/>
      <c r="AG12" s="11"/>
      <c r="AH12" s="11"/>
      <c r="AI12" s="11"/>
      <c r="AJ12" s="11"/>
      <c r="AK12" s="11"/>
      <c r="AL12" s="11"/>
    </row>
    <row r="13" spans="1:38" x14ac:dyDescent="0.25">
      <c r="A13" s="38">
        <f>+Données!A13</f>
        <v>5408</v>
      </c>
      <c r="B13" s="181" t="str">
        <f>+Données!B13</f>
        <v>Noville</v>
      </c>
      <c r="C13" s="170">
        <f>+Ecrêtage!C13</f>
        <v>40176.989288888893</v>
      </c>
      <c r="D13" s="168"/>
      <c r="E13" s="170">
        <f>Données!AF13+Données!AG13+Données!AH13</f>
        <v>0</v>
      </c>
      <c r="F13" s="168">
        <f t="shared" si="3"/>
        <v>321415.91431111115</v>
      </c>
      <c r="G13" s="8">
        <f t="shared" si="4"/>
        <v>0</v>
      </c>
      <c r="H13" s="234">
        <f t="shared" si="5"/>
        <v>0</v>
      </c>
      <c r="J13" s="8">
        <f>Données!AN13</f>
        <v>0</v>
      </c>
      <c r="K13" s="152">
        <f t="shared" si="6"/>
        <v>40176.989288888893</v>
      </c>
      <c r="L13" s="12">
        <f t="shared" si="7"/>
        <v>0</v>
      </c>
      <c r="M13" s="234">
        <f t="shared" si="8"/>
        <v>0</v>
      </c>
      <c r="O13" s="42">
        <f t="shared" si="9"/>
        <v>0</v>
      </c>
      <c r="P13" s="196"/>
      <c r="Q13" s="162"/>
      <c r="R13" s="162"/>
      <c r="S13" s="162"/>
      <c r="T13" s="162"/>
      <c r="U13" s="162"/>
      <c r="AF13" s="11"/>
      <c r="AG13" s="11"/>
      <c r="AH13" s="11"/>
      <c r="AI13" s="11"/>
      <c r="AJ13" s="11"/>
      <c r="AK13" s="11"/>
      <c r="AL13" s="11"/>
    </row>
    <row r="14" spans="1:38" x14ac:dyDescent="0.25">
      <c r="A14" s="38">
        <f>+Données!A14</f>
        <v>5409</v>
      </c>
      <c r="B14" s="181" t="str">
        <f>+Données!B14</f>
        <v>Ollon</v>
      </c>
      <c r="C14" s="170">
        <f>+Ecrêtage!C14</f>
        <v>421727.92700226256</v>
      </c>
      <c r="D14" s="168"/>
      <c r="E14" s="170">
        <f>Données!AF14+Données!AG14+Données!AH14</f>
        <v>0</v>
      </c>
      <c r="F14" s="168">
        <f t="shared" si="3"/>
        <v>3373823.4160181005</v>
      </c>
      <c r="G14" s="8">
        <f t="shared" si="4"/>
        <v>0</v>
      </c>
      <c r="H14" s="234">
        <f t="shared" si="5"/>
        <v>0</v>
      </c>
      <c r="J14" s="8">
        <f>Données!AN14</f>
        <v>0</v>
      </c>
      <c r="K14" s="152">
        <f t="shared" si="6"/>
        <v>421727.92700226256</v>
      </c>
      <c r="L14" s="12">
        <f t="shared" si="7"/>
        <v>0</v>
      </c>
      <c r="M14" s="234">
        <f t="shared" si="8"/>
        <v>0</v>
      </c>
      <c r="O14" s="42">
        <f t="shared" si="9"/>
        <v>0</v>
      </c>
      <c r="P14" s="196"/>
      <c r="Q14" s="162"/>
      <c r="R14" s="162"/>
      <c r="S14" s="162"/>
      <c r="T14" s="162"/>
      <c r="U14" s="162"/>
      <c r="AF14" s="11"/>
      <c r="AG14" s="11"/>
      <c r="AH14" s="11"/>
      <c r="AI14" s="11"/>
      <c r="AJ14" s="11"/>
      <c r="AK14" s="11"/>
      <c r="AL14" s="11"/>
    </row>
    <row r="15" spans="1:38" x14ac:dyDescent="0.25">
      <c r="A15" s="38">
        <f>+Données!A15</f>
        <v>5410</v>
      </c>
      <c r="B15" s="181" t="str">
        <f>+Données!B15</f>
        <v>Ormont-Dessous</v>
      </c>
      <c r="C15" s="170">
        <f>+Ecrêtage!C15</f>
        <v>36756.557662337655</v>
      </c>
      <c r="D15" s="168"/>
      <c r="E15" s="170">
        <f>Données!AF15+Données!AG15+Données!AH15</f>
        <v>0</v>
      </c>
      <c r="F15" s="168">
        <f t="shared" si="3"/>
        <v>294052.46129870124</v>
      </c>
      <c r="G15" s="8">
        <f t="shared" si="4"/>
        <v>0</v>
      </c>
      <c r="H15" s="234">
        <f t="shared" si="5"/>
        <v>0</v>
      </c>
      <c r="J15" s="8">
        <f>Données!AN15</f>
        <v>0</v>
      </c>
      <c r="K15" s="152">
        <f t="shared" si="6"/>
        <v>36756.557662337655</v>
      </c>
      <c r="L15" s="12">
        <f t="shared" si="7"/>
        <v>0</v>
      </c>
      <c r="M15" s="234">
        <f t="shared" si="8"/>
        <v>0</v>
      </c>
      <c r="O15" s="42">
        <f t="shared" si="9"/>
        <v>0</v>
      </c>
      <c r="P15" s="196"/>
      <c r="Q15" s="162"/>
      <c r="R15" s="162"/>
      <c r="S15" s="162"/>
      <c r="T15" s="162"/>
      <c r="U15" s="162"/>
      <c r="AF15" s="11"/>
      <c r="AG15" s="11"/>
      <c r="AH15" s="11"/>
      <c r="AI15" s="11"/>
      <c r="AJ15" s="11"/>
      <c r="AK15" s="11"/>
      <c r="AL15" s="11"/>
    </row>
    <row r="16" spans="1:38" x14ac:dyDescent="0.25">
      <c r="A16" s="38">
        <f>+Données!A16</f>
        <v>5411</v>
      </c>
      <c r="B16" s="181" t="str">
        <f>+Données!B16</f>
        <v>Ormont-Dessus</v>
      </c>
      <c r="C16" s="170">
        <f>+Ecrêtage!C16</f>
        <v>79198.134342105259</v>
      </c>
      <c r="D16" s="168"/>
      <c r="E16" s="170">
        <f>Données!AF16+Données!AG16+Données!AH16</f>
        <v>0</v>
      </c>
      <c r="F16" s="168">
        <f t="shared" si="3"/>
        <v>633585.07473684207</v>
      </c>
      <c r="G16" s="8">
        <f t="shared" si="4"/>
        <v>0</v>
      </c>
      <c r="H16" s="234">
        <f t="shared" si="5"/>
        <v>0</v>
      </c>
      <c r="J16" s="8">
        <f>Données!AN16</f>
        <v>0</v>
      </c>
      <c r="K16" s="152">
        <f t="shared" si="6"/>
        <v>79198.134342105259</v>
      </c>
      <c r="L16" s="12">
        <f t="shared" si="7"/>
        <v>0</v>
      </c>
      <c r="M16" s="234">
        <f t="shared" si="8"/>
        <v>0</v>
      </c>
      <c r="O16" s="42">
        <f t="shared" si="9"/>
        <v>0</v>
      </c>
      <c r="P16" s="196"/>
      <c r="Q16" s="162"/>
      <c r="R16" s="162"/>
      <c r="S16" s="162"/>
      <c r="T16" s="162"/>
      <c r="U16" s="162"/>
      <c r="AF16" s="11"/>
      <c r="AG16" s="11"/>
      <c r="AH16" s="11"/>
      <c r="AI16" s="11"/>
      <c r="AJ16" s="11"/>
      <c r="AK16" s="11"/>
      <c r="AL16" s="11"/>
    </row>
    <row r="17" spans="1:38" x14ac:dyDescent="0.25">
      <c r="A17" s="38">
        <f>+Données!A17</f>
        <v>5412</v>
      </c>
      <c r="B17" s="181" t="str">
        <f>+Données!B17</f>
        <v>Rennaz</v>
      </c>
      <c r="C17" s="170">
        <f>+Ecrêtage!C17</f>
        <v>29024.824057971011</v>
      </c>
      <c r="D17" s="168"/>
      <c r="E17" s="170">
        <f>Données!AF17+Données!AG17+Données!AH17</f>
        <v>0</v>
      </c>
      <c r="F17" s="168">
        <f t="shared" si="3"/>
        <v>232198.59246376809</v>
      </c>
      <c r="G17" s="8">
        <f t="shared" si="4"/>
        <v>0</v>
      </c>
      <c r="H17" s="234">
        <f t="shared" si="5"/>
        <v>0</v>
      </c>
      <c r="J17" s="8">
        <f>Données!AN17</f>
        <v>0</v>
      </c>
      <c r="K17" s="152">
        <f t="shared" si="6"/>
        <v>29024.824057971011</v>
      </c>
      <c r="L17" s="12">
        <f t="shared" si="7"/>
        <v>0</v>
      </c>
      <c r="M17" s="234">
        <f t="shared" si="8"/>
        <v>0</v>
      </c>
      <c r="O17" s="42">
        <f t="shared" si="9"/>
        <v>0</v>
      </c>
      <c r="P17" s="196"/>
      <c r="Q17" s="162"/>
      <c r="R17" s="162"/>
      <c r="S17" s="162"/>
      <c r="T17" s="162"/>
      <c r="U17" s="162"/>
      <c r="AF17" s="11"/>
      <c r="AG17" s="11"/>
      <c r="AH17" s="11"/>
      <c r="AI17" s="11"/>
      <c r="AJ17" s="11"/>
      <c r="AK17" s="11"/>
      <c r="AL17" s="11"/>
    </row>
    <row r="18" spans="1:38" x14ac:dyDescent="0.25">
      <c r="A18" s="38">
        <f>+Données!A18</f>
        <v>5413</v>
      </c>
      <c r="B18" s="181" t="str">
        <f>+Données!B18</f>
        <v>Roche</v>
      </c>
      <c r="C18" s="170">
        <f>+Ecrêtage!C18</f>
        <v>41219.946789215683</v>
      </c>
      <c r="D18" s="168"/>
      <c r="E18" s="170">
        <f>Données!AF18+Données!AG18+Données!AH18</f>
        <v>0</v>
      </c>
      <c r="F18" s="168">
        <f t="shared" si="3"/>
        <v>329759.57431372546</v>
      </c>
      <c r="G18" s="8">
        <f t="shared" si="4"/>
        <v>0</v>
      </c>
      <c r="H18" s="234">
        <f t="shared" si="5"/>
        <v>0</v>
      </c>
      <c r="J18" s="8">
        <f>Données!AN18</f>
        <v>0</v>
      </c>
      <c r="K18" s="152">
        <f t="shared" si="6"/>
        <v>41219.946789215683</v>
      </c>
      <c r="L18" s="12">
        <f t="shared" si="7"/>
        <v>0</v>
      </c>
      <c r="M18" s="234">
        <f t="shared" si="8"/>
        <v>0</v>
      </c>
      <c r="O18" s="42">
        <f t="shared" si="9"/>
        <v>0</v>
      </c>
      <c r="P18" s="196"/>
      <c r="Q18" s="162"/>
      <c r="R18" s="162"/>
      <c r="S18" s="162"/>
      <c r="T18" s="162"/>
      <c r="U18" s="162"/>
      <c r="AF18" s="11"/>
      <c r="AG18" s="11"/>
      <c r="AH18" s="11"/>
      <c r="AI18" s="11"/>
      <c r="AJ18" s="11"/>
      <c r="AK18" s="11"/>
      <c r="AL18" s="11"/>
    </row>
    <row r="19" spans="1:38" x14ac:dyDescent="0.25">
      <c r="A19" s="38">
        <f>+Données!A19</f>
        <v>5414</v>
      </c>
      <c r="B19" s="181" t="str">
        <f>+Données!B19</f>
        <v>Villeneuve</v>
      </c>
      <c r="C19" s="170">
        <f>+Ecrêtage!C19</f>
        <v>190081.59585185186</v>
      </c>
      <c r="D19" s="168"/>
      <c r="E19" s="170">
        <f>Données!AF19+Données!AG19+Données!AH19</f>
        <v>0</v>
      </c>
      <c r="F19" s="168">
        <f t="shared" si="3"/>
        <v>1520652.7668148149</v>
      </c>
      <c r="G19" s="8">
        <f t="shared" si="4"/>
        <v>0</v>
      </c>
      <c r="H19" s="234">
        <f t="shared" si="5"/>
        <v>0</v>
      </c>
      <c r="J19" s="8">
        <f>Données!AN19</f>
        <v>0</v>
      </c>
      <c r="K19" s="152">
        <f t="shared" si="6"/>
        <v>190081.59585185186</v>
      </c>
      <c r="L19" s="12">
        <f t="shared" si="7"/>
        <v>0</v>
      </c>
      <c r="M19" s="234">
        <f t="shared" si="8"/>
        <v>0</v>
      </c>
      <c r="O19" s="42">
        <f t="shared" si="9"/>
        <v>0</v>
      </c>
      <c r="P19" s="196"/>
      <c r="Q19" s="162"/>
      <c r="R19" s="162"/>
      <c r="S19" s="162"/>
      <c r="T19" s="162"/>
      <c r="U19" s="162"/>
      <c r="AF19" s="11"/>
      <c r="AG19" s="11"/>
      <c r="AH19" s="11"/>
      <c r="AI19" s="11"/>
      <c r="AJ19" s="11"/>
      <c r="AK19" s="11"/>
      <c r="AL19" s="11"/>
    </row>
    <row r="20" spans="1:38" x14ac:dyDescent="0.25">
      <c r="A20" s="38">
        <f>+Données!A20</f>
        <v>5415</v>
      </c>
      <c r="B20" s="181" t="str">
        <f>+Données!B20</f>
        <v>Yvorne</v>
      </c>
      <c r="C20" s="170">
        <f>+Ecrêtage!C20</f>
        <v>36781.248065268061</v>
      </c>
      <c r="D20" s="168"/>
      <c r="E20" s="170">
        <f>Données!AF20+Données!AG20+Données!AH20</f>
        <v>0</v>
      </c>
      <c r="F20" s="168">
        <f t="shared" si="3"/>
        <v>294249.98452214448</v>
      </c>
      <c r="G20" s="8">
        <f t="shared" si="4"/>
        <v>0</v>
      </c>
      <c r="H20" s="234">
        <f t="shared" si="5"/>
        <v>0</v>
      </c>
      <c r="J20" s="8">
        <f>Données!AN20</f>
        <v>0</v>
      </c>
      <c r="K20" s="152">
        <f t="shared" si="6"/>
        <v>36781.248065268061</v>
      </c>
      <c r="L20" s="12">
        <f t="shared" si="7"/>
        <v>0</v>
      </c>
      <c r="M20" s="234">
        <f t="shared" si="8"/>
        <v>0</v>
      </c>
      <c r="O20" s="42">
        <f t="shared" si="9"/>
        <v>0</v>
      </c>
      <c r="P20" s="196"/>
      <c r="Q20" s="162"/>
      <c r="R20" s="162"/>
      <c r="S20" s="162"/>
      <c r="T20" s="162"/>
      <c r="U20" s="162"/>
      <c r="AF20" s="11"/>
      <c r="AG20" s="11"/>
      <c r="AH20" s="11"/>
      <c r="AI20" s="11"/>
      <c r="AJ20" s="11"/>
      <c r="AK20" s="11"/>
      <c r="AL20" s="11"/>
    </row>
    <row r="21" spans="1:38" s="156" customFormat="1" x14ac:dyDescent="0.25">
      <c r="A21" s="38">
        <f>+Données!A21</f>
        <v>5422</v>
      </c>
      <c r="B21" s="181" t="str">
        <f>+Données!B21</f>
        <v>Aubonne</v>
      </c>
      <c r="C21" s="170">
        <f>+Ecrêtage!C21</f>
        <v>418335.07808823534</v>
      </c>
      <c r="D21" s="168"/>
      <c r="E21" s="170">
        <f>Données!AF21+Données!AG21+Données!AH21</f>
        <v>0</v>
      </c>
      <c r="F21" s="168">
        <f t="shared" si="3"/>
        <v>3346680.6247058827</v>
      </c>
      <c r="G21" s="8">
        <f t="shared" si="4"/>
        <v>0</v>
      </c>
      <c r="H21" s="234">
        <f t="shared" si="5"/>
        <v>0</v>
      </c>
      <c r="I21" s="171"/>
      <c r="J21" s="8">
        <f>Données!AN21</f>
        <v>0</v>
      </c>
      <c r="K21" s="152">
        <f t="shared" si="6"/>
        <v>418335.07808823534</v>
      </c>
      <c r="L21" s="171">
        <f t="shared" si="7"/>
        <v>0</v>
      </c>
      <c r="M21" s="234">
        <f t="shared" si="8"/>
        <v>0</v>
      </c>
      <c r="N21" s="171"/>
      <c r="O21" s="42">
        <f t="shared" si="9"/>
        <v>0</v>
      </c>
      <c r="P21" s="196"/>
      <c r="Q21" s="162"/>
      <c r="R21" s="162"/>
      <c r="S21" s="162"/>
      <c r="T21" s="162"/>
      <c r="U21" s="162"/>
    </row>
    <row r="22" spans="1:38" x14ac:dyDescent="0.25">
      <c r="A22" s="38">
        <f>+Données!A22</f>
        <v>5423</v>
      </c>
      <c r="B22" s="181" t="str">
        <f>+Données!B22</f>
        <v>Ballens</v>
      </c>
      <c r="C22" s="170">
        <f>+Ecrêtage!C22</f>
        <v>17582.856164383564</v>
      </c>
      <c r="D22" s="168"/>
      <c r="E22" s="170">
        <f>Données!AF22+Données!AG22+Données!AH22</f>
        <v>0</v>
      </c>
      <c r="F22" s="168">
        <f t="shared" si="3"/>
        <v>140662.84931506851</v>
      </c>
      <c r="G22" s="8">
        <f t="shared" si="4"/>
        <v>0</v>
      </c>
      <c r="H22" s="234">
        <f t="shared" si="5"/>
        <v>0</v>
      </c>
      <c r="J22" s="8">
        <f>Données!AN22</f>
        <v>0</v>
      </c>
      <c r="K22" s="152">
        <f t="shared" si="6"/>
        <v>17582.856164383564</v>
      </c>
      <c r="L22" s="12">
        <f t="shared" si="7"/>
        <v>0</v>
      </c>
      <c r="M22" s="234">
        <f t="shared" si="8"/>
        <v>0</v>
      </c>
      <c r="O22" s="42">
        <f t="shared" si="9"/>
        <v>0</v>
      </c>
      <c r="P22" s="196"/>
      <c r="Q22" s="162"/>
      <c r="R22" s="162"/>
      <c r="S22" s="162"/>
      <c r="T22" s="162"/>
      <c r="U22" s="162"/>
      <c r="AF22" s="11"/>
      <c r="AG22" s="11"/>
      <c r="AH22" s="11"/>
      <c r="AI22" s="11"/>
      <c r="AJ22" s="11"/>
      <c r="AK22" s="11"/>
      <c r="AL22" s="11"/>
    </row>
    <row r="23" spans="1:38" x14ac:dyDescent="0.25">
      <c r="A23" s="38">
        <f>+Données!A23</f>
        <v>5424</v>
      </c>
      <c r="B23" s="181" t="str">
        <f>+Données!B23</f>
        <v>Berolle</v>
      </c>
      <c r="C23" s="170">
        <f>+Ecrêtage!C23</f>
        <v>10091.658013245033</v>
      </c>
      <c r="D23" s="168"/>
      <c r="E23" s="170">
        <f>Données!AF23+Données!AG23+Données!AH23</f>
        <v>0</v>
      </c>
      <c r="F23" s="168">
        <f t="shared" si="3"/>
        <v>80733.264105960261</v>
      </c>
      <c r="G23" s="8">
        <f t="shared" si="4"/>
        <v>0</v>
      </c>
      <c r="H23" s="234">
        <f t="shared" si="5"/>
        <v>0</v>
      </c>
      <c r="J23" s="8">
        <f>Données!AN23</f>
        <v>0</v>
      </c>
      <c r="K23" s="152">
        <f t="shared" si="6"/>
        <v>10091.658013245033</v>
      </c>
      <c r="L23" s="12">
        <f t="shared" si="7"/>
        <v>0</v>
      </c>
      <c r="M23" s="234">
        <f t="shared" si="8"/>
        <v>0</v>
      </c>
      <c r="O23" s="42">
        <f t="shared" si="9"/>
        <v>0</v>
      </c>
      <c r="P23" s="196"/>
      <c r="Q23" s="162"/>
      <c r="R23" s="162"/>
      <c r="S23" s="162"/>
      <c r="T23" s="162"/>
      <c r="U23" s="162"/>
      <c r="AF23" s="11"/>
      <c r="AG23" s="11"/>
      <c r="AH23" s="11"/>
      <c r="AI23" s="11"/>
      <c r="AJ23" s="11"/>
      <c r="AK23" s="11"/>
      <c r="AL23" s="11"/>
    </row>
    <row r="24" spans="1:38" x14ac:dyDescent="0.25">
      <c r="A24" s="38">
        <f>+Données!A24</f>
        <v>5425</v>
      </c>
      <c r="B24" s="181" t="str">
        <f>+Données!B24</f>
        <v>Bière</v>
      </c>
      <c r="C24" s="170">
        <f>+Ecrêtage!C24</f>
        <v>44820.475767116455</v>
      </c>
      <c r="D24" s="168"/>
      <c r="E24" s="170">
        <f>Données!AF24+Données!AG24+Données!AH24</f>
        <v>0</v>
      </c>
      <c r="F24" s="168">
        <f t="shared" si="3"/>
        <v>358563.80613693164</v>
      </c>
      <c r="G24" s="8">
        <f t="shared" si="4"/>
        <v>0</v>
      </c>
      <c r="H24" s="234">
        <f t="shared" si="5"/>
        <v>0</v>
      </c>
      <c r="J24" s="8">
        <f>Données!AN24</f>
        <v>0</v>
      </c>
      <c r="K24" s="152">
        <f t="shared" si="6"/>
        <v>44820.475767116455</v>
      </c>
      <c r="L24" s="12">
        <f t="shared" si="7"/>
        <v>0</v>
      </c>
      <c r="M24" s="234">
        <f t="shared" si="8"/>
        <v>0</v>
      </c>
      <c r="O24" s="42">
        <f t="shared" si="9"/>
        <v>0</v>
      </c>
      <c r="P24" s="196"/>
      <c r="Q24" s="162"/>
      <c r="R24" s="162"/>
      <c r="S24" s="162"/>
      <c r="T24" s="162"/>
      <c r="U24" s="162"/>
      <c r="AF24" s="11"/>
      <c r="AG24" s="11"/>
      <c r="AH24" s="11"/>
      <c r="AI24" s="11"/>
      <c r="AJ24" s="11"/>
      <c r="AK24" s="11"/>
      <c r="AL24" s="11"/>
    </row>
    <row r="25" spans="1:38" x14ac:dyDescent="0.25">
      <c r="A25" s="38">
        <f>+Données!A25</f>
        <v>5426</v>
      </c>
      <c r="B25" s="181" t="str">
        <f>+Données!B25</f>
        <v>Bougy-Villars</v>
      </c>
      <c r="C25" s="170">
        <f>+Ecrêtage!C25</f>
        <v>70059.66664082685</v>
      </c>
      <c r="D25" s="168"/>
      <c r="E25" s="170">
        <f>Données!AF25+Données!AG25+Données!AH25</f>
        <v>0</v>
      </c>
      <c r="F25" s="168">
        <f t="shared" si="3"/>
        <v>560477.3331266148</v>
      </c>
      <c r="G25" s="8">
        <f t="shared" si="4"/>
        <v>0</v>
      </c>
      <c r="H25" s="234">
        <f t="shared" si="5"/>
        <v>0</v>
      </c>
      <c r="J25" s="8">
        <f>Données!AN25</f>
        <v>0</v>
      </c>
      <c r="K25" s="152">
        <f t="shared" si="6"/>
        <v>70059.66664082685</v>
      </c>
      <c r="L25" s="12">
        <f t="shared" si="7"/>
        <v>0</v>
      </c>
      <c r="M25" s="234">
        <f t="shared" si="8"/>
        <v>0</v>
      </c>
      <c r="O25" s="42">
        <f t="shared" si="9"/>
        <v>0</v>
      </c>
      <c r="P25" s="196"/>
      <c r="Q25" s="162"/>
      <c r="R25" s="162"/>
      <c r="S25" s="162"/>
      <c r="T25" s="162"/>
      <c r="U25" s="162"/>
      <c r="AF25" s="11"/>
      <c r="AG25" s="11"/>
      <c r="AH25" s="11"/>
      <c r="AI25" s="11"/>
      <c r="AJ25" s="11"/>
      <c r="AK25" s="11"/>
      <c r="AL25" s="11"/>
    </row>
    <row r="26" spans="1:38" x14ac:dyDescent="0.25">
      <c r="A26" s="38">
        <f>+Données!A26</f>
        <v>5427</v>
      </c>
      <c r="B26" s="181" t="str">
        <f>+Données!B26</f>
        <v>Féchy</v>
      </c>
      <c r="C26" s="170">
        <f>+Ecrêtage!C26</f>
        <v>87019.406153846168</v>
      </c>
      <c r="D26" s="168"/>
      <c r="E26" s="170">
        <f>Données!AF26+Données!AG26+Données!AH26</f>
        <v>0</v>
      </c>
      <c r="F26" s="168">
        <f t="shared" si="3"/>
        <v>696155.24923076935</v>
      </c>
      <c r="G26" s="8">
        <f t="shared" si="4"/>
        <v>0</v>
      </c>
      <c r="H26" s="234">
        <f t="shared" si="5"/>
        <v>0</v>
      </c>
      <c r="J26" s="8">
        <f>Données!AN26</f>
        <v>0</v>
      </c>
      <c r="K26" s="152">
        <f t="shared" si="6"/>
        <v>87019.406153846168</v>
      </c>
      <c r="L26" s="12">
        <f t="shared" si="7"/>
        <v>0</v>
      </c>
      <c r="M26" s="234">
        <f t="shared" si="8"/>
        <v>0</v>
      </c>
      <c r="O26" s="42">
        <f t="shared" si="9"/>
        <v>0</v>
      </c>
      <c r="P26" s="196"/>
      <c r="Q26" s="162"/>
      <c r="R26" s="162"/>
      <c r="S26" s="162"/>
      <c r="T26" s="162"/>
      <c r="U26" s="162"/>
      <c r="AF26" s="11"/>
      <c r="AG26" s="11"/>
      <c r="AH26" s="11"/>
      <c r="AI26" s="11"/>
      <c r="AJ26" s="11"/>
      <c r="AK26" s="11"/>
      <c r="AL26" s="11"/>
    </row>
    <row r="27" spans="1:38" x14ac:dyDescent="0.25">
      <c r="A27" s="38">
        <f>+Données!A27</f>
        <v>5428</v>
      </c>
      <c r="B27" s="181" t="str">
        <f>+Données!B27</f>
        <v>Gimel</v>
      </c>
      <c r="C27" s="170">
        <f>+Ecrêtage!C27</f>
        <v>72073.620570776256</v>
      </c>
      <c r="D27" s="168"/>
      <c r="E27" s="170">
        <f>Données!AF27+Données!AG27+Données!AH27</f>
        <v>0</v>
      </c>
      <c r="F27" s="168">
        <f t="shared" si="3"/>
        <v>576588.96456621005</v>
      </c>
      <c r="G27" s="8">
        <f t="shared" si="4"/>
        <v>0</v>
      </c>
      <c r="H27" s="234">
        <f t="shared" si="5"/>
        <v>0</v>
      </c>
      <c r="J27" s="8">
        <f>Données!AN27</f>
        <v>0</v>
      </c>
      <c r="K27" s="152">
        <f t="shared" si="6"/>
        <v>72073.620570776256</v>
      </c>
      <c r="L27" s="12">
        <f t="shared" si="7"/>
        <v>0</v>
      </c>
      <c r="M27" s="234">
        <f t="shared" si="8"/>
        <v>0</v>
      </c>
      <c r="O27" s="42">
        <f t="shared" si="9"/>
        <v>0</v>
      </c>
      <c r="P27" s="196"/>
      <c r="Q27" s="162"/>
      <c r="R27" s="162"/>
      <c r="S27" s="162"/>
      <c r="T27" s="162"/>
      <c r="U27" s="162"/>
      <c r="AF27" s="11"/>
      <c r="AG27" s="11"/>
      <c r="AH27" s="11"/>
      <c r="AI27" s="11"/>
      <c r="AJ27" s="11"/>
      <c r="AK27" s="11"/>
      <c r="AL27" s="11"/>
    </row>
    <row r="28" spans="1:38" x14ac:dyDescent="0.25">
      <c r="A28" s="38">
        <f>+Données!A28</f>
        <v>5429</v>
      </c>
      <c r="B28" s="181" t="str">
        <f>+Données!B28</f>
        <v>Longirod</v>
      </c>
      <c r="C28" s="170">
        <f>+Ecrêtage!C28</f>
        <v>19283.044387096772</v>
      </c>
      <c r="D28" s="168"/>
      <c r="E28" s="170">
        <f>Données!AF28+Données!AG28+Données!AH28</f>
        <v>0</v>
      </c>
      <c r="F28" s="168">
        <f t="shared" si="3"/>
        <v>154264.35509677418</v>
      </c>
      <c r="G28" s="8">
        <f t="shared" si="4"/>
        <v>0</v>
      </c>
      <c r="H28" s="234">
        <f t="shared" si="5"/>
        <v>0</v>
      </c>
      <c r="J28" s="8">
        <f>Données!AN28</f>
        <v>0</v>
      </c>
      <c r="K28" s="152">
        <f t="shared" si="6"/>
        <v>19283.044387096772</v>
      </c>
      <c r="L28" s="12">
        <f t="shared" si="7"/>
        <v>0</v>
      </c>
      <c r="M28" s="234">
        <f t="shared" si="8"/>
        <v>0</v>
      </c>
      <c r="O28" s="42">
        <f t="shared" si="9"/>
        <v>0</v>
      </c>
      <c r="P28" s="196"/>
      <c r="Q28" s="162"/>
      <c r="R28" s="162"/>
      <c r="S28" s="162"/>
      <c r="T28" s="162"/>
      <c r="U28" s="162"/>
      <c r="AF28" s="11"/>
      <c r="AG28" s="11"/>
      <c r="AH28" s="11"/>
      <c r="AI28" s="11"/>
      <c r="AJ28" s="11"/>
      <c r="AK28" s="11"/>
      <c r="AL28" s="11"/>
    </row>
    <row r="29" spans="1:38" x14ac:dyDescent="0.25">
      <c r="A29" s="38">
        <f>+Données!A29</f>
        <v>5430</v>
      </c>
      <c r="B29" s="181" t="str">
        <f>+Données!B29</f>
        <v>Marchissy</v>
      </c>
      <c r="C29" s="170">
        <f>+Ecrêtage!C29</f>
        <v>16181.195483870966</v>
      </c>
      <c r="D29" s="168"/>
      <c r="E29" s="170">
        <f>Données!AF29+Données!AG29+Données!AH29</f>
        <v>0</v>
      </c>
      <c r="F29" s="168">
        <f t="shared" si="3"/>
        <v>129449.56387096773</v>
      </c>
      <c r="G29" s="8">
        <f t="shared" si="4"/>
        <v>0</v>
      </c>
      <c r="H29" s="234">
        <f t="shared" si="5"/>
        <v>0</v>
      </c>
      <c r="J29" s="8">
        <f>Données!AN29</f>
        <v>0</v>
      </c>
      <c r="K29" s="152">
        <f t="shared" si="6"/>
        <v>16181.195483870966</v>
      </c>
      <c r="L29" s="12">
        <f t="shared" si="7"/>
        <v>0</v>
      </c>
      <c r="M29" s="234">
        <f t="shared" si="8"/>
        <v>0</v>
      </c>
      <c r="O29" s="42">
        <f t="shared" si="9"/>
        <v>0</v>
      </c>
      <c r="P29" s="196"/>
      <c r="Q29" s="162"/>
      <c r="R29" s="162"/>
      <c r="S29" s="162"/>
      <c r="T29" s="162"/>
      <c r="U29" s="162"/>
      <c r="AF29" s="11"/>
      <c r="AG29" s="11"/>
      <c r="AH29" s="11"/>
      <c r="AI29" s="11"/>
      <c r="AJ29" s="11"/>
      <c r="AK29" s="11"/>
      <c r="AL29" s="11"/>
    </row>
    <row r="30" spans="1:38" x14ac:dyDescent="0.25">
      <c r="A30" s="38">
        <f>+Données!A30</f>
        <v>5431</v>
      </c>
      <c r="B30" s="181" t="str">
        <f>+Données!B30</f>
        <v>Mollens</v>
      </c>
      <c r="C30" s="170">
        <f>+Ecrêtage!C30</f>
        <v>9356.399324324324</v>
      </c>
      <c r="D30" s="168"/>
      <c r="E30" s="170">
        <f>Données!AF30+Données!AG30+Données!AH30</f>
        <v>0</v>
      </c>
      <c r="F30" s="168">
        <f t="shared" si="3"/>
        <v>74851.194594594592</v>
      </c>
      <c r="G30" s="8">
        <f t="shared" si="4"/>
        <v>0</v>
      </c>
      <c r="H30" s="234">
        <f t="shared" si="5"/>
        <v>0</v>
      </c>
      <c r="J30" s="8">
        <f>Données!AN30</f>
        <v>0</v>
      </c>
      <c r="K30" s="152">
        <f t="shared" si="6"/>
        <v>9356.399324324324</v>
      </c>
      <c r="L30" s="12">
        <f t="shared" si="7"/>
        <v>0</v>
      </c>
      <c r="M30" s="234">
        <f t="shared" si="8"/>
        <v>0</v>
      </c>
      <c r="O30" s="42">
        <f t="shared" si="9"/>
        <v>0</v>
      </c>
      <c r="P30" s="196"/>
      <c r="Q30" s="162"/>
      <c r="R30" s="162"/>
      <c r="S30" s="162"/>
      <c r="T30" s="162"/>
      <c r="U30" s="162"/>
      <c r="AF30" s="11"/>
      <c r="AG30" s="11"/>
      <c r="AH30" s="11"/>
      <c r="AI30" s="11"/>
      <c r="AJ30" s="11"/>
      <c r="AK30" s="11"/>
      <c r="AL30" s="11"/>
    </row>
    <row r="31" spans="1:38" x14ac:dyDescent="0.25">
      <c r="A31" s="38">
        <f>+Données!A31</f>
        <v>5434</v>
      </c>
      <c r="B31" s="181" t="str">
        <f>+Données!B31</f>
        <v>Saint-George</v>
      </c>
      <c r="C31" s="170">
        <f>+Ecrêtage!C31</f>
        <v>46184.394316546764</v>
      </c>
      <c r="D31" s="168"/>
      <c r="E31" s="170">
        <f>Données!AF31+Données!AG31+Données!AH31</f>
        <v>0</v>
      </c>
      <c r="F31" s="168">
        <f t="shared" si="3"/>
        <v>369475.15453237412</v>
      </c>
      <c r="G31" s="8">
        <f t="shared" si="4"/>
        <v>0</v>
      </c>
      <c r="H31" s="234">
        <f t="shared" si="5"/>
        <v>0</v>
      </c>
      <c r="J31" s="8">
        <f>Données!AN31</f>
        <v>0</v>
      </c>
      <c r="K31" s="152">
        <f t="shared" si="6"/>
        <v>46184.394316546764</v>
      </c>
      <c r="L31" s="12">
        <f t="shared" si="7"/>
        <v>0</v>
      </c>
      <c r="M31" s="234">
        <f t="shared" si="8"/>
        <v>0</v>
      </c>
      <c r="O31" s="42">
        <f t="shared" si="9"/>
        <v>0</v>
      </c>
      <c r="P31" s="196"/>
      <c r="Q31" s="162"/>
      <c r="R31" s="162"/>
      <c r="S31" s="162"/>
      <c r="T31" s="162"/>
      <c r="U31" s="162"/>
      <c r="AF31" s="11"/>
      <c r="AG31" s="11"/>
      <c r="AH31" s="11"/>
      <c r="AI31" s="11"/>
      <c r="AJ31" s="11"/>
      <c r="AK31" s="11"/>
      <c r="AL31" s="11"/>
    </row>
    <row r="32" spans="1:38" x14ac:dyDescent="0.25">
      <c r="A32" s="38">
        <f>+Données!A32</f>
        <v>5435</v>
      </c>
      <c r="B32" s="181" t="str">
        <f>+Données!B32</f>
        <v>Saint-Livres</v>
      </c>
      <c r="C32" s="170">
        <f>+Ecrêtage!C32</f>
        <v>26399.909565217389</v>
      </c>
      <c r="D32" s="168"/>
      <c r="E32" s="170">
        <f>Données!AF32+Données!AG32+Données!AH32</f>
        <v>0</v>
      </c>
      <c r="F32" s="168">
        <f t="shared" si="3"/>
        <v>211199.27652173911</v>
      </c>
      <c r="G32" s="8">
        <f t="shared" si="4"/>
        <v>0</v>
      </c>
      <c r="H32" s="234">
        <f t="shared" si="5"/>
        <v>0</v>
      </c>
      <c r="J32" s="8">
        <f>Données!AN32</f>
        <v>0</v>
      </c>
      <c r="K32" s="152">
        <f t="shared" si="6"/>
        <v>26399.909565217389</v>
      </c>
      <c r="L32" s="12">
        <f t="shared" si="7"/>
        <v>0</v>
      </c>
      <c r="M32" s="234">
        <f t="shared" si="8"/>
        <v>0</v>
      </c>
      <c r="O32" s="42">
        <f t="shared" si="9"/>
        <v>0</v>
      </c>
      <c r="P32" s="196"/>
      <c r="Q32" s="162"/>
      <c r="R32" s="162"/>
      <c r="S32" s="162"/>
      <c r="T32" s="162"/>
      <c r="U32" s="162"/>
      <c r="AF32" s="11"/>
      <c r="AG32" s="11"/>
      <c r="AH32" s="11"/>
      <c r="AI32" s="11"/>
      <c r="AJ32" s="11"/>
      <c r="AK32" s="11"/>
      <c r="AL32" s="11"/>
    </row>
    <row r="33" spans="1:38" x14ac:dyDescent="0.25">
      <c r="A33" s="38">
        <f>+Données!A33</f>
        <v>5436</v>
      </c>
      <c r="B33" s="181" t="str">
        <f>+Données!B33</f>
        <v>Saint-Oyens</v>
      </c>
      <c r="C33" s="170">
        <f>+Ecrêtage!C33</f>
        <v>15917.295474683544</v>
      </c>
      <c r="D33" s="168"/>
      <c r="E33" s="170">
        <f>Données!AF33+Données!AG33+Données!AH33</f>
        <v>0</v>
      </c>
      <c r="F33" s="168">
        <f t="shared" si="3"/>
        <v>127338.36379746835</v>
      </c>
      <c r="G33" s="8">
        <f t="shared" si="4"/>
        <v>0</v>
      </c>
      <c r="H33" s="234">
        <f t="shared" si="5"/>
        <v>0</v>
      </c>
      <c r="J33" s="8">
        <f>Données!AN33</f>
        <v>0</v>
      </c>
      <c r="K33" s="152">
        <f t="shared" si="6"/>
        <v>15917.295474683544</v>
      </c>
      <c r="L33" s="12">
        <f t="shared" si="7"/>
        <v>0</v>
      </c>
      <c r="M33" s="234">
        <f t="shared" si="8"/>
        <v>0</v>
      </c>
      <c r="O33" s="42">
        <f t="shared" si="9"/>
        <v>0</v>
      </c>
      <c r="P33" s="196"/>
      <c r="Q33" s="162"/>
      <c r="R33" s="162"/>
      <c r="S33" s="162"/>
      <c r="T33" s="162"/>
      <c r="U33" s="162"/>
      <c r="AF33" s="11"/>
      <c r="AG33" s="11"/>
      <c r="AH33" s="11"/>
      <c r="AI33" s="11"/>
      <c r="AJ33" s="11"/>
      <c r="AK33" s="11"/>
      <c r="AL33" s="11"/>
    </row>
    <row r="34" spans="1:38" x14ac:dyDescent="0.25">
      <c r="A34" s="38">
        <f>+Données!A34</f>
        <v>5437</v>
      </c>
      <c r="B34" s="181" t="str">
        <f>+Données!B34</f>
        <v>Saubraz</v>
      </c>
      <c r="C34" s="170">
        <f>+Ecrêtage!C34</f>
        <v>16749.450625000005</v>
      </c>
      <c r="D34" s="168"/>
      <c r="E34" s="170">
        <f>Données!AF34+Données!AG34+Données!AH34</f>
        <v>0</v>
      </c>
      <c r="F34" s="168">
        <f t="shared" si="3"/>
        <v>133995.60500000004</v>
      </c>
      <c r="G34" s="8">
        <f t="shared" si="4"/>
        <v>0</v>
      </c>
      <c r="H34" s="234">
        <f t="shared" si="5"/>
        <v>0</v>
      </c>
      <c r="J34" s="8">
        <f>Données!AN34</f>
        <v>0</v>
      </c>
      <c r="K34" s="152">
        <f t="shared" si="6"/>
        <v>16749.450625000005</v>
      </c>
      <c r="L34" s="12">
        <f t="shared" si="7"/>
        <v>0</v>
      </c>
      <c r="M34" s="234">
        <f t="shared" si="8"/>
        <v>0</v>
      </c>
      <c r="O34" s="42">
        <f t="shared" si="9"/>
        <v>0</v>
      </c>
      <c r="P34" s="196"/>
      <c r="Q34" s="162"/>
      <c r="R34" s="162"/>
      <c r="S34" s="162"/>
      <c r="T34" s="162"/>
      <c r="U34" s="162"/>
      <c r="AF34" s="11"/>
      <c r="AG34" s="11"/>
      <c r="AH34" s="11"/>
      <c r="AI34" s="11"/>
      <c r="AJ34" s="11"/>
      <c r="AK34" s="11"/>
      <c r="AL34" s="11"/>
    </row>
    <row r="35" spans="1:38" x14ac:dyDescent="0.25">
      <c r="A35" s="38">
        <f>+Données!A35</f>
        <v>5451</v>
      </c>
      <c r="B35" s="181" t="str">
        <f>+Données!B35</f>
        <v>Avenches</v>
      </c>
      <c r="C35" s="170">
        <f>+Ecrêtage!C35</f>
        <v>143864.88553846153</v>
      </c>
      <c r="D35" s="168"/>
      <c r="E35" s="170">
        <f>Données!AF35+Données!AG35+Données!AH35</f>
        <v>0</v>
      </c>
      <c r="F35" s="168">
        <f t="shared" si="3"/>
        <v>1150919.0843076922</v>
      </c>
      <c r="G35" s="8">
        <f t="shared" si="4"/>
        <v>0</v>
      </c>
      <c r="H35" s="234">
        <f t="shared" si="5"/>
        <v>0</v>
      </c>
      <c r="J35" s="8">
        <f>Données!AN35</f>
        <v>0</v>
      </c>
      <c r="K35" s="152">
        <f t="shared" si="6"/>
        <v>143864.88553846153</v>
      </c>
      <c r="L35" s="12">
        <f t="shared" si="7"/>
        <v>0</v>
      </c>
      <c r="M35" s="234">
        <f t="shared" si="8"/>
        <v>0</v>
      </c>
      <c r="O35" s="42">
        <f t="shared" si="9"/>
        <v>0</v>
      </c>
      <c r="P35" s="196"/>
      <c r="Q35" s="162"/>
      <c r="R35" s="162"/>
      <c r="S35" s="162"/>
      <c r="T35" s="162"/>
      <c r="U35" s="162"/>
      <c r="AF35" s="11"/>
      <c r="AG35" s="11"/>
      <c r="AH35" s="11"/>
      <c r="AI35" s="11"/>
      <c r="AJ35" s="11"/>
      <c r="AK35" s="11"/>
      <c r="AL35" s="11"/>
    </row>
    <row r="36" spans="1:38" x14ac:dyDescent="0.25">
      <c r="A36" s="38">
        <f>+Données!A36</f>
        <v>5456</v>
      </c>
      <c r="B36" s="181" t="str">
        <f>+Données!B36</f>
        <v>Cudrefin</v>
      </c>
      <c r="C36" s="170">
        <f>+Ecrêtage!C36</f>
        <v>70775.484519773992</v>
      </c>
      <c r="D36" s="168"/>
      <c r="E36" s="170">
        <f>Données!AF36+Données!AG36+Données!AH36</f>
        <v>0</v>
      </c>
      <c r="F36" s="168">
        <f t="shared" si="3"/>
        <v>566203.87615819194</v>
      </c>
      <c r="G36" s="8">
        <f t="shared" si="4"/>
        <v>0</v>
      </c>
      <c r="H36" s="234">
        <f t="shared" si="5"/>
        <v>0</v>
      </c>
      <c r="J36" s="8">
        <f>Données!AN36</f>
        <v>0</v>
      </c>
      <c r="K36" s="152">
        <f t="shared" si="6"/>
        <v>70775.484519773992</v>
      </c>
      <c r="L36" s="12">
        <f t="shared" si="7"/>
        <v>0</v>
      </c>
      <c r="M36" s="234">
        <f t="shared" si="8"/>
        <v>0</v>
      </c>
      <c r="O36" s="42">
        <f t="shared" si="9"/>
        <v>0</v>
      </c>
      <c r="P36" s="196"/>
      <c r="Q36" s="162"/>
      <c r="R36" s="162"/>
      <c r="S36" s="162"/>
      <c r="T36" s="162"/>
      <c r="U36" s="162"/>
      <c r="AF36" s="11"/>
      <c r="AG36" s="11"/>
      <c r="AH36" s="11"/>
      <c r="AI36" s="11"/>
      <c r="AJ36" s="11"/>
      <c r="AK36" s="11"/>
      <c r="AL36" s="11"/>
    </row>
    <row r="37" spans="1:38" x14ac:dyDescent="0.25">
      <c r="A37" s="38">
        <f>+Données!A37</f>
        <v>5458</v>
      </c>
      <c r="B37" s="181" t="str">
        <f>+Données!B37</f>
        <v>Faoug</v>
      </c>
      <c r="C37" s="170">
        <f>+Ecrêtage!C37</f>
        <v>30258.802820512818</v>
      </c>
      <c r="D37" s="168"/>
      <c r="E37" s="170">
        <f>Données!AF37+Données!AG37+Données!AH37</f>
        <v>0</v>
      </c>
      <c r="F37" s="168">
        <f t="shared" si="3"/>
        <v>242070.42256410254</v>
      </c>
      <c r="G37" s="8">
        <f t="shared" si="4"/>
        <v>0</v>
      </c>
      <c r="H37" s="234">
        <f t="shared" si="5"/>
        <v>0</v>
      </c>
      <c r="J37" s="8">
        <f>Données!AN37</f>
        <v>0</v>
      </c>
      <c r="K37" s="152">
        <f t="shared" si="6"/>
        <v>30258.802820512818</v>
      </c>
      <c r="L37" s="12">
        <f t="shared" si="7"/>
        <v>0</v>
      </c>
      <c r="M37" s="234">
        <f t="shared" si="8"/>
        <v>0</v>
      </c>
      <c r="O37" s="42">
        <f t="shared" si="9"/>
        <v>0</v>
      </c>
      <c r="P37" s="196"/>
      <c r="Q37" s="162"/>
      <c r="R37" s="162"/>
      <c r="S37" s="162"/>
      <c r="T37" s="162"/>
      <c r="U37" s="162"/>
      <c r="AF37" s="11"/>
      <c r="AG37" s="11"/>
      <c r="AH37" s="11"/>
      <c r="AI37" s="11"/>
      <c r="AJ37" s="11"/>
      <c r="AK37" s="11"/>
      <c r="AL37" s="11"/>
    </row>
    <row r="38" spans="1:38" x14ac:dyDescent="0.25">
      <c r="A38" s="38">
        <f>+Données!A38</f>
        <v>5464</v>
      </c>
      <c r="B38" s="181" t="str">
        <f>+Données!B38</f>
        <v>Vully-les-Lacs</v>
      </c>
      <c r="C38" s="170">
        <f>+Ecrêtage!C38</f>
        <v>128619.64756218906</v>
      </c>
      <c r="D38" s="168"/>
      <c r="E38" s="170">
        <f>Données!AF38+Données!AG38+Données!AH38</f>
        <v>0</v>
      </c>
      <c r="F38" s="168">
        <f t="shared" si="3"/>
        <v>1028957.1804975125</v>
      </c>
      <c r="G38" s="8">
        <f t="shared" si="4"/>
        <v>0</v>
      </c>
      <c r="H38" s="234">
        <f t="shared" si="5"/>
        <v>0</v>
      </c>
      <c r="J38" s="8">
        <f>Données!AN38</f>
        <v>0</v>
      </c>
      <c r="K38" s="152">
        <f t="shared" si="6"/>
        <v>128619.64756218906</v>
      </c>
      <c r="L38" s="12">
        <f t="shared" si="7"/>
        <v>0</v>
      </c>
      <c r="M38" s="234">
        <f t="shared" si="8"/>
        <v>0</v>
      </c>
      <c r="O38" s="42">
        <f t="shared" si="9"/>
        <v>0</v>
      </c>
      <c r="P38" s="196"/>
      <c r="Q38" s="162"/>
      <c r="R38" s="162"/>
      <c r="S38" s="162"/>
      <c r="T38" s="162"/>
      <c r="U38" s="162"/>
      <c r="AF38" s="11"/>
      <c r="AG38" s="11"/>
      <c r="AH38" s="11"/>
      <c r="AI38" s="11"/>
      <c r="AJ38" s="11"/>
      <c r="AK38" s="11"/>
      <c r="AL38" s="11"/>
    </row>
    <row r="39" spans="1:38" x14ac:dyDescent="0.25">
      <c r="A39" s="38">
        <f>+Données!A39</f>
        <v>5471</v>
      </c>
      <c r="B39" s="181" t="str">
        <f>+Données!B39</f>
        <v>Bettens</v>
      </c>
      <c r="C39" s="170">
        <f>+Ecrêtage!C39</f>
        <v>23731.223904761908</v>
      </c>
      <c r="D39" s="168"/>
      <c r="E39" s="170">
        <f>Données!AF39+Données!AG39+Données!AH39</f>
        <v>0</v>
      </c>
      <c r="F39" s="168">
        <f t="shared" si="3"/>
        <v>189849.79123809526</v>
      </c>
      <c r="G39" s="8">
        <f t="shared" si="4"/>
        <v>0</v>
      </c>
      <c r="H39" s="234">
        <f t="shared" si="5"/>
        <v>0</v>
      </c>
      <c r="J39" s="8">
        <f>Données!AN39</f>
        <v>0</v>
      </c>
      <c r="K39" s="152">
        <f t="shared" si="6"/>
        <v>23731.223904761908</v>
      </c>
      <c r="L39" s="12">
        <f t="shared" si="7"/>
        <v>0</v>
      </c>
      <c r="M39" s="234">
        <f t="shared" si="8"/>
        <v>0</v>
      </c>
      <c r="O39" s="42">
        <f t="shared" si="9"/>
        <v>0</v>
      </c>
      <c r="P39" s="196"/>
      <c r="Q39" s="162"/>
      <c r="R39" s="162"/>
      <c r="S39" s="162"/>
      <c r="T39" s="162"/>
      <c r="U39" s="162"/>
      <c r="AF39" s="11"/>
      <c r="AG39" s="11"/>
      <c r="AH39" s="11"/>
      <c r="AI39" s="11"/>
      <c r="AJ39" s="11"/>
      <c r="AK39" s="11"/>
      <c r="AL39" s="11"/>
    </row>
    <row r="40" spans="1:38" x14ac:dyDescent="0.25">
      <c r="A40" s="38">
        <f>+Données!A40</f>
        <v>5472</v>
      </c>
      <c r="B40" s="181" t="str">
        <f>+Données!B40</f>
        <v>Bournens</v>
      </c>
      <c r="C40" s="170">
        <f>+Ecrêtage!C40</f>
        <v>20138.90088235294</v>
      </c>
      <c r="D40" s="168"/>
      <c r="E40" s="170">
        <f>Données!AF40+Données!AG40+Données!AH40</f>
        <v>0</v>
      </c>
      <c r="F40" s="168">
        <f t="shared" si="3"/>
        <v>161111.20705882352</v>
      </c>
      <c r="G40" s="8">
        <f t="shared" si="4"/>
        <v>0</v>
      </c>
      <c r="H40" s="234">
        <f t="shared" si="5"/>
        <v>0</v>
      </c>
      <c r="J40" s="8">
        <f>Données!AN40</f>
        <v>0</v>
      </c>
      <c r="K40" s="152">
        <f t="shared" si="6"/>
        <v>20138.90088235294</v>
      </c>
      <c r="L40" s="12">
        <f t="shared" si="7"/>
        <v>0</v>
      </c>
      <c r="M40" s="234">
        <f t="shared" si="8"/>
        <v>0</v>
      </c>
      <c r="O40" s="42">
        <f t="shared" si="9"/>
        <v>0</v>
      </c>
      <c r="P40" s="196"/>
      <c r="Q40" s="162"/>
      <c r="R40" s="162"/>
      <c r="S40" s="162"/>
      <c r="T40" s="162"/>
      <c r="U40" s="162"/>
      <c r="AF40" s="11"/>
      <c r="AG40" s="11"/>
      <c r="AH40" s="11"/>
      <c r="AI40" s="11"/>
      <c r="AJ40" s="11"/>
      <c r="AK40" s="11"/>
      <c r="AL40" s="11"/>
    </row>
    <row r="41" spans="1:38" x14ac:dyDescent="0.25">
      <c r="A41" s="38">
        <f>+Données!A41</f>
        <v>5473</v>
      </c>
      <c r="B41" s="181" t="str">
        <f>+Données!B41</f>
        <v>Boussens</v>
      </c>
      <c r="C41" s="170">
        <f>+Ecrêtage!C41</f>
        <v>38661.720757575771</v>
      </c>
      <c r="D41" s="168"/>
      <c r="E41" s="170">
        <f>Données!AF41+Données!AG41+Données!AH41</f>
        <v>0</v>
      </c>
      <c r="F41" s="168">
        <f t="shared" si="3"/>
        <v>309293.76606060617</v>
      </c>
      <c r="G41" s="8">
        <f t="shared" si="4"/>
        <v>0</v>
      </c>
      <c r="H41" s="234">
        <f t="shared" si="5"/>
        <v>0</v>
      </c>
      <c r="J41" s="8">
        <f>Données!AN41</f>
        <v>0</v>
      </c>
      <c r="K41" s="152">
        <f t="shared" si="6"/>
        <v>38661.720757575771</v>
      </c>
      <c r="L41" s="12">
        <f t="shared" si="7"/>
        <v>0</v>
      </c>
      <c r="M41" s="234">
        <f t="shared" si="8"/>
        <v>0</v>
      </c>
      <c r="O41" s="42">
        <f t="shared" si="9"/>
        <v>0</v>
      </c>
      <c r="P41" s="196"/>
      <c r="Q41" s="162"/>
      <c r="R41" s="162"/>
      <c r="S41" s="162"/>
      <c r="T41" s="162"/>
      <c r="U41" s="162"/>
      <c r="AF41" s="11"/>
      <c r="AG41" s="11"/>
      <c r="AH41" s="11"/>
      <c r="AI41" s="11"/>
      <c r="AJ41" s="11"/>
      <c r="AK41" s="11"/>
      <c r="AL41" s="11"/>
    </row>
    <row r="42" spans="1:38" x14ac:dyDescent="0.25">
      <c r="A42" s="38">
        <f>+Données!A42</f>
        <v>5474</v>
      </c>
      <c r="B42" s="181" t="str">
        <f>+Données!B42</f>
        <v>La Chaux (Cossonay)</v>
      </c>
      <c r="C42" s="170">
        <f>+Ecrêtage!C42</f>
        <v>14789.202587719299</v>
      </c>
      <c r="D42" s="168"/>
      <c r="E42" s="170">
        <f>Données!AF42+Données!AG42+Données!AH42</f>
        <v>0</v>
      </c>
      <c r="F42" s="168">
        <f t="shared" si="3"/>
        <v>118313.62070175439</v>
      </c>
      <c r="G42" s="8">
        <f t="shared" si="4"/>
        <v>0</v>
      </c>
      <c r="H42" s="234">
        <f t="shared" si="5"/>
        <v>0</v>
      </c>
      <c r="J42" s="8">
        <f>Données!AN42</f>
        <v>0</v>
      </c>
      <c r="K42" s="152">
        <f t="shared" si="6"/>
        <v>14789.202587719299</v>
      </c>
      <c r="L42" s="12">
        <f t="shared" si="7"/>
        <v>0</v>
      </c>
      <c r="M42" s="234">
        <f t="shared" si="8"/>
        <v>0</v>
      </c>
      <c r="O42" s="42">
        <f t="shared" si="9"/>
        <v>0</v>
      </c>
      <c r="P42" s="196"/>
      <c r="Q42" s="162"/>
      <c r="R42" s="162"/>
      <c r="S42" s="162"/>
      <c r="T42" s="162"/>
      <c r="U42" s="162"/>
      <c r="AF42" s="11"/>
      <c r="AG42" s="11"/>
      <c r="AH42" s="11"/>
      <c r="AI42" s="11"/>
      <c r="AJ42" s="11"/>
      <c r="AK42" s="11"/>
      <c r="AL42" s="11"/>
    </row>
    <row r="43" spans="1:38" x14ac:dyDescent="0.25">
      <c r="A43" s="38">
        <f>+Données!A43</f>
        <v>5475</v>
      </c>
      <c r="B43" s="181" t="str">
        <f>+Données!B43</f>
        <v>Chavannes-le-Veyron</v>
      </c>
      <c r="C43" s="170">
        <f>+Ecrêtage!C43</f>
        <v>4582.5893333333333</v>
      </c>
      <c r="D43" s="168"/>
      <c r="E43" s="170">
        <f>Données!AF43+Données!AG43+Données!AH43</f>
        <v>0</v>
      </c>
      <c r="F43" s="168">
        <f t="shared" si="3"/>
        <v>36660.714666666667</v>
      </c>
      <c r="G43" s="8">
        <f t="shared" si="4"/>
        <v>0</v>
      </c>
      <c r="H43" s="234">
        <f t="shared" si="5"/>
        <v>0</v>
      </c>
      <c r="J43" s="8">
        <f>Données!AN43</f>
        <v>0</v>
      </c>
      <c r="K43" s="152">
        <f t="shared" si="6"/>
        <v>4582.5893333333333</v>
      </c>
      <c r="L43" s="12">
        <f t="shared" si="7"/>
        <v>0</v>
      </c>
      <c r="M43" s="234">
        <f t="shared" si="8"/>
        <v>0</v>
      </c>
      <c r="O43" s="42">
        <f t="shared" si="9"/>
        <v>0</v>
      </c>
      <c r="P43" s="196"/>
      <c r="Q43" s="162"/>
      <c r="R43" s="162"/>
      <c r="S43" s="162"/>
      <c r="T43" s="162"/>
      <c r="U43" s="162"/>
      <c r="AF43" s="11"/>
      <c r="AG43" s="11"/>
      <c r="AH43" s="11"/>
      <c r="AI43" s="11"/>
      <c r="AJ43" s="11"/>
      <c r="AK43" s="11"/>
      <c r="AL43" s="11"/>
    </row>
    <row r="44" spans="1:38" x14ac:dyDescent="0.25">
      <c r="A44" s="38">
        <f>+Données!A44</f>
        <v>5476</v>
      </c>
      <c r="B44" s="181" t="str">
        <f>+Données!B44</f>
        <v>Chevilly</v>
      </c>
      <c r="C44" s="170">
        <f>+Ecrêtage!C44</f>
        <v>13414.448028169016</v>
      </c>
      <c r="D44" s="168"/>
      <c r="E44" s="170">
        <f>Données!AF44+Données!AG44+Données!AH44</f>
        <v>0</v>
      </c>
      <c r="F44" s="168">
        <f t="shared" si="3"/>
        <v>107315.58422535213</v>
      </c>
      <c r="G44" s="8">
        <f t="shared" si="4"/>
        <v>0</v>
      </c>
      <c r="H44" s="234">
        <f t="shared" si="5"/>
        <v>0</v>
      </c>
      <c r="J44" s="8">
        <f>Données!AN44</f>
        <v>0</v>
      </c>
      <c r="K44" s="152">
        <f t="shared" si="6"/>
        <v>13414.448028169016</v>
      </c>
      <c r="L44" s="12">
        <f t="shared" si="7"/>
        <v>0</v>
      </c>
      <c r="M44" s="234">
        <f t="shared" si="8"/>
        <v>0</v>
      </c>
      <c r="O44" s="42">
        <f t="shared" si="9"/>
        <v>0</v>
      </c>
      <c r="P44" s="196"/>
      <c r="Q44" s="162"/>
      <c r="R44" s="162"/>
      <c r="S44" s="162"/>
      <c r="T44" s="162"/>
      <c r="U44" s="162"/>
      <c r="AF44" s="11"/>
      <c r="AG44" s="11"/>
      <c r="AH44" s="11"/>
      <c r="AI44" s="11"/>
      <c r="AJ44" s="11"/>
      <c r="AK44" s="11"/>
      <c r="AL44" s="11"/>
    </row>
    <row r="45" spans="1:38" x14ac:dyDescent="0.25">
      <c r="A45" s="38">
        <f>+Données!A45</f>
        <v>5477</v>
      </c>
      <c r="B45" s="181" t="str">
        <f>+Données!B45</f>
        <v>Cossonay</v>
      </c>
      <c r="C45" s="170">
        <f>+Ecrêtage!C45</f>
        <v>157014.45764705885</v>
      </c>
      <c r="D45" s="168"/>
      <c r="E45" s="170">
        <f>Données!AF45+Données!AG45+Données!AH45</f>
        <v>0</v>
      </c>
      <c r="F45" s="168">
        <f t="shared" si="3"/>
        <v>1256115.6611764708</v>
      </c>
      <c r="G45" s="8">
        <f t="shared" si="4"/>
        <v>0</v>
      </c>
      <c r="H45" s="234">
        <f t="shared" si="5"/>
        <v>0</v>
      </c>
      <c r="J45" s="8">
        <f>Données!AN45</f>
        <v>0</v>
      </c>
      <c r="K45" s="152">
        <f t="shared" si="6"/>
        <v>157014.45764705885</v>
      </c>
      <c r="L45" s="12">
        <f t="shared" si="7"/>
        <v>0</v>
      </c>
      <c r="M45" s="234">
        <f t="shared" si="8"/>
        <v>0</v>
      </c>
      <c r="O45" s="42">
        <f t="shared" si="9"/>
        <v>0</v>
      </c>
      <c r="P45" s="196"/>
      <c r="Q45" s="162"/>
      <c r="R45" s="162"/>
      <c r="S45" s="162"/>
      <c r="T45" s="162"/>
      <c r="U45" s="162"/>
      <c r="AF45" s="11"/>
      <c r="AG45" s="11"/>
      <c r="AH45" s="11"/>
      <c r="AI45" s="11"/>
      <c r="AJ45" s="11"/>
      <c r="AK45" s="11"/>
      <c r="AL45" s="11"/>
    </row>
    <row r="46" spans="1:38" x14ac:dyDescent="0.25">
      <c r="A46" s="38">
        <f>+Données!A46</f>
        <v>5479</v>
      </c>
      <c r="B46" s="181" t="str">
        <f>+Données!B46</f>
        <v>Cuarnens</v>
      </c>
      <c r="C46" s="170">
        <f>+Ecrêtage!C46</f>
        <v>18824.412763157892</v>
      </c>
      <c r="D46" s="168"/>
      <c r="E46" s="170">
        <f>Données!AF46+Données!AG46+Données!AH46</f>
        <v>0</v>
      </c>
      <c r="F46" s="168">
        <f t="shared" si="3"/>
        <v>150595.30210526314</v>
      </c>
      <c r="G46" s="8">
        <f t="shared" si="4"/>
        <v>0</v>
      </c>
      <c r="H46" s="234">
        <f t="shared" si="5"/>
        <v>0</v>
      </c>
      <c r="J46" s="8">
        <f>Données!AN46</f>
        <v>0</v>
      </c>
      <c r="K46" s="152">
        <f t="shared" si="6"/>
        <v>18824.412763157892</v>
      </c>
      <c r="L46" s="12">
        <f t="shared" si="7"/>
        <v>0</v>
      </c>
      <c r="M46" s="234">
        <f t="shared" si="8"/>
        <v>0</v>
      </c>
      <c r="O46" s="42">
        <f t="shared" si="9"/>
        <v>0</v>
      </c>
      <c r="P46" s="196"/>
      <c r="Q46" s="162"/>
      <c r="R46" s="162"/>
      <c r="S46" s="162"/>
      <c r="T46" s="162"/>
      <c r="U46" s="162"/>
      <c r="AF46" s="11"/>
      <c r="AG46" s="11"/>
      <c r="AH46" s="11"/>
      <c r="AI46" s="11"/>
      <c r="AJ46" s="11"/>
      <c r="AK46" s="11"/>
      <c r="AL46" s="11"/>
    </row>
    <row r="47" spans="1:38" x14ac:dyDescent="0.25">
      <c r="A47" s="38">
        <f>+Données!A47</f>
        <v>5480</v>
      </c>
      <c r="B47" s="181" t="str">
        <f>+Données!B47</f>
        <v>Daillens</v>
      </c>
      <c r="C47" s="170">
        <f>+Ecrêtage!C47</f>
        <v>49216.067727272741</v>
      </c>
      <c r="D47" s="168"/>
      <c r="E47" s="170">
        <f>Données!AF47+Données!AG47+Données!AH47</f>
        <v>0</v>
      </c>
      <c r="F47" s="168">
        <f t="shared" si="3"/>
        <v>393728.54181818193</v>
      </c>
      <c r="G47" s="8">
        <f t="shared" si="4"/>
        <v>0</v>
      </c>
      <c r="H47" s="234">
        <f t="shared" si="5"/>
        <v>0</v>
      </c>
      <c r="J47" s="8">
        <f>Données!AN47</f>
        <v>0</v>
      </c>
      <c r="K47" s="152">
        <f t="shared" si="6"/>
        <v>49216.067727272741</v>
      </c>
      <c r="L47" s="12">
        <f t="shared" si="7"/>
        <v>0</v>
      </c>
      <c r="M47" s="234">
        <f t="shared" si="8"/>
        <v>0</v>
      </c>
      <c r="O47" s="42">
        <f t="shared" si="9"/>
        <v>0</v>
      </c>
      <c r="P47" s="196"/>
      <c r="Q47" s="162"/>
      <c r="R47" s="162"/>
      <c r="S47" s="162"/>
      <c r="T47" s="162"/>
      <c r="U47" s="162"/>
      <c r="AF47" s="11"/>
      <c r="AG47" s="11"/>
      <c r="AH47" s="11"/>
      <c r="AI47" s="11"/>
      <c r="AJ47" s="11"/>
      <c r="AK47" s="11"/>
      <c r="AL47" s="11"/>
    </row>
    <row r="48" spans="1:38" x14ac:dyDescent="0.25">
      <c r="A48" s="38">
        <f>+Données!A48</f>
        <v>5481</v>
      </c>
      <c r="B48" s="181" t="str">
        <f>+Données!B48</f>
        <v>Dizy</v>
      </c>
      <c r="C48" s="170">
        <f>+Ecrêtage!C48</f>
        <v>8943.6092000000008</v>
      </c>
      <c r="D48" s="168"/>
      <c r="E48" s="170">
        <f>Données!AF48+Données!AG48+Données!AH48</f>
        <v>0</v>
      </c>
      <c r="F48" s="168">
        <f t="shared" si="3"/>
        <v>71548.873600000006</v>
      </c>
      <c r="G48" s="8">
        <f t="shared" si="4"/>
        <v>0</v>
      </c>
      <c r="H48" s="234">
        <f t="shared" si="5"/>
        <v>0</v>
      </c>
      <c r="J48" s="8">
        <f>Données!AN48</f>
        <v>0</v>
      </c>
      <c r="K48" s="152">
        <f t="shared" si="6"/>
        <v>8943.6092000000008</v>
      </c>
      <c r="L48" s="12">
        <f t="shared" si="7"/>
        <v>0</v>
      </c>
      <c r="M48" s="234">
        <f t="shared" si="8"/>
        <v>0</v>
      </c>
      <c r="O48" s="42">
        <f t="shared" si="9"/>
        <v>0</v>
      </c>
      <c r="P48" s="196"/>
      <c r="Q48" s="162"/>
      <c r="R48" s="162"/>
      <c r="S48" s="162"/>
      <c r="T48" s="162"/>
      <c r="U48" s="162"/>
      <c r="AF48" s="11"/>
      <c r="AG48" s="11"/>
      <c r="AH48" s="11"/>
      <c r="AI48" s="11"/>
      <c r="AJ48" s="11"/>
      <c r="AK48" s="11"/>
      <c r="AL48" s="11"/>
    </row>
    <row r="49" spans="1:38" x14ac:dyDescent="0.25">
      <c r="A49" s="38">
        <f>+Données!A49</f>
        <v>5482</v>
      </c>
      <c r="B49" s="181" t="str">
        <f>+Données!B49</f>
        <v>Eclépens</v>
      </c>
      <c r="C49" s="170">
        <f>+Ecrêtage!C49</f>
        <v>57580.307391304363</v>
      </c>
      <c r="D49" s="168"/>
      <c r="E49" s="170">
        <f>Données!AF49+Données!AG49+Données!AH49</f>
        <v>0</v>
      </c>
      <c r="F49" s="168">
        <f t="shared" si="3"/>
        <v>460642.4591304349</v>
      </c>
      <c r="G49" s="8">
        <f t="shared" si="4"/>
        <v>0</v>
      </c>
      <c r="H49" s="234">
        <f t="shared" si="5"/>
        <v>0</v>
      </c>
      <c r="J49" s="8">
        <f>Données!AN49</f>
        <v>0</v>
      </c>
      <c r="K49" s="152">
        <f t="shared" si="6"/>
        <v>57580.307391304363</v>
      </c>
      <c r="L49" s="12">
        <f t="shared" si="7"/>
        <v>0</v>
      </c>
      <c r="M49" s="234">
        <f t="shared" si="8"/>
        <v>0</v>
      </c>
      <c r="O49" s="42">
        <f t="shared" si="9"/>
        <v>0</v>
      </c>
      <c r="P49" s="196"/>
      <c r="Q49" s="162"/>
      <c r="R49" s="162"/>
      <c r="S49" s="162"/>
      <c r="T49" s="162"/>
      <c r="U49" s="162"/>
      <c r="AF49" s="11"/>
      <c r="AG49" s="11"/>
      <c r="AH49" s="11"/>
      <c r="AI49" s="11"/>
      <c r="AJ49" s="11"/>
      <c r="AK49" s="11"/>
      <c r="AL49" s="11"/>
    </row>
    <row r="50" spans="1:38" x14ac:dyDescent="0.25">
      <c r="A50" s="38">
        <f>+Données!A50</f>
        <v>5483</v>
      </c>
      <c r="B50" s="181" t="str">
        <f>+Données!B50</f>
        <v>Ferreyres</v>
      </c>
      <c r="C50" s="170">
        <f>+Ecrêtage!C50</f>
        <v>11908.696842105262</v>
      </c>
      <c r="D50" s="168"/>
      <c r="E50" s="170">
        <f>Données!AF50+Données!AG50+Données!AH50</f>
        <v>0</v>
      </c>
      <c r="F50" s="168">
        <f t="shared" si="3"/>
        <v>95269.5747368421</v>
      </c>
      <c r="G50" s="8">
        <f t="shared" si="4"/>
        <v>0</v>
      </c>
      <c r="H50" s="234">
        <f t="shared" si="5"/>
        <v>0</v>
      </c>
      <c r="J50" s="8">
        <f>Données!AN50</f>
        <v>0</v>
      </c>
      <c r="K50" s="152">
        <f t="shared" si="6"/>
        <v>11908.696842105262</v>
      </c>
      <c r="L50" s="12">
        <f t="shared" si="7"/>
        <v>0</v>
      </c>
      <c r="M50" s="234">
        <f t="shared" si="8"/>
        <v>0</v>
      </c>
      <c r="O50" s="42">
        <f t="shared" si="9"/>
        <v>0</v>
      </c>
      <c r="P50" s="196"/>
      <c r="Q50" s="162"/>
      <c r="R50" s="162"/>
      <c r="S50" s="162"/>
      <c r="T50" s="162"/>
      <c r="U50" s="162"/>
      <c r="AF50" s="11"/>
      <c r="AG50" s="11"/>
      <c r="AH50" s="11"/>
      <c r="AI50" s="11"/>
      <c r="AJ50" s="11"/>
      <c r="AK50" s="11"/>
      <c r="AL50" s="11"/>
    </row>
    <row r="51" spans="1:38" x14ac:dyDescent="0.25">
      <c r="A51" s="38">
        <f>+Données!A51</f>
        <v>5484</v>
      </c>
      <c r="B51" s="181" t="str">
        <f>+Données!B51</f>
        <v>Gollion</v>
      </c>
      <c r="C51" s="170">
        <f>+Ecrêtage!C51</f>
        <v>34768.807162162164</v>
      </c>
      <c r="D51" s="168"/>
      <c r="E51" s="170">
        <f>Données!AF51+Données!AG51+Données!AH51</f>
        <v>0</v>
      </c>
      <c r="F51" s="168">
        <f t="shared" si="3"/>
        <v>278150.45729729731</v>
      </c>
      <c r="G51" s="8">
        <f t="shared" si="4"/>
        <v>0</v>
      </c>
      <c r="H51" s="234">
        <f t="shared" si="5"/>
        <v>0</v>
      </c>
      <c r="J51" s="8">
        <f>Données!AN51</f>
        <v>0</v>
      </c>
      <c r="K51" s="152">
        <f t="shared" si="6"/>
        <v>34768.807162162164</v>
      </c>
      <c r="L51" s="12">
        <f t="shared" si="7"/>
        <v>0</v>
      </c>
      <c r="M51" s="234">
        <f t="shared" si="8"/>
        <v>0</v>
      </c>
      <c r="O51" s="42">
        <f t="shared" si="9"/>
        <v>0</v>
      </c>
      <c r="P51" s="196"/>
      <c r="Q51" s="162"/>
      <c r="R51" s="162"/>
      <c r="S51" s="162"/>
      <c r="T51" s="162"/>
      <c r="U51" s="162"/>
      <c r="AF51" s="11"/>
      <c r="AG51" s="11"/>
      <c r="AH51" s="11"/>
      <c r="AI51" s="11"/>
      <c r="AJ51" s="11"/>
      <c r="AK51" s="11"/>
      <c r="AL51" s="11"/>
    </row>
    <row r="52" spans="1:38" x14ac:dyDescent="0.25">
      <c r="A52" s="38">
        <f>+Données!A52</f>
        <v>5485</v>
      </c>
      <c r="B52" s="181" t="str">
        <f>+Données!B52</f>
        <v>Grancy</v>
      </c>
      <c r="C52" s="170">
        <f>+Ecrêtage!C52</f>
        <v>29330.080571428571</v>
      </c>
      <c r="D52" s="168"/>
      <c r="E52" s="170">
        <f>Données!AF52+Données!AG52+Données!AH52</f>
        <v>0</v>
      </c>
      <c r="F52" s="168">
        <f t="shared" si="3"/>
        <v>234640.64457142857</v>
      </c>
      <c r="G52" s="8">
        <f t="shared" si="4"/>
        <v>0</v>
      </c>
      <c r="H52" s="234">
        <f t="shared" si="5"/>
        <v>0</v>
      </c>
      <c r="J52" s="8">
        <f>Données!AN52</f>
        <v>0</v>
      </c>
      <c r="K52" s="152">
        <f t="shared" si="6"/>
        <v>29330.080571428571</v>
      </c>
      <c r="L52" s="12">
        <f t="shared" si="7"/>
        <v>0</v>
      </c>
      <c r="M52" s="234">
        <f t="shared" si="8"/>
        <v>0</v>
      </c>
      <c r="O52" s="42">
        <f t="shared" si="9"/>
        <v>0</v>
      </c>
      <c r="P52" s="196"/>
      <c r="Q52" s="162"/>
      <c r="R52" s="162"/>
      <c r="S52" s="162"/>
      <c r="T52" s="162"/>
      <c r="U52" s="162"/>
      <c r="AF52" s="11"/>
      <c r="AG52" s="11"/>
      <c r="AH52" s="11"/>
      <c r="AI52" s="11"/>
      <c r="AJ52" s="11"/>
      <c r="AK52" s="11"/>
      <c r="AL52" s="11"/>
    </row>
    <row r="53" spans="1:38" x14ac:dyDescent="0.25">
      <c r="A53" s="38">
        <f>+Données!A53</f>
        <v>5486</v>
      </c>
      <c r="B53" s="181" t="str">
        <f>+Données!B53</f>
        <v>L'Isle</v>
      </c>
      <c r="C53" s="170">
        <f>+Ecrêtage!C53</f>
        <v>33915.013599999991</v>
      </c>
      <c r="D53" s="168"/>
      <c r="E53" s="170">
        <f>Données!AF53+Données!AG53+Données!AH53</f>
        <v>0</v>
      </c>
      <c r="F53" s="168">
        <f t="shared" si="3"/>
        <v>271320.10879999993</v>
      </c>
      <c r="G53" s="8">
        <f t="shared" si="4"/>
        <v>0</v>
      </c>
      <c r="H53" s="234">
        <f t="shared" si="5"/>
        <v>0</v>
      </c>
      <c r="J53" s="8">
        <f>Données!AN53</f>
        <v>0</v>
      </c>
      <c r="K53" s="152">
        <f t="shared" si="6"/>
        <v>33915.013599999991</v>
      </c>
      <c r="L53" s="12">
        <f t="shared" si="7"/>
        <v>0</v>
      </c>
      <c r="M53" s="234">
        <f t="shared" si="8"/>
        <v>0</v>
      </c>
      <c r="O53" s="42">
        <f t="shared" si="9"/>
        <v>0</v>
      </c>
      <c r="P53" s="196"/>
      <c r="Q53" s="162"/>
      <c r="R53" s="162"/>
      <c r="S53" s="162"/>
      <c r="T53" s="162"/>
      <c r="U53" s="162"/>
      <c r="AF53" s="11"/>
      <c r="AG53" s="11"/>
      <c r="AH53" s="11"/>
      <c r="AI53" s="11"/>
      <c r="AJ53" s="11"/>
      <c r="AK53" s="11"/>
      <c r="AL53" s="11"/>
    </row>
    <row r="54" spans="1:38" x14ac:dyDescent="0.25">
      <c r="A54" s="38">
        <f>+Données!A54</f>
        <v>5487</v>
      </c>
      <c r="B54" s="181" t="str">
        <f>+Données!B54</f>
        <v>Lussery-Villars</v>
      </c>
      <c r="C54" s="170">
        <f>+Ecrêtage!C54</f>
        <v>14930.073733333335</v>
      </c>
      <c r="D54" s="168"/>
      <c r="E54" s="170">
        <f>Données!AF54+Données!AG54+Données!AH54</f>
        <v>0</v>
      </c>
      <c r="F54" s="168">
        <f t="shared" si="3"/>
        <v>119440.58986666668</v>
      </c>
      <c r="G54" s="8">
        <f t="shared" si="4"/>
        <v>0</v>
      </c>
      <c r="H54" s="234">
        <f t="shared" si="5"/>
        <v>0</v>
      </c>
      <c r="J54" s="8">
        <f>Données!AN54</f>
        <v>0</v>
      </c>
      <c r="K54" s="152">
        <f t="shared" si="6"/>
        <v>14930.073733333335</v>
      </c>
      <c r="L54" s="12">
        <f t="shared" si="7"/>
        <v>0</v>
      </c>
      <c r="M54" s="234">
        <f t="shared" si="8"/>
        <v>0</v>
      </c>
      <c r="O54" s="42">
        <f t="shared" si="9"/>
        <v>0</v>
      </c>
      <c r="P54" s="196"/>
      <c r="Q54" s="162"/>
      <c r="R54" s="162"/>
      <c r="S54" s="162"/>
      <c r="T54" s="162"/>
      <c r="U54" s="162"/>
      <c r="AF54" s="11"/>
      <c r="AG54" s="11"/>
      <c r="AH54" s="11"/>
      <c r="AI54" s="11"/>
      <c r="AJ54" s="11"/>
      <c r="AK54" s="11"/>
      <c r="AL54" s="11"/>
    </row>
    <row r="55" spans="1:38" x14ac:dyDescent="0.25">
      <c r="A55" s="38">
        <f>+Données!A55</f>
        <v>5488</v>
      </c>
      <c r="B55" s="181" t="str">
        <f>+Données!B55</f>
        <v>Mauraz</v>
      </c>
      <c r="C55" s="170">
        <f>+Ecrêtage!C55</f>
        <v>1845.4819480519479</v>
      </c>
      <c r="D55" s="168"/>
      <c r="E55" s="170">
        <f>Données!AF55+Données!AG55+Données!AH55</f>
        <v>0</v>
      </c>
      <c r="F55" s="168">
        <f t="shared" si="3"/>
        <v>14763.855584415584</v>
      </c>
      <c r="G55" s="8">
        <f t="shared" si="4"/>
        <v>0</v>
      </c>
      <c r="H55" s="234">
        <f t="shared" si="5"/>
        <v>0</v>
      </c>
      <c r="J55" s="8">
        <f>Données!AN55</f>
        <v>0</v>
      </c>
      <c r="K55" s="152">
        <f t="shared" si="6"/>
        <v>1845.4819480519479</v>
      </c>
      <c r="L55" s="12">
        <f t="shared" si="7"/>
        <v>0</v>
      </c>
      <c r="M55" s="234">
        <f t="shared" si="8"/>
        <v>0</v>
      </c>
      <c r="O55" s="42">
        <f t="shared" si="9"/>
        <v>0</v>
      </c>
      <c r="P55" s="196"/>
      <c r="Q55" s="162"/>
      <c r="R55" s="162"/>
      <c r="S55" s="162"/>
      <c r="T55" s="162"/>
      <c r="U55" s="162"/>
      <c r="AF55" s="11"/>
      <c r="AG55" s="11"/>
      <c r="AH55" s="11"/>
      <c r="AI55" s="11"/>
      <c r="AJ55" s="11"/>
      <c r="AK55" s="11"/>
      <c r="AL55" s="11"/>
    </row>
    <row r="56" spans="1:38" x14ac:dyDescent="0.25">
      <c r="A56" s="38">
        <f>+Données!A56</f>
        <v>5489</v>
      </c>
      <c r="B56" s="181" t="str">
        <f>+Données!B56</f>
        <v>Mex</v>
      </c>
      <c r="C56" s="170">
        <f>+Ecrêtage!C56</f>
        <v>61579.806386554606</v>
      </c>
      <c r="D56" s="168"/>
      <c r="E56" s="170">
        <f>Données!AF56+Données!AG56+Données!AH56</f>
        <v>0</v>
      </c>
      <c r="F56" s="168">
        <f t="shared" si="3"/>
        <v>492638.45109243685</v>
      </c>
      <c r="G56" s="8">
        <f t="shared" si="4"/>
        <v>0</v>
      </c>
      <c r="H56" s="234">
        <f t="shared" si="5"/>
        <v>0</v>
      </c>
      <c r="J56" s="8">
        <f>Données!AN56</f>
        <v>0</v>
      </c>
      <c r="K56" s="152">
        <f t="shared" si="6"/>
        <v>61579.806386554606</v>
      </c>
      <c r="L56" s="12">
        <f t="shared" si="7"/>
        <v>0</v>
      </c>
      <c r="M56" s="234">
        <f t="shared" si="8"/>
        <v>0</v>
      </c>
      <c r="O56" s="42">
        <f t="shared" si="9"/>
        <v>0</v>
      </c>
      <c r="P56" s="196"/>
      <c r="Q56" s="162"/>
      <c r="R56" s="162"/>
      <c r="S56" s="162"/>
      <c r="T56" s="162"/>
      <c r="U56" s="162"/>
      <c r="AF56" s="11"/>
      <c r="AG56" s="11"/>
      <c r="AH56" s="11"/>
      <c r="AI56" s="11"/>
      <c r="AJ56" s="11"/>
      <c r="AK56" s="11"/>
      <c r="AL56" s="11"/>
    </row>
    <row r="57" spans="1:38" x14ac:dyDescent="0.25">
      <c r="A57" s="38">
        <f>+Données!A57</f>
        <v>5490</v>
      </c>
      <c r="B57" s="181" t="str">
        <f>+Données!B57</f>
        <v>Moiry</v>
      </c>
      <c r="C57" s="170">
        <f>+Ecrêtage!C57</f>
        <v>9143.6155263157889</v>
      </c>
      <c r="D57" s="168"/>
      <c r="E57" s="170">
        <f>Données!AF57+Données!AG57+Données!AH57</f>
        <v>0</v>
      </c>
      <c r="F57" s="168">
        <f t="shared" si="3"/>
        <v>73148.924210526311</v>
      </c>
      <c r="G57" s="8">
        <f t="shared" si="4"/>
        <v>0</v>
      </c>
      <c r="H57" s="234">
        <f t="shared" si="5"/>
        <v>0</v>
      </c>
      <c r="J57" s="8">
        <f>Données!AN57</f>
        <v>0</v>
      </c>
      <c r="K57" s="152">
        <f t="shared" si="6"/>
        <v>9143.6155263157889</v>
      </c>
      <c r="L57" s="12">
        <f t="shared" si="7"/>
        <v>0</v>
      </c>
      <c r="M57" s="234">
        <f t="shared" si="8"/>
        <v>0</v>
      </c>
      <c r="O57" s="42">
        <f t="shared" si="9"/>
        <v>0</v>
      </c>
      <c r="P57" s="196"/>
      <c r="Q57" s="162"/>
      <c r="R57" s="162"/>
      <c r="S57" s="162"/>
      <c r="T57" s="162"/>
      <c r="U57" s="162"/>
      <c r="AF57" s="11"/>
      <c r="AG57" s="11"/>
      <c r="AH57" s="11"/>
      <c r="AI57" s="11"/>
      <c r="AJ57" s="11"/>
      <c r="AK57" s="11"/>
      <c r="AL57" s="11"/>
    </row>
    <row r="58" spans="1:38" x14ac:dyDescent="0.25">
      <c r="A58" s="38">
        <f>+Données!A58</f>
        <v>5491</v>
      </c>
      <c r="B58" s="181" t="str">
        <f>+Données!B58</f>
        <v>Mont-la-Ville</v>
      </c>
      <c r="C58" s="170">
        <f>+Ecrêtage!C58</f>
        <v>14485.97789473684</v>
      </c>
      <c r="D58" s="168"/>
      <c r="E58" s="170">
        <f>Données!AF58+Données!AG58+Données!AH58</f>
        <v>0</v>
      </c>
      <c r="F58" s="168">
        <f t="shared" si="3"/>
        <v>115887.82315789472</v>
      </c>
      <c r="G58" s="8">
        <f t="shared" si="4"/>
        <v>0</v>
      </c>
      <c r="H58" s="234">
        <f t="shared" si="5"/>
        <v>0</v>
      </c>
      <c r="J58" s="8">
        <f>Données!AN58</f>
        <v>0</v>
      </c>
      <c r="K58" s="152">
        <f t="shared" si="6"/>
        <v>14485.97789473684</v>
      </c>
      <c r="L58" s="12">
        <f t="shared" si="7"/>
        <v>0</v>
      </c>
      <c r="M58" s="234">
        <f t="shared" si="8"/>
        <v>0</v>
      </c>
      <c r="O58" s="42">
        <f t="shared" si="9"/>
        <v>0</v>
      </c>
      <c r="P58" s="196"/>
      <c r="Q58" s="162"/>
      <c r="R58" s="162"/>
      <c r="S58" s="162"/>
      <c r="T58" s="162"/>
      <c r="U58" s="162"/>
      <c r="AF58" s="11"/>
      <c r="AG58" s="11"/>
      <c r="AH58" s="11"/>
      <c r="AI58" s="11"/>
      <c r="AJ58" s="11"/>
      <c r="AK58" s="11"/>
      <c r="AL58" s="11"/>
    </row>
    <row r="59" spans="1:38" x14ac:dyDescent="0.25">
      <c r="A59" s="38">
        <f>+Données!A59</f>
        <v>5492</v>
      </c>
      <c r="B59" s="181" t="str">
        <f>+Données!B59</f>
        <v>Montricher</v>
      </c>
      <c r="C59" s="170">
        <f>+Ecrêtage!C59</f>
        <v>196115.50781249997</v>
      </c>
      <c r="D59" s="168"/>
      <c r="E59" s="170">
        <f>Données!AF59+Données!AG59+Données!AH59</f>
        <v>0</v>
      </c>
      <c r="F59" s="168">
        <f t="shared" si="3"/>
        <v>1568924.0624999998</v>
      </c>
      <c r="G59" s="8">
        <f t="shared" si="4"/>
        <v>0</v>
      </c>
      <c r="H59" s="234">
        <f t="shared" si="5"/>
        <v>0</v>
      </c>
      <c r="J59" s="8">
        <f>Données!AN59</f>
        <v>0</v>
      </c>
      <c r="K59" s="152">
        <f t="shared" si="6"/>
        <v>196115.50781249997</v>
      </c>
      <c r="L59" s="12">
        <f t="shared" si="7"/>
        <v>0</v>
      </c>
      <c r="M59" s="234">
        <f t="shared" si="8"/>
        <v>0</v>
      </c>
      <c r="O59" s="42">
        <f t="shared" si="9"/>
        <v>0</v>
      </c>
      <c r="P59" s="196"/>
      <c r="Q59" s="162"/>
      <c r="R59" s="162"/>
      <c r="S59" s="162"/>
      <c r="T59" s="162"/>
      <c r="U59" s="162"/>
      <c r="AF59" s="11"/>
      <c r="AG59" s="11"/>
      <c r="AH59" s="11"/>
      <c r="AI59" s="11"/>
      <c r="AJ59" s="11"/>
      <c r="AK59" s="11"/>
      <c r="AL59" s="11"/>
    </row>
    <row r="60" spans="1:38" x14ac:dyDescent="0.25">
      <c r="A60" s="38">
        <f>+Données!A60</f>
        <v>5493</v>
      </c>
      <c r="B60" s="181" t="str">
        <f>+Données!B60</f>
        <v>Orny</v>
      </c>
      <c r="C60" s="170">
        <f>+Ecrêtage!C60</f>
        <v>15159.363245521601</v>
      </c>
      <c r="D60" s="168"/>
      <c r="E60" s="170">
        <f>Données!AF60+Données!AG60+Données!AH60</f>
        <v>0</v>
      </c>
      <c r="F60" s="168">
        <f t="shared" si="3"/>
        <v>121274.90596417281</v>
      </c>
      <c r="G60" s="8">
        <f t="shared" si="4"/>
        <v>0</v>
      </c>
      <c r="H60" s="234">
        <f t="shared" si="5"/>
        <v>0</v>
      </c>
      <c r="J60" s="8">
        <f>Données!AN60</f>
        <v>0</v>
      </c>
      <c r="K60" s="152">
        <f t="shared" si="6"/>
        <v>15159.363245521601</v>
      </c>
      <c r="L60" s="12">
        <f t="shared" si="7"/>
        <v>0</v>
      </c>
      <c r="M60" s="234">
        <f t="shared" si="8"/>
        <v>0</v>
      </c>
      <c r="O60" s="42">
        <f t="shared" si="9"/>
        <v>0</v>
      </c>
      <c r="P60" s="196"/>
      <c r="Q60" s="162"/>
      <c r="R60" s="162"/>
      <c r="S60" s="162"/>
      <c r="T60" s="162"/>
      <c r="U60" s="162"/>
      <c r="AF60" s="11"/>
      <c r="AG60" s="11"/>
      <c r="AH60" s="11"/>
      <c r="AI60" s="11"/>
      <c r="AJ60" s="11"/>
      <c r="AK60" s="11"/>
      <c r="AL60" s="11"/>
    </row>
    <row r="61" spans="1:38" x14ac:dyDescent="0.25">
      <c r="A61" s="38">
        <f>+Données!A61</f>
        <v>5495</v>
      </c>
      <c r="B61" s="181" t="str">
        <f>+Données!B61</f>
        <v>Penthalaz</v>
      </c>
      <c r="C61" s="170">
        <f>+Ecrêtage!C61</f>
        <v>95849.092413793114</v>
      </c>
      <c r="D61" s="168"/>
      <c r="E61" s="170">
        <f>Données!AF61+Données!AG61+Données!AH61</f>
        <v>0</v>
      </c>
      <c r="F61" s="168">
        <f t="shared" si="3"/>
        <v>766792.73931034491</v>
      </c>
      <c r="G61" s="8">
        <f t="shared" si="4"/>
        <v>0</v>
      </c>
      <c r="H61" s="234">
        <f t="shared" si="5"/>
        <v>0</v>
      </c>
      <c r="J61" s="8">
        <f>Données!AN61</f>
        <v>0</v>
      </c>
      <c r="K61" s="152">
        <f t="shared" si="6"/>
        <v>95849.092413793114</v>
      </c>
      <c r="L61" s="12">
        <f t="shared" si="7"/>
        <v>0</v>
      </c>
      <c r="M61" s="234">
        <f t="shared" si="8"/>
        <v>0</v>
      </c>
      <c r="O61" s="42">
        <f t="shared" si="9"/>
        <v>0</v>
      </c>
      <c r="P61" s="196"/>
      <c r="Q61" s="162"/>
      <c r="R61" s="162"/>
      <c r="S61" s="162"/>
      <c r="T61" s="162"/>
      <c r="U61" s="162"/>
      <c r="AF61" s="11"/>
      <c r="AG61" s="11"/>
      <c r="AH61" s="11"/>
      <c r="AI61" s="11"/>
      <c r="AJ61" s="11"/>
      <c r="AK61" s="11"/>
      <c r="AL61" s="11"/>
    </row>
    <row r="62" spans="1:38" x14ac:dyDescent="0.25">
      <c r="A62" s="38">
        <f>+Données!A62</f>
        <v>5496</v>
      </c>
      <c r="B62" s="181" t="str">
        <f>+Données!B62</f>
        <v>Penthaz</v>
      </c>
      <c r="C62" s="170">
        <f>+Ecrêtage!C62</f>
        <v>67087.565323741001</v>
      </c>
      <c r="D62" s="168"/>
      <c r="E62" s="170">
        <f>Données!AF62+Données!AG62+Données!AH62</f>
        <v>0</v>
      </c>
      <c r="F62" s="168">
        <f t="shared" si="3"/>
        <v>536700.522589928</v>
      </c>
      <c r="G62" s="8">
        <f t="shared" si="4"/>
        <v>0</v>
      </c>
      <c r="H62" s="234">
        <f t="shared" si="5"/>
        <v>0</v>
      </c>
      <c r="J62" s="8">
        <f>Données!AN62</f>
        <v>0</v>
      </c>
      <c r="K62" s="152">
        <f t="shared" si="6"/>
        <v>67087.565323741001</v>
      </c>
      <c r="L62" s="12">
        <f t="shared" si="7"/>
        <v>0</v>
      </c>
      <c r="M62" s="234">
        <f t="shared" si="8"/>
        <v>0</v>
      </c>
      <c r="O62" s="42">
        <f t="shared" si="9"/>
        <v>0</v>
      </c>
      <c r="P62" s="196"/>
      <c r="Q62" s="162"/>
      <c r="R62" s="162"/>
      <c r="S62" s="162"/>
      <c r="T62" s="162"/>
      <c r="U62" s="162"/>
      <c r="AF62" s="11"/>
      <c r="AG62" s="11"/>
      <c r="AH62" s="11"/>
      <c r="AI62" s="11"/>
      <c r="AJ62" s="11"/>
      <c r="AK62" s="11"/>
      <c r="AL62" s="11"/>
    </row>
    <row r="63" spans="1:38" x14ac:dyDescent="0.25">
      <c r="A63" s="38">
        <f>+Données!A63</f>
        <v>5497</v>
      </c>
      <c r="B63" s="181" t="str">
        <f>+Données!B63</f>
        <v>Pompaples</v>
      </c>
      <c r="C63" s="170">
        <f>+Ecrêtage!C63</f>
        <v>25508.981363636369</v>
      </c>
      <c r="D63" s="168"/>
      <c r="E63" s="170">
        <f>Données!AF63+Données!AG63+Données!AH63</f>
        <v>0</v>
      </c>
      <c r="F63" s="168">
        <f t="shared" si="3"/>
        <v>204071.85090909095</v>
      </c>
      <c r="G63" s="8">
        <f t="shared" si="4"/>
        <v>0</v>
      </c>
      <c r="H63" s="234">
        <f t="shared" si="5"/>
        <v>0</v>
      </c>
      <c r="J63" s="8">
        <f>Données!AN63</f>
        <v>0</v>
      </c>
      <c r="K63" s="152">
        <f t="shared" si="6"/>
        <v>25508.981363636369</v>
      </c>
      <c r="L63" s="12">
        <f t="shared" si="7"/>
        <v>0</v>
      </c>
      <c r="M63" s="234">
        <f t="shared" si="8"/>
        <v>0</v>
      </c>
      <c r="O63" s="42">
        <f t="shared" si="9"/>
        <v>0</v>
      </c>
      <c r="P63" s="196"/>
      <c r="Q63" s="162"/>
      <c r="R63" s="162"/>
      <c r="S63" s="162"/>
      <c r="T63" s="162"/>
      <c r="U63" s="162"/>
      <c r="AF63" s="11"/>
      <c r="AG63" s="11"/>
      <c r="AH63" s="11"/>
      <c r="AI63" s="11"/>
      <c r="AJ63" s="11"/>
      <c r="AK63" s="11"/>
      <c r="AL63" s="11"/>
    </row>
    <row r="64" spans="1:38" x14ac:dyDescent="0.25">
      <c r="A64" s="38">
        <f>+Données!A64</f>
        <v>5498</v>
      </c>
      <c r="B64" s="181" t="str">
        <f>+Données!B64</f>
        <v>La Sarraz</v>
      </c>
      <c r="C64" s="170">
        <f>+Ecrêtage!C64</f>
        <v>78158.734848484863</v>
      </c>
      <c r="D64" s="168"/>
      <c r="E64" s="170">
        <f>Données!AF64+Données!AG64+Données!AH64</f>
        <v>0</v>
      </c>
      <c r="F64" s="168">
        <f t="shared" si="3"/>
        <v>625269.8787878789</v>
      </c>
      <c r="G64" s="8">
        <f t="shared" si="4"/>
        <v>0</v>
      </c>
      <c r="H64" s="234">
        <f t="shared" si="5"/>
        <v>0</v>
      </c>
      <c r="J64" s="8">
        <f>Données!AN64</f>
        <v>0</v>
      </c>
      <c r="K64" s="152">
        <f t="shared" si="6"/>
        <v>78158.734848484863</v>
      </c>
      <c r="L64" s="12">
        <f t="shared" si="7"/>
        <v>0</v>
      </c>
      <c r="M64" s="234">
        <f t="shared" si="8"/>
        <v>0</v>
      </c>
      <c r="O64" s="42">
        <f t="shared" si="9"/>
        <v>0</v>
      </c>
      <c r="P64" s="196"/>
      <c r="Q64" s="162"/>
      <c r="R64" s="162"/>
      <c r="S64" s="162"/>
      <c r="T64" s="162"/>
      <c r="U64" s="162"/>
      <c r="AF64" s="11"/>
      <c r="AG64" s="11"/>
      <c r="AH64" s="11"/>
      <c r="AI64" s="11"/>
      <c r="AJ64" s="11"/>
      <c r="AK64" s="11"/>
      <c r="AL64" s="11"/>
    </row>
    <row r="65" spans="1:38" x14ac:dyDescent="0.25">
      <c r="A65" s="38">
        <f>+Données!A65</f>
        <v>5499</v>
      </c>
      <c r="B65" s="181" t="str">
        <f>+Données!B65</f>
        <v>Senarclens</v>
      </c>
      <c r="C65" s="170">
        <f>+Ecrêtage!C65</f>
        <v>25627.946715328464</v>
      </c>
      <c r="D65" s="168"/>
      <c r="E65" s="170">
        <f>Données!AF65+Données!AG65+Données!AH65</f>
        <v>0</v>
      </c>
      <c r="F65" s="168">
        <f t="shared" si="3"/>
        <v>205023.57372262771</v>
      </c>
      <c r="G65" s="8">
        <f t="shared" si="4"/>
        <v>0</v>
      </c>
      <c r="H65" s="234">
        <f t="shared" si="5"/>
        <v>0</v>
      </c>
      <c r="J65" s="8">
        <f>Données!AN65</f>
        <v>0</v>
      </c>
      <c r="K65" s="152">
        <f t="shared" si="6"/>
        <v>25627.946715328464</v>
      </c>
      <c r="L65" s="12">
        <f t="shared" si="7"/>
        <v>0</v>
      </c>
      <c r="M65" s="234">
        <f t="shared" si="8"/>
        <v>0</v>
      </c>
      <c r="O65" s="42">
        <f t="shared" si="9"/>
        <v>0</v>
      </c>
      <c r="P65" s="196"/>
      <c r="Q65" s="162"/>
      <c r="R65" s="162"/>
      <c r="S65" s="162"/>
      <c r="T65" s="162"/>
      <c r="U65" s="162"/>
      <c r="AF65" s="11"/>
      <c r="AG65" s="11"/>
      <c r="AH65" s="11"/>
      <c r="AI65" s="11"/>
      <c r="AJ65" s="11"/>
      <c r="AK65" s="11"/>
      <c r="AL65" s="11"/>
    </row>
    <row r="66" spans="1:38" x14ac:dyDescent="0.25">
      <c r="A66" s="38">
        <f>+Données!A66</f>
        <v>5501</v>
      </c>
      <c r="B66" s="181" t="str">
        <f>+Données!B66</f>
        <v>Sullens</v>
      </c>
      <c r="C66" s="170">
        <f>+Ecrêtage!C66</f>
        <v>54206.164375000008</v>
      </c>
      <c r="D66" s="168"/>
      <c r="E66" s="170">
        <f>Données!AF66+Données!AG66+Données!AH66</f>
        <v>0</v>
      </c>
      <c r="F66" s="168">
        <f t="shared" si="3"/>
        <v>433649.31500000006</v>
      </c>
      <c r="G66" s="8">
        <f t="shared" si="4"/>
        <v>0</v>
      </c>
      <c r="H66" s="234">
        <f t="shared" si="5"/>
        <v>0</v>
      </c>
      <c r="J66" s="8">
        <f>Données!AN66</f>
        <v>0</v>
      </c>
      <c r="K66" s="152">
        <f t="shared" si="6"/>
        <v>54206.164375000008</v>
      </c>
      <c r="L66" s="12">
        <f t="shared" si="7"/>
        <v>0</v>
      </c>
      <c r="M66" s="234">
        <f t="shared" si="8"/>
        <v>0</v>
      </c>
      <c r="O66" s="42">
        <f t="shared" si="9"/>
        <v>0</v>
      </c>
      <c r="P66" s="196"/>
      <c r="Q66" s="162"/>
      <c r="R66" s="162"/>
      <c r="S66" s="162"/>
      <c r="T66" s="162"/>
      <c r="U66" s="162"/>
      <c r="AF66" s="11"/>
      <c r="AG66" s="11"/>
      <c r="AH66" s="11"/>
      <c r="AI66" s="11"/>
      <c r="AJ66" s="11"/>
      <c r="AK66" s="11"/>
      <c r="AL66" s="11"/>
    </row>
    <row r="67" spans="1:38" x14ac:dyDescent="0.25">
      <c r="A67" s="38">
        <f>+Données!A67</f>
        <v>5503</v>
      </c>
      <c r="B67" s="181" t="str">
        <f>+Données!B67</f>
        <v>Vufflens-la-Ville</v>
      </c>
      <c r="C67" s="170">
        <f>+Ecrêtage!C67</f>
        <v>77419.766343283569</v>
      </c>
      <c r="D67" s="168"/>
      <c r="E67" s="170">
        <f>Données!AF67+Données!AG67+Données!AH67</f>
        <v>0</v>
      </c>
      <c r="F67" s="168">
        <f t="shared" si="3"/>
        <v>619358.13074626855</v>
      </c>
      <c r="G67" s="8">
        <f t="shared" si="4"/>
        <v>0</v>
      </c>
      <c r="H67" s="234">
        <f t="shared" si="5"/>
        <v>0</v>
      </c>
      <c r="J67" s="8">
        <f>Données!AN67</f>
        <v>0</v>
      </c>
      <c r="K67" s="152">
        <f t="shared" si="6"/>
        <v>77419.766343283569</v>
      </c>
      <c r="L67" s="12">
        <f t="shared" si="7"/>
        <v>0</v>
      </c>
      <c r="M67" s="234">
        <f t="shared" si="8"/>
        <v>0</v>
      </c>
      <c r="O67" s="42">
        <f t="shared" si="9"/>
        <v>0</v>
      </c>
      <c r="P67" s="196"/>
      <c r="Q67" s="162"/>
      <c r="R67" s="162"/>
      <c r="S67" s="162"/>
      <c r="T67" s="162"/>
      <c r="U67" s="162"/>
      <c r="AF67" s="11"/>
      <c r="AG67" s="11"/>
      <c r="AH67" s="11"/>
      <c r="AI67" s="11"/>
      <c r="AJ67" s="11"/>
      <c r="AK67" s="11"/>
      <c r="AL67" s="11"/>
    </row>
    <row r="68" spans="1:38" x14ac:dyDescent="0.25">
      <c r="A68" s="38">
        <f>+Données!A68</f>
        <v>5511</v>
      </c>
      <c r="B68" s="181" t="str">
        <f>+Données!B68</f>
        <v>Assens</v>
      </c>
      <c r="C68" s="170">
        <f>+Ecrêtage!C68</f>
        <v>74810.046857142865</v>
      </c>
      <c r="D68" s="168"/>
      <c r="E68" s="170">
        <f>Données!AF68+Données!AG68+Données!AH68</f>
        <v>0</v>
      </c>
      <c r="F68" s="168">
        <f t="shared" si="3"/>
        <v>598480.37485714292</v>
      </c>
      <c r="G68" s="8">
        <f t="shared" si="4"/>
        <v>0</v>
      </c>
      <c r="H68" s="234">
        <f t="shared" si="5"/>
        <v>0</v>
      </c>
      <c r="J68" s="8">
        <f>Données!AN68</f>
        <v>0</v>
      </c>
      <c r="K68" s="152">
        <f t="shared" si="6"/>
        <v>74810.046857142865</v>
      </c>
      <c r="L68" s="12">
        <f t="shared" si="7"/>
        <v>0</v>
      </c>
      <c r="M68" s="234">
        <f t="shared" si="8"/>
        <v>0</v>
      </c>
      <c r="O68" s="42">
        <f t="shared" si="9"/>
        <v>0</v>
      </c>
      <c r="P68" s="196"/>
      <c r="Q68" s="162"/>
      <c r="R68" s="162"/>
      <c r="S68" s="162"/>
      <c r="T68" s="162"/>
      <c r="U68" s="162"/>
      <c r="AF68" s="11"/>
      <c r="AG68" s="11"/>
      <c r="AH68" s="11"/>
      <c r="AI68" s="11"/>
      <c r="AJ68" s="11"/>
      <c r="AK68" s="11"/>
      <c r="AL68" s="11"/>
    </row>
    <row r="69" spans="1:38" x14ac:dyDescent="0.25">
      <c r="A69" s="38">
        <f>+Données!A69</f>
        <v>5512</v>
      </c>
      <c r="B69" s="181" t="str">
        <f>+Données!B69</f>
        <v>Bercher</v>
      </c>
      <c r="C69" s="170">
        <f>+Ecrêtage!C69</f>
        <v>42301.871392405068</v>
      </c>
      <c r="D69" s="168"/>
      <c r="E69" s="170">
        <f>Données!AF69+Données!AG69+Données!AH69</f>
        <v>0</v>
      </c>
      <c r="F69" s="168">
        <f t="shared" si="3"/>
        <v>338414.97113924054</v>
      </c>
      <c r="G69" s="8">
        <f t="shared" si="4"/>
        <v>0</v>
      </c>
      <c r="H69" s="234">
        <f t="shared" si="5"/>
        <v>0</v>
      </c>
      <c r="J69" s="8">
        <f>Données!AN69</f>
        <v>0</v>
      </c>
      <c r="K69" s="152">
        <f t="shared" si="6"/>
        <v>42301.871392405068</v>
      </c>
      <c r="L69" s="12">
        <f t="shared" si="7"/>
        <v>0</v>
      </c>
      <c r="M69" s="234">
        <f t="shared" si="8"/>
        <v>0</v>
      </c>
      <c r="O69" s="42">
        <f t="shared" si="9"/>
        <v>0</v>
      </c>
      <c r="P69" s="196"/>
      <c r="Q69" s="162"/>
      <c r="R69" s="162"/>
      <c r="S69" s="162"/>
      <c r="T69" s="162"/>
      <c r="U69" s="162"/>
      <c r="AF69" s="11"/>
      <c r="AG69" s="11"/>
      <c r="AH69" s="11"/>
      <c r="AI69" s="11"/>
      <c r="AJ69" s="11"/>
      <c r="AK69" s="11"/>
      <c r="AL69" s="11"/>
    </row>
    <row r="70" spans="1:38" x14ac:dyDescent="0.25">
      <c r="A70" s="38">
        <f>+Données!A70</f>
        <v>5514</v>
      </c>
      <c r="B70" s="181" t="str">
        <f>+Données!B70</f>
        <v>Bottens</v>
      </c>
      <c r="C70" s="170">
        <f>+Ecrêtage!C70</f>
        <v>45049.61903448277</v>
      </c>
      <c r="D70" s="168"/>
      <c r="E70" s="170">
        <f>Données!AF70+Données!AG70+Données!AH70</f>
        <v>0</v>
      </c>
      <c r="F70" s="168">
        <f t="shared" si="3"/>
        <v>360396.95227586216</v>
      </c>
      <c r="G70" s="8">
        <f t="shared" si="4"/>
        <v>0</v>
      </c>
      <c r="H70" s="234">
        <f t="shared" si="5"/>
        <v>0</v>
      </c>
      <c r="J70" s="8">
        <f>Données!AN70</f>
        <v>0</v>
      </c>
      <c r="K70" s="152">
        <f t="shared" si="6"/>
        <v>45049.61903448277</v>
      </c>
      <c r="L70" s="12">
        <f t="shared" si="7"/>
        <v>0</v>
      </c>
      <c r="M70" s="234">
        <f t="shared" si="8"/>
        <v>0</v>
      </c>
      <c r="O70" s="42">
        <f t="shared" si="9"/>
        <v>0</v>
      </c>
      <c r="P70" s="196"/>
      <c r="Q70" s="162"/>
      <c r="R70" s="162"/>
      <c r="S70" s="162"/>
      <c r="T70" s="162"/>
      <c r="U70" s="162"/>
      <c r="AF70" s="11"/>
      <c r="AG70" s="11"/>
      <c r="AH70" s="11"/>
      <c r="AI70" s="11"/>
      <c r="AJ70" s="11"/>
      <c r="AK70" s="11"/>
      <c r="AL70" s="11"/>
    </row>
    <row r="71" spans="1:38" x14ac:dyDescent="0.25">
      <c r="A71" s="38">
        <f>+Données!A71</f>
        <v>5515</v>
      </c>
      <c r="B71" s="181" t="str">
        <f>+Données!B71</f>
        <v>Bretigny-sur-Morrens</v>
      </c>
      <c r="C71" s="170">
        <f>+Ecrêtage!C71</f>
        <v>32261.164358974351</v>
      </c>
      <c r="D71" s="168"/>
      <c r="E71" s="170">
        <f>Données!AF71+Données!AG71+Données!AH71</f>
        <v>0</v>
      </c>
      <c r="F71" s="168">
        <f t="shared" ref="F71:F134" si="10">+C71*$G$5</f>
        <v>258089.31487179481</v>
      </c>
      <c r="G71" s="8">
        <f t="shared" ref="G71:G134" si="11">IF(E71&gt;F71,E71-F71,0)</f>
        <v>0</v>
      </c>
      <c r="H71" s="234">
        <f t="shared" ref="H71:H134" si="12">-G71*H$5</f>
        <v>0</v>
      </c>
      <c r="J71" s="8">
        <f>Données!AN71</f>
        <v>0</v>
      </c>
      <c r="K71" s="152">
        <f t="shared" ref="K71:K134" si="13">C71*L$5</f>
        <v>32261.164358974351</v>
      </c>
      <c r="L71" s="12">
        <f t="shared" ref="L71:L134" si="14">IF(J71&gt;K71,J71-K71,0)</f>
        <v>0</v>
      </c>
      <c r="M71" s="234">
        <f t="shared" ref="M71:M134" si="15">-L71*M$5</f>
        <v>0</v>
      </c>
      <c r="O71" s="42">
        <f t="shared" ref="O71:O134" si="16">M71+H71</f>
        <v>0</v>
      </c>
      <c r="P71" s="196"/>
      <c r="Q71" s="162"/>
      <c r="R71" s="162"/>
      <c r="S71" s="162"/>
      <c r="T71" s="162"/>
      <c r="U71" s="162"/>
      <c r="AF71" s="11"/>
      <c r="AG71" s="11"/>
      <c r="AH71" s="11"/>
      <c r="AI71" s="11"/>
      <c r="AJ71" s="11"/>
      <c r="AK71" s="11"/>
      <c r="AL71" s="11"/>
    </row>
    <row r="72" spans="1:38" x14ac:dyDescent="0.25">
      <c r="A72" s="38">
        <f>+Données!A72</f>
        <v>5516</v>
      </c>
      <c r="B72" s="181" t="str">
        <f>+Données!B72</f>
        <v>Cugy</v>
      </c>
      <c r="C72" s="170">
        <f>+Ecrêtage!C72</f>
        <v>114099.68980263159</v>
      </c>
      <c r="D72" s="168"/>
      <c r="E72" s="170">
        <f>Données!AF72+Données!AG72+Données!AH72</f>
        <v>0</v>
      </c>
      <c r="F72" s="168">
        <f t="shared" si="10"/>
        <v>912797.51842105272</v>
      </c>
      <c r="G72" s="8">
        <f t="shared" si="11"/>
        <v>0</v>
      </c>
      <c r="H72" s="234">
        <f t="shared" si="12"/>
        <v>0</v>
      </c>
      <c r="J72" s="8">
        <f>Données!AN72</f>
        <v>0</v>
      </c>
      <c r="K72" s="152">
        <f t="shared" si="13"/>
        <v>114099.68980263159</v>
      </c>
      <c r="L72" s="12">
        <f t="shared" si="14"/>
        <v>0</v>
      </c>
      <c r="M72" s="234">
        <f t="shared" si="15"/>
        <v>0</v>
      </c>
      <c r="O72" s="42">
        <f t="shared" si="16"/>
        <v>0</v>
      </c>
      <c r="P72" s="196"/>
      <c r="Q72" s="162"/>
      <c r="R72" s="162"/>
      <c r="S72" s="162"/>
      <c r="T72" s="162"/>
      <c r="U72" s="162"/>
      <c r="AF72" s="11"/>
      <c r="AG72" s="11"/>
      <c r="AH72" s="11"/>
      <c r="AI72" s="11"/>
      <c r="AJ72" s="11"/>
      <c r="AK72" s="11"/>
      <c r="AL72" s="11"/>
    </row>
    <row r="73" spans="1:38" x14ac:dyDescent="0.25">
      <c r="A73" s="38">
        <f>+Données!A73</f>
        <v>5518</v>
      </c>
      <c r="B73" s="181" t="str">
        <f>+Données!B73</f>
        <v>Echallens</v>
      </c>
      <c r="C73" s="170">
        <f>+Ecrêtage!C73</f>
        <v>201769.75393103444</v>
      </c>
      <c r="D73" s="168"/>
      <c r="E73" s="170">
        <f>Données!AF73+Données!AG73+Données!AH73</f>
        <v>0</v>
      </c>
      <c r="F73" s="168">
        <f t="shared" si="10"/>
        <v>1614158.0314482755</v>
      </c>
      <c r="G73" s="8">
        <f t="shared" si="11"/>
        <v>0</v>
      </c>
      <c r="H73" s="234">
        <f t="shared" si="12"/>
        <v>0</v>
      </c>
      <c r="J73" s="8">
        <f>Données!AN73</f>
        <v>0</v>
      </c>
      <c r="K73" s="152">
        <f t="shared" si="13"/>
        <v>201769.75393103444</v>
      </c>
      <c r="L73" s="12">
        <f t="shared" si="14"/>
        <v>0</v>
      </c>
      <c r="M73" s="234">
        <f t="shared" si="15"/>
        <v>0</v>
      </c>
      <c r="O73" s="42">
        <f t="shared" si="16"/>
        <v>0</v>
      </c>
      <c r="P73" s="196"/>
      <c r="Q73" s="162"/>
      <c r="R73" s="162"/>
      <c r="S73" s="162"/>
      <c r="T73" s="162"/>
      <c r="U73" s="162"/>
      <c r="AF73" s="11"/>
      <c r="AG73" s="11"/>
      <c r="AH73" s="11"/>
      <c r="AI73" s="11"/>
      <c r="AJ73" s="11"/>
      <c r="AK73" s="11"/>
      <c r="AL73" s="11"/>
    </row>
    <row r="74" spans="1:38" x14ac:dyDescent="0.25">
      <c r="A74" s="38">
        <f>+Données!A74</f>
        <v>5520</v>
      </c>
      <c r="B74" s="181" t="str">
        <f>+Données!B74</f>
        <v>Essertines-sur-Yverdon</v>
      </c>
      <c r="C74" s="170">
        <f>+Ecrêtage!C74</f>
        <v>32600.230945945943</v>
      </c>
      <c r="D74" s="168"/>
      <c r="E74" s="170">
        <f>Données!AF74+Données!AG74+Données!AH74</f>
        <v>0</v>
      </c>
      <c r="F74" s="168">
        <f t="shared" si="10"/>
        <v>260801.84756756754</v>
      </c>
      <c r="G74" s="8">
        <f t="shared" si="11"/>
        <v>0</v>
      </c>
      <c r="H74" s="234">
        <f t="shared" si="12"/>
        <v>0</v>
      </c>
      <c r="J74" s="8">
        <f>Données!AN74</f>
        <v>0</v>
      </c>
      <c r="K74" s="152">
        <f t="shared" si="13"/>
        <v>32600.230945945943</v>
      </c>
      <c r="L74" s="12">
        <f t="shared" si="14"/>
        <v>0</v>
      </c>
      <c r="M74" s="234">
        <f t="shared" si="15"/>
        <v>0</v>
      </c>
      <c r="O74" s="42">
        <f t="shared" si="16"/>
        <v>0</v>
      </c>
      <c r="P74" s="196"/>
      <c r="Q74" s="162"/>
      <c r="R74" s="162"/>
      <c r="S74" s="162"/>
      <c r="T74" s="162"/>
      <c r="U74" s="162"/>
      <c r="AF74" s="11"/>
      <c r="AG74" s="11"/>
      <c r="AH74" s="11"/>
      <c r="AI74" s="11"/>
      <c r="AJ74" s="11"/>
      <c r="AK74" s="11"/>
      <c r="AL74" s="11"/>
    </row>
    <row r="75" spans="1:38" x14ac:dyDescent="0.25">
      <c r="A75" s="38">
        <f>+Données!A75</f>
        <v>5521</v>
      </c>
      <c r="B75" s="181" t="str">
        <f>+Données!B75</f>
        <v>Etagnières</v>
      </c>
      <c r="C75" s="170">
        <f>+Ecrêtage!C75</f>
        <v>45069.292328767129</v>
      </c>
      <c r="D75" s="168"/>
      <c r="E75" s="170">
        <f>Données!AF75+Données!AG75+Données!AH75</f>
        <v>0</v>
      </c>
      <c r="F75" s="168">
        <f t="shared" si="10"/>
        <v>360554.33863013703</v>
      </c>
      <c r="G75" s="8">
        <f t="shared" si="11"/>
        <v>0</v>
      </c>
      <c r="H75" s="234">
        <f t="shared" si="12"/>
        <v>0</v>
      </c>
      <c r="J75" s="8">
        <f>Données!AN75</f>
        <v>0</v>
      </c>
      <c r="K75" s="152">
        <f t="shared" si="13"/>
        <v>45069.292328767129</v>
      </c>
      <c r="L75" s="12">
        <f t="shared" si="14"/>
        <v>0</v>
      </c>
      <c r="M75" s="234">
        <f t="shared" si="15"/>
        <v>0</v>
      </c>
      <c r="O75" s="42">
        <f t="shared" si="16"/>
        <v>0</v>
      </c>
      <c r="P75" s="196"/>
      <c r="Q75" s="162"/>
      <c r="R75" s="162"/>
      <c r="S75" s="162"/>
      <c r="T75" s="162"/>
      <c r="U75" s="162"/>
      <c r="AF75" s="11"/>
      <c r="AG75" s="11"/>
      <c r="AH75" s="11"/>
      <c r="AI75" s="11"/>
      <c r="AJ75" s="11"/>
      <c r="AK75" s="11"/>
      <c r="AL75" s="11"/>
    </row>
    <row r="76" spans="1:38" x14ac:dyDescent="0.25">
      <c r="A76" s="38">
        <f>+Données!A76</f>
        <v>5522</v>
      </c>
      <c r="B76" s="181" t="str">
        <f>+Données!B76</f>
        <v>Fey</v>
      </c>
      <c r="C76" s="170">
        <f>+Ecrêtage!C76</f>
        <v>22943.940666666665</v>
      </c>
      <c r="D76" s="168"/>
      <c r="E76" s="170">
        <f>Données!AF76+Données!AG76+Données!AH76</f>
        <v>0</v>
      </c>
      <c r="F76" s="168">
        <f t="shared" si="10"/>
        <v>183551.52533333332</v>
      </c>
      <c r="G76" s="8">
        <f t="shared" si="11"/>
        <v>0</v>
      </c>
      <c r="H76" s="234">
        <f t="shared" si="12"/>
        <v>0</v>
      </c>
      <c r="J76" s="8">
        <f>Données!AN76</f>
        <v>0</v>
      </c>
      <c r="K76" s="152">
        <f t="shared" si="13"/>
        <v>22943.940666666665</v>
      </c>
      <c r="L76" s="12">
        <f t="shared" si="14"/>
        <v>0</v>
      </c>
      <c r="M76" s="234">
        <f t="shared" si="15"/>
        <v>0</v>
      </c>
      <c r="O76" s="42">
        <f t="shared" si="16"/>
        <v>0</v>
      </c>
      <c r="P76" s="196"/>
      <c r="Q76" s="162"/>
      <c r="R76" s="162"/>
      <c r="S76" s="162"/>
      <c r="T76" s="162"/>
      <c r="U76" s="162"/>
      <c r="AF76" s="11"/>
      <c r="AG76" s="11"/>
      <c r="AH76" s="11"/>
      <c r="AI76" s="11"/>
      <c r="AJ76" s="11"/>
      <c r="AK76" s="11"/>
      <c r="AL76" s="11"/>
    </row>
    <row r="77" spans="1:38" x14ac:dyDescent="0.25">
      <c r="A77" s="38">
        <f>+Données!A77</f>
        <v>5523</v>
      </c>
      <c r="B77" s="181" t="str">
        <f>+Données!B77</f>
        <v>Froideville</v>
      </c>
      <c r="C77" s="170">
        <f>+Ecrêtage!C77</f>
        <v>92586.842777777769</v>
      </c>
      <c r="D77" s="168"/>
      <c r="E77" s="170">
        <f>Données!AF77+Données!AG77+Données!AH77</f>
        <v>0</v>
      </c>
      <c r="F77" s="168">
        <f t="shared" si="10"/>
        <v>740694.74222222215</v>
      </c>
      <c r="G77" s="8">
        <f t="shared" si="11"/>
        <v>0</v>
      </c>
      <c r="H77" s="234">
        <f t="shared" si="12"/>
        <v>0</v>
      </c>
      <c r="J77" s="8">
        <f>Données!AN77</f>
        <v>0</v>
      </c>
      <c r="K77" s="152">
        <f t="shared" si="13"/>
        <v>92586.842777777769</v>
      </c>
      <c r="L77" s="12">
        <f t="shared" si="14"/>
        <v>0</v>
      </c>
      <c r="M77" s="234">
        <f t="shared" si="15"/>
        <v>0</v>
      </c>
      <c r="O77" s="42">
        <f t="shared" si="16"/>
        <v>0</v>
      </c>
      <c r="P77" s="196"/>
      <c r="Q77" s="162"/>
      <c r="R77" s="162"/>
      <c r="S77" s="162"/>
      <c r="T77" s="162"/>
      <c r="U77" s="162"/>
      <c r="AF77" s="11"/>
      <c r="AG77" s="11"/>
      <c r="AH77" s="11"/>
      <c r="AI77" s="11"/>
      <c r="AJ77" s="11"/>
      <c r="AK77" s="11"/>
      <c r="AL77" s="11"/>
    </row>
    <row r="78" spans="1:38" x14ac:dyDescent="0.25">
      <c r="A78" s="38">
        <f>+Données!A78</f>
        <v>5527</v>
      </c>
      <c r="B78" s="181" t="str">
        <f>+Données!B78</f>
        <v>Morrens</v>
      </c>
      <c r="C78" s="170">
        <f>+Ecrêtage!C78</f>
        <v>42908.9222972973</v>
      </c>
      <c r="D78" s="168"/>
      <c r="E78" s="170">
        <f>Données!AF78+Données!AG78+Données!AH78</f>
        <v>0</v>
      </c>
      <c r="F78" s="168">
        <f t="shared" si="10"/>
        <v>343271.3783783784</v>
      </c>
      <c r="G78" s="8">
        <f t="shared" si="11"/>
        <v>0</v>
      </c>
      <c r="H78" s="234">
        <f t="shared" si="12"/>
        <v>0</v>
      </c>
      <c r="J78" s="8">
        <f>Données!AN78</f>
        <v>0</v>
      </c>
      <c r="K78" s="152">
        <f t="shared" si="13"/>
        <v>42908.9222972973</v>
      </c>
      <c r="L78" s="12">
        <f t="shared" si="14"/>
        <v>0</v>
      </c>
      <c r="M78" s="234">
        <f t="shared" si="15"/>
        <v>0</v>
      </c>
      <c r="O78" s="42">
        <f t="shared" si="16"/>
        <v>0</v>
      </c>
      <c r="P78" s="196"/>
      <c r="Q78" s="162"/>
      <c r="R78" s="162"/>
      <c r="S78" s="162"/>
      <c r="T78" s="162"/>
      <c r="U78" s="162"/>
      <c r="AF78" s="11"/>
      <c r="AG78" s="11"/>
      <c r="AH78" s="11"/>
      <c r="AI78" s="11"/>
      <c r="AJ78" s="11"/>
      <c r="AK78" s="11"/>
      <c r="AL78" s="11"/>
    </row>
    <row r="79" spans="1:38" x14ac:dyDescent="0.25">
      <c r="A79" s="38">
        <f>+Données!A79</f>
        <v>5529</v>
      </c>
      <c r="B79" s="181" t="str">
        <f>+Données!B79</f>
        <v>Oulens-sous-Echallens</v>
      </c>
      <c r="C79" s="170">
        <f>+Ecrêtage!C79</f>
        <v>22948.614507042254</v>
      </c>
      <c r="D79" s="168"/>
      <c r="E79" s="170">
        <f>Données!AF79+Données!AG79+Données!AH79</f>
        <v>0</v>
      </c>
      <c r="F79" s="168">
        <f t="shared" si="10"/>
        <v>183588.91605633803</v>
      </c>
      <c r="G79" s="8">
        <f t="shared" si="11"/>
        <v>0</v>
      </c>
      <c r="H79" s="234">
        <f t="shared" si="12"/>
        <v>0</v>
      </c>
      <c r="J79" s="8">
        <f>Données!AN79</f>
        <v>0</v>
      </c>
      <c r="K79" s="152">
        <f t="shared" si="13"/>
        <v>22948.614507042254</v>
      </c>
      <c r="L79" s="12">
        <f t="shared" si="14"/>
        <v>0</v>
      </c>
      <c r="M79" s="234">
        <f t="shared" si="15"/>
        <v>0</v>
      </c>
      <c r="O79" s="42">
        <f t="shared" si="16"/>
        <v>0</v>
      </c>
      <c r="P79" s="196"/>
      <c r="Q79" s="162"/>
      <c r="R79" s="162"/>
      <c r="S79" s="162"/>
      <c r="T79" s="162"/>
      <c r="U79" s="162"/>
      <c r="AF79" s="11"/>
      <c r="AG79" s="11"/>
      <c r="AH79" s="11"/>
      <c r="AI79" s="11"/>
      <c r="AJ79" s="11"/>
      <c r="AK79" s="11"/>
      <c r="AL79" s="11"/>
    </row>
    <row r="80" spans="1:38" x14ac:dyDescent="0.25">
      <c r="A80" s="38">
        <f>+Données!A80</f>
        <v>5530</v>
      </c>
      <c r="B80" s="181" t="str">
        <f>+Données!B80</f>
        <v>Pailly</v>
      </c>
      <c r="C80" s="170">
        <f>+Ecrêtage!C80</f>
        <v>20543.565197368422</v>
      </c>
      <c r="D80" s="168"/>
      <c r="E80" s="170">
        <f>Données!AF80+Données!AG80+Données!AH80</f>
        <v>0</v>
      </c>
      <c r="F80" s="168">
        <f t="shared" si="10"/>
        <v>164348.52157894737</v>
      </c>
      <c r="G80" s="8">
        <f t="shared" si="11"/>
        <v>0</v>
      </c>
      <c r="H80" s="234">
        <f t="shared" si="12"/>
        <v>0</v>
      </c>
      <c r="J80" s="8">
        <f>Données!AN80</f>
        <v>0</v>
      </c>
      <c r="K80" s="152">
        <f t="shared" si="13"/>
        <v>20543.565197368422</v>
      </c>
      <c r="L80" s="12">
        <f t="shared" si="14"/>
        <v>0</v>
      </c>
      <c r="M80" s="234">
        <f t="shared" si="15"/>
        <v>0</v>
      </c>
      <c r="O80" s="42">
        <f t="shared" si="16"/>
        <v>0</v>
      </c>
      <c r="P80" s="196"/>
      <c r="Q80" s="162"/>
      <c r="R80" s="162"/>
      <c r="S80" s="162"/>
      <c r="T80" s="162"/>
      <c r="U80" s="162"/>
      <c r="AF80" s="11"/>
      <c r="AG80" s="11"/>
      <c r="AH80" s="11"/>
      <c r="AI80" s="11"/>
      <c r="AJ80" s="11"/>
      <c r="AK80" s="11"/>
      <c r="AL80" s="11"/>
    </row>
    <row r="81" spans="1:38" x14ac:dyDescent="0.25">
      <c r="A81" s="38">
        <f>+Données!A81</f>
        <v>5531</v>
      </c>
      <c r="B81" s="181" t="str">
        <f>+Données!B81</f>
        <v>Penthéréaz</v>
      </c>
      <c r="C81" s="170">
        <f>+Ecrêtage!C81</f>
        <v>17158.758513513516</v>
      </c>
      <c r="D81" s="168"/>
      <c r="E81" s="170">
        <f>Données!AF81+Données!AG81+Données!AH81</f>
        <v>0</v>
      </c>
      <c r="F81" s="168">
        <f t="shared" si="10"/>
        <v>137270.06810810813</v>
      </c>
      <c r="G81" s="8">
        <f t="shared" si="11"/>
        <v>0</v>
      </c>
      <c r="H81" s="234">
        <f t="shared" si="12"/>
        <v>0</v>
      </c>
      <c r="J81" s="8">
        <f>Données!AN81</f>
        <v>0</v>
      </c>
      <c r="K81" s="152">
        <f t="shared" si="13"/>
        <v>17158.758513513516</v>
      </c>
      <c r="L81" s="12">
        <f t="shared" si="14"/>
        <v>0</v>
      </c>
      <c r="M81" s="234">
        <f t="shared" si="15"/>
        <v>0</v>
      </c>
      <c r="O81" s="42">
        <f t="shared" si="16"/>
        <v>0</v>
      </c>
      <c r="P81" s="196"/>
      <c r="Q81" s="162"/>
      <c r="R81" s="162"/>
      <c r="S81" s="162"/>
      <c r="T81" s="162"/>
      <c r="U81" s="162"/>
      <c r="AF81" s="11"/>
      <c r="AG81" s="11"/>
      <c r="AH81" s="11"/>
      <c r="AI81" s="11"/>
      <c r="AJ81" s="11"/>
      <c r="AK81" s="11"/>
      <c r="AL81" s="11"/>
    </row>
    <row r="82" spans="1:38" x14ac:dyDescent="0.25">
      <c r="A82" s="38">
        <f>+Données!A82</f>
        <v>5533</v>
      </c>
      <c r="B82" s="181" t="str">
        <f>+Données!B82</f>
        <v>Poliez-Pittet</v>
      </c>
      <c r="C82" s="170">
        <f>+Ecrêtage!C82</f>
        <v>27174.793424657531</v>
      </c>
      <c r="D82" s="168"/>
      <c r="E82" s="170">
        <f>Données!AF82+Données!AG82+Données!AH82</f>
        <v>0</v>
      </c>
      <c r="F82" s="168">
        <f t="shared" si="10"/>
        <v>217398.34739726025</v>
      </c>
      <c r="G82" s="8">
        <f t="shared" si="11"/>
        <v>0</v>
      </c>
      <c r="H82" s="234">
        <f t="shared" si="12"/>
        <v>0</v>
      </c>
      <c r="J82" s="8">
        <f>Données!AN82</f>
        <v>0</v>
      </c>
      <c r="K82" s="152">
        <f t="shared" si="13"/>
        <v>27174.793424657531</v>
      </c>
      <c r="L82" s="12">
        <f t="shared" si="14"/>
        <v>0</v>
      </c>
      <c r="M82" s="234">
        <f t="shared" si="15"/>
        <v>0</v>
      </c>
      <c r="O82" s="42">
        <f t="shared" si="16"/>
        <v>0</v>
      </c>
      <c r="P82" s="196"/>
      <c r="Q82" s="162"/>
      <c r="R82" s="162"/>
      <c r="S82" s="162"/>
      <c r="T82" s="162"/>
      <c r="U82" s="162"/>
      <c r="AF82" s="11"/>
      <c r="AG82" s="11"/>
      <c r="AH82" s="11"/>
      <c r="AI82" s="11"/>
      <c r="AJ82" s="11"/>
      <c r="AK82" s="11"/>
      <c r="AL82" s="11"/>
    </row>
    <row r="83" spans="1:38" x14ac:dyDescent="0.25">
      <c r="A83" s="38">
        <f>+Données!A83</f>
        <v>5534</v>
      </c>
      <c r="B83" s="181" t="str">
        <f>+Données!B83</f>
        <v>Rueyres</v>
      </c>
      <c r="C83" s="170">
        <f>+Ecrêtage!C83</f>
        <v>15880.296484018269</v>
      </c>
      <c r="D83" s="168"/>
      <c r="E83" s="170">
        <f>Données!AF83+Données!AG83+Données!AH83</f>
        <v>0</v>
      </c>
      <c r="F83" s="168">
        <f t="shared" si="10"/>
        <v>127042.37187214615</v>
      </c>
      <c r="G83" s="8">
        <f t="shared" si="11"/>
        <v>0</v>
      </c>
      <c r="H83" s="234">
        <f t="shared" si="12"/>
        <v>0</v>
      </c>
      <c r="J83" s="8">
        <f>Données!AN83</f>
        <v>0</v>
      </c>
      <c r="K83" s="152">
        <f t="shared" si="13"/>
        <v>15880.296484018269</v>
      </c>
      <c r="L83" s="12">
        <f t="shared" si="14"/>
        <v>0</v>
      </c>
      <c r="M83" s="234">
        <f t="shared" si="15"/>
        <v>0</v>
      </c>
      <c r="O83" s="42">
        <f t="shared" si="16"/>
        <v>0</v>
      </c>
      <c r="P83" s="196"/>
      <c r="Q83" s="162"/>
      <c r="R83" s="162"/>
      <c r="S83" s="162"/>
      <c r="T83" s="162"/>
      <c r="U83" s="162"/>
      <c r="AF83" s="11"/>
      <c r="AG83" s="11"/>
      <c r="AH83" s="11"/>
      <c r="AI83" s="11"/>
      <c r="AJ83" s="11"/>
      <c r="AK83" s="11"/>
      <c r="AL83" s="11"/>
    </row>
    <row r="84" spans="1:38" x14ac:dyDescent="0.25">
      <c r="A84" s="38">
        <f>+Données!A84</f>
        <v>5535</v>
      </c>
      <c r="B84" s="181" t="str">
        <f>+Données!B84</f>
        <v>Saint-Barthélemy</v>
      </c>
      <c r="C84" s="170">
        <f>+Ecrêtage!C84</f>
        <v>27185.565066666662</v>
      </c>
      <c r="D84" s="168"/>
      <c r="E84" s="170">
        <f>Données!AF84+Données!AG84+Données!AH84</f>
        <v>0</v>
      </c>
      <c r="F84" s="168">
        <f t="shared" si="10"/>
        <v>217484.5205333333</v>
      </c>
      <c r="G84" s="8">
        <f t="shared" si="11"/>
        <v>0</v>
      </c>
      <c r="H84" s="234">
        <f t="shared" si="12"/>
        <v>0</v>
      </c>
      <c r="J84" s="8">
        <f>Données!AN84</f>
        <v>0</v>
      </c>
      <c r="K84" s="152">
        <f t="shared" si="13"/>
        <v>27185.565066666662</v>
      </c>
      <c r="L84" s="12">
        <f t="shared" si="14"/>
        <v>0</v>
      </c>
      <c r="M84" s="234">
        <f t="shared" si="15"/>
        <v>0</v>
      </c>
      <c r="O84" s="42">
        <f t="shared" si="16"/>
        <v>0</v>
      </c>
      <c r="P84" s="196"/>
      <c r="Q84" s="162"/>
      <c r="R84" s="162"/>
      <c r="S84" s="162"/>
      <c r="T84" s="162"/>
      <c r="U84" s="162"/>
      <c r="AF84" s="11"/>
      <c r="AG84" s="11"/>
      <c r="AH84" s="11"/>
      <c r="AI84" s="11"/>
      <c r="AJ84" s="11"/>
      <c r="AK84" s="11"/>
      <c r="AL84" s="11"/>
    </row>
    <row r="85" spans="1:38" x14ac:dyDescent="0.25">
      <c r="A85" s="38">
        <f>+Données!A85</f>
        <v>5537</v>
      </c>
      <c r="B85" s="181" t="str">
        <f>+Données!B85</f>
        <v>Villars-le-Terroir</v>
      </c>
      <c r="C85" s="170">
        <f>+Ecrêtage!C85</f>
        <v>37062.3994736842</v>
      </c>
      <c r="D85" s="168"/>
      <c r="E85" s="170">
        <f>Données!AF85+Données!AG85+Données!AH85</f>
        <v>0</v>
      </c>
      <c r="F85" s="168">
        <f t="shared" si="10"/>
        <v>296499.1957894736</v>
      </c>
      <c r="G85" s="8">
        <f t="shared" si="11"/>
        <v>0</v>
      </c>
      <c r="H85" s="234">
        <f t="shared" si="12"/>
        <v>0</v>
      </c>
      <c r="J85" s="8">
        <f>Données!AN85</f>
        <v>0</v>
      </c>
      <c r="K85" s="152">
        <f t="shared" si="13"/>
        <v>37062.3994736842</v>
      </c>
      <c r="L85" s="12">
        <f t="shared" si="14"/>
        <v>0</v>
      </c>
      <c r="M85" s="234">
        <f t="shared" si="15"/>
        <v>0</v>
      </c>
      <c r="O85" s="42">
        <f t="shared" si="16"/>
        <v>0</v>
      </c>
      <c r="P85" s="196"/>
      <c r="Q85" s="162"/>
      <c r="R85" s="162"/>
      <c r="S85" s="162"/>
      <c r="T85" s="162"/>
      <c r="U85" s="162"/>
      <c r="AF85" s="11"/>
      <c r="AG85" s="11"/>
      <c r="AH85" s="11"/>
      <c r="AI85" s="11"/>
      <c r="AJ85" s="11"/>
      <c r="AK85" s="11"/>
      <c r="AL85" s="11"/>
    </row>
    <row r="86" spans="1:38" x14ac:dyDescent="0.25">
      <c r="A86" s="38">
        <f>+Données!A86</f>
        <v>5539</v>
      </c>
      <c r="B86" s="181" t="str">
        <f>+Données!B86</f>
        <v>Vuarrens</v>
      </c>
      <c r="C86" s="170">
        <f>+Ecrêtage!C86</f>
        <v>33245.200000000004</v>
      </c>
      <c r="D86" s="168"/>
      <c r="E86" s="170">
        <f>Données!AF86+Données!AG86+Données!AH86</f>
        <v>0</v>
      </c>
      <c r="F86" s="168">
        <f t="shared" si="10"/>
        <v>265961.60000000003</v>
      </c>
      <c r="G86" s="8">
        <f t="shared" si="11"/>
        <v>0</v>
      </c>
      <c r="H86" s="234">
        <f t="shared" si="12"/>
        <v>0</v>
      </c>
      <c r="J86" s="8">
        <f>Données!AN86</f>
        <v>0</v>
      </c>
      <c r="K86" s="152">
        <f t="shared" si="13"/>
        <v>33245.200000000004</v>
      </c>
      <c r="L86" s="12">
        <f t="shared" si="14"/>
        <v>0</v>
      </c>
      <c r="M86" s="234">
        <f t="shared" si="15"/>
        <v>0</v>
      </c>
      <c r="O86" s="42">
        <f t="shared" si="16"/>
        <v>0</v>
      </c>
      <c r="P86" s="196"/>
      <c r="Q86" s="162"/>
      <c r="R86" s="162"/>
      <c r="S86" s="162"/>
      <c r="T86" s="162"/>
      <c r="U86" s="162"/>
      <c r="AF86" s="11"/>
      <c r="AG86" s="11"/>
      <c r="AH86" s="11"/>
      <c r="AI86" s="11"/>
      <c r="AJ86" s="11"/>
      <c r="AK86" s="11"/>
      <c r="AL86" s="11"/>
    </row>
    <row r="87" spans="1:38" x14ac:dyDescent="0.25">
      <c r="A87" s="38">
        <f>+Données!A87</f>
        <v>5540</v>
      </c>
      <c r="B87" s="181" t="str">
        <f>+Données!B87</f>
        <v>Montilliez</v>
      </c>
      <c r="C87" s="170">
        <f>+Ecrêtage!C87</f>
        <v>73930.013586206886</v>
      </c>
      <c r="D87" s="168"/>
      <c r="E87" s="170">
        <f>Données!AF87+Données!AG87+Données!AH87</f>
        <v>0</v>
      </c>
      <c r="F87" s="168">
        <f t="shared" si="10"/>
        <v>591440.10868965508</v>
      </c>
      <c r="G87" s="8">
        <f t="shared" si="11"/>
        <v>0</v>
      </c>
      <c r="H87" s="234">
        <f t="shared" si="12"/>
        <v>0</v>
      </c>
      <c r="J87" s="8">
        <f>Données!AN87</f>
        <v>0</v>
      </c>
      <c r="K87" s="152">
        <f t="shared" si="13"/>
        <v>73930.013586206886</v>
      </c>
      <c r="L87" s="12">
        <f t="shared" si="14"/>
        <v>0</v>
      </c>
      <c r="M87" s="234">
        <f t="shared" si="15"/>
        <v>0</v>
      </c>
      <c r="O87" s="42">
        <f t="shared" si="16"/>
        <v>0</v>
      </c>
      <c r="P87" s="196"/>
      <c r="Q87" s="162"/>
      <c r="R87" s="162"/>
      <c r="S87" s="162"/>
      <c r="T87" s="162"/>
      <c r="U87" s="162"/>
      <c r="AF87" s="11"/>
      <c r="AG87" s="11"/>
      <c r="AH87" s="11"/>
      <c r="AI87" s="11"/>
      <c r="AJ87" s="11"/>
      <c r="AK87" s="11"/>
      <c r="AL87" s="11"/>
    </row>
    <row r="88" spans="1:38" x14ac:dyDescent="0.25">
      <c r="A88" s="38">
        <f>+Données!A88</f>
        <v>5541</v>
      </c>
      <c r="B88" s="181" t="str">
        <f>+Données!B88</f>
        <v>Goumoëns</v>
      </c>
      <c r="C88" s="170">
        <f>+Ecrêtage!C88</f>
        <v>42494.398410596026</v>
      </c>
      <c r="D88" s="168"/>
      <c r="E88" s="170">
        <f>Données!AF88+Données!AG88+Données!AH88</f>
        <v>0</v>
      </c>
      <c r="F88" s="168">
        <f t="shared" si="10"/>
        <v>339955.18728476821</v>
      </c>
      <c r="G88" s="8">
        <f t="shared" si="11"/>
        <v>0</v>
      </c>
      <c r="H88" s="234">
        <f t="shared" si="12"/>
        <v>0</v>
      </c>
      <c r="J88" s="8">
        <f>Données!AN88</f>
        <v>0</v>
      </c>
      <c r="K88" s="152">
        <f t="shared" si="13"/>
        <v>42494.398410596026</v>
      </c>
      <c r="L88" s="12">
        <f t="shared" si="14"/>
        <v>0</v>
      </c>
      <c r="M88" s="234">
        <f t="shared" si="15"/>
        <v>0</v>
      </c>
      <c r="O88" s="42">
        <f t="shared" si="16"/>
        <v>0</v>
      </c>
      <c r="P88" s="196"/>
      <c r="Q88" s="162"/>
      <c r="R88" s="162"/>
      <c r="S88" s="162"/>
      <c r="T88" s="162"/>
      <c r="U88" s="162"/>
      <c r="AF88" s="11"/>
      <c r="AG88" s="11"/>
      <c r="AH88" s="11"/>
      <c r="AI88" s="11"/>
      <c r="AJ88" s="11"/>
      <c r="AK88" s="11"/>
      <c r="AL88" s="11"/>
    </row>
    <row r="89" spans="1:38" x14ac:dyDescent="0.25">
      <c r="A89" s="38">
        <f>+Données!A89</f>
        <v>5551</v>
      </c>
      <c r="B89" s="181" t="str">
        <f>+Données!B89</f>
        <v>Bonvillars</v>
      </c>
      <c r="C89" s="170">
        <f>+Ecrêtage!C89</f>
        <v>18997.947192982458</v>
      </c>
      <c r="D89" s="168"/>
      <c r="E89" s="170">
        <f>Données!AF89+Données!AG89+Données!AH89</f>
        <v>0</v>
      </c>
      <c r="F89" s="168">
        <f t="shared" si="10"/>
        <v>151983.57754385966</v>
      </c>
      <c r="G89" s="8">
        <f t="shared" si="11"/>
        <v>0</v>
      </c>
      <c r="H89" s="234">
        <f t="shared" si="12"/>
        <v>0</v>
      </c>
      <c r="J89" s="8">
        <f>Données!AN89</f>
        <v>0</v>
      </c>
      <c r="K89" s="152">
        <f t="shared" si="13"/>
        <v>18997.947192982458</v>
      </c>
      <c r="L89" s="12">
        <f t="shared" si="14"/>
        <v>0</v>
      </c>
      <c r="M89" s="234">
        <f t="shared" si="15"/>
        <v>0</v>
      </c>
      <c r="O89" s="42">
        <f t="shared" si="16"/>
        <v>0</v>
      </c>
      <c r="P89" s="196"/>
      <c r="Q89" s="162"/>
      <c r="R89" s="162"/>
      <c r="S89" s="162"/>
      <c r="T89" s="162"/>
      <c r="U89" s="162"/>
      <c r="AF89" s="11"/>
      <c r="AG89" s="11"/>
      <c r="AH89" s="11"/>
      <c r="AI89" s="11"/>
      <c r="AJ89" s="11"/>
      <c r="AK89" s="11"/>
      <c r="AL89" s="11"/>
    </row>
    <row r="90" spans="1:38" x14ac:dyDescent="0.25">
      <c r="A90" s="38">
        <f>+Données!A90</f>
        <v>5552</v>
      </c>
      <c r="B90" s="181" t="str">
        <f>+Données!B90</f>
        <v>Bullet</v>
      </c>
      <c r="C90" s="170">
        <f>+Ecrêtage!C90</f>
        <v>20424.764857142854</v>
      </c>
      <c r="D90" s="168"/>
      <c r="E90" s="170">
        <f>Données!AF90+Données!AG90+Données!AH90</f>
        <v>0</v>
      </c>
      <c r="F90" s="168">
        <f t="shared" si="10"/>
        <v>163398.11885714284</v>
      </c>
      <c r="G90" s="8">
        <f t="shared" si="11"/>
        <v>0</v>
      </c>
      <c r="H90" s="234">
        <f t="shared" si="12"/>
        <v>0</v>
      </c>
      <c r="J90" s="8">
        <f>Données!AN90</f>
        <v>0</v>
      </c>
      <c r="K90" s="152">
        <f t="shared" si="13"/>
        <v>20424.764857142854</v>
      </c>
      <c r="L90" s="12">
        <f t="shared" si="14"/>
        <v>0</v>
      </c>
      <c r="M90" s="234">
        <f t="shared" si="15"/>
        <v>0</v>
      </c>
      <c r="O90" s="42">
        <f t="shared" si="16"/>
        <v>0</v>
      </c>
      <c r="P90" s="196"/>
      <c r="Q90" s="162"/>
      <c r="R90" s="162"/>
      <c r="S90" s="162"/>
      <c r="T90" s="162"/>
      <c r="U90" s="162"/>
      <c r="AF90" s="11"/>
      <c r="AG90" s="11"/>
      <c r="AH90" s="11"/>
      <c r="AI90" s="11"/>
      <c r="AJ90" s="11"/>
      <c r="AK90" s="11"/>
      <c r="AL90" s="11"/>
    </row>
    <row r="91" spans="1:38" x14ac:dyDescent="0.25">
      <c r="A91" s="38">
        <f>+Données!A91</f>
        <v>5553</v>
      </c>
      <c r="B91" s="181" t="str">
        <f>+Données!B91</f>
        <v>Champagne</v>
      </c>
      <c r="C91" s="170">
        <f>+Ecrêtage!C91</f>
        <v>36175.512923076931</v>
      </c>
      <c r="D91" s="168"/>
      <c r="E91" s="170">
        <f>Données!AF91+Données!AG91+Données!AH91</f>
        <v>0</v>
      </c>
      <c r="F91" s="168">
        <f t="shared" si="10"/>
        <v>289404.10338461545</v>
      </c>
      <c r="G91" s="8">
        <f t="shared" si="11"/>
        <v>0</v>
      </c>
      <c r="H91" s="234">
        <f t="shared" si="12"/>
        <v>0</v>
      </c>
      <c r="J91" s="8">
        <f>Données!AN91</f>
        <v>0</v>
      </c>
      <c r="K91" s="152">
        <f t="shared" si="13"/>
        <v>36175.512923076931</v>
      </c>
      <c r="L91" s="12">
        <f t="shared" si="14"/>
        <v>0</v>
      </c>
      <c r="M91" s="234">
        <f t="shared" si="15"/>
        <v>0</v>
      </c>
      <c r="O91" s="42">
        <f t="shared" si="16"/>
        <v>0</v>
      </c>
      <c r="P91" s="196"/>
      <c r="Q91" s="162"/>
      <c r="R91" s="162"/>
      <c r="S91" s="162"/>
      <c r="T91" s="162"/>
      <c r="U91" s="162"/>
      <c r="AF91" s="11"/>
      <c r="AG91" s="11"/>
      <c r="AH91" s="11"/>
      <c r="AI91" s="11"/>
      <c r="AJ91" s="11"/>
      <c r="AK91" s="11"/>
      <c r="AL91" s="11"/>
    </row>
    <row r="92" spans="1:38" x14ac:dyDescent="0.25">
      <c r="A92" s="38">
        <f>+Données!A92</f>
        <v>5554</v>
      </c>
      <c r="B92" s="181" t="str">
        <f>+Données!B92</f>
        <v>Concise</v>
      </c>
      <c r="C92" s="170">
        <f>+Ecrêtage!C92</f>
        <v>34308.622777777782</v>
      </c>
      <c r="D92" s="168"/>
      <c r="E92" s="170">
        <f>Données!AF92+Données!AG92+Données!AH92</f>
        <v>0</v>
      </c>
      <c r="F92" s="168">
        <f t="shared" si="10"/>
        <v>274468.98222222226</v>
      </c>
      <c r="G92" s="8">
        <f t="shared" si="11"/>
        <v>0</v>
      </c>
      <c r="H92" s="234">
        <f t="shared" si="12"/>
        <v>0</v>
      </c>
      <c r="J92" s="8">
        <f>Données!AN92</f>
        <v>0</v>
      </c>
      <c r="K92" s="152">
        <f t="shared" si="13"/>
        <v>34308.622777777782</v>
      </c>
      <c r="L92" s="12">
        <f t="shared" si="14"/>
        <v>0</v>
      </c>
      <c r="M92" s="234">
        <f t="shared" si="15"/>
        <v>0</v>
      </c>
      <c r="O92" s="42">
        <f t="shared" si="16"/>
        <v>0</v>
      </c>
      <c r="P92" s="196"/>
      <c r="Q92" s="162"/>
      <c r="R92" s="162"/>
      <c r="S92" s="162"/>
      <c r="T92" s="162"/>
      <c r="U92" s="162"/>
      <c r="AF92" s="11"/>
      <c r="AG92" s="11"/>
      <c r="AH92" s="11"/>
      <c r="AI92" s="11"/>
      <c r="AJ92" s="11"/>
      <c r="AK92" s="11"/>
      <c r="AL92" s="11"/>
    </row>
    <row r="93" spans="1:38" x14ac:dyDescent="0.25">
      <c r="A93" s="38">
        <f>+Données!A93</f>
        <v>5555</v>
      </c>
      <c r="B93" s="181" t="str">
        <f>+Données!B93</f>
        <v>Corcelles-près-Concise</v>
      </c>
      <c r="C93" s="170">
        <f>+Ecrêtage!C93</f>
        <v>13639.969855072464</v>
      </c>
      <c r="D93" s="168"/>
      <c r="E93" s="170">
        <f>Données!AF93+Données!AG93+Données!AH93</f>
        <v>0</v>
      </c>
      <c r="F93" s="168">
        <f t="shared" si="10"/>
        <v>109119.75884057971</v>
      </c>
      <c r="G93" s="8">
        <f t="shared" si="11"/>
        <v>0</v>
      </c>
      <c r="H93" s="234">
        <f t="shared" si="12"/>
        <v>0</v>
      </c>
      <c r="J93" s="8">
        <f>Données!AN93</f>
        <v>0</v>
      </c>
      <c r="K93" s="152">
        <f t="shared" si="13"/>
        <v>13639.969855072464</v>
      </c>
      <c r="L93" s="12">
        <f t="shared" si="14"/>
        <v>0</v>
      </c>
      <c r="M93" s="234">
        <f t="shared" si="15"/>
        <v>0</v>
      </c>
      <c r="O93" s="42">
        <f t="shared" si="16"/>
        <v>0</v>
      </c>
      <c r="P93" s="196"/>
      <c r="Q93" s="162"/>
      <c r="R93" s="162"/>
      <c r="S93" s="162"/>
      <c r="T93" s="162"/>
      <c r="U93" s="162"/>
      <c r="AF93" s="11"/>
      <c r="AG93" s="11"/>
      <c r="AH93" s="11"/>
      <c r="AI93" s="11"/>
      <c r="AJ93" s="11"/>
      <c r="AK93" s="11"/>
      <c r="AL93" s="11"/>
    </row>
    <row r="94" spans="1:38" x14ac:dyDescent="0.25">
      <c r="A94" s="38">
        <f>+Données!A94</f>
        <v>5556</v>
      </c>
      <c r="B94" s="181" t="str">
        <f>+Données!B94</f>
        <v>Fiez</v>
      </c>
      <c r="C94" s="170">
        <f>+Ecrêtage!C94</f>
        <v>12931.397729468599</v>
      </c>
      <c r="D94" s="168"/>
      <c r="E94" s="170">
        <f>Données!AF94+Données!AG94+Données!AH94</f>
        <v>0</v>
      </c>
      <c r="F94" s="168">
        <f t="shared" si="10"/>
        <v>103451.18183574879</v>
      </c>
      <c r="G94" s="8">
        <f t="shared" si="11"/>
        <v>0</v>
      </c>
      <c r="H94" s="234">
        <f t="shared" si="12"/>
        <v>0</v>
      </c>
      <c r="J94" s="8">
        <f>Données!AN94</f>
        <v>0</v>
      </c>
      <c r="K94" s="152">
        <f t="shared" si="13"/>
        <v>12931.397729468599</v>
      </c>
      <c r="L94" s="12">
        <f t="shared" si="14"/>
        <v>0</v>
      </c>
      <c r="M94" s="234">
        <f t="shared" si="15"/>
        <v>0</v>
      </c>
      <c r="O94" s="42">
        <f t="shared" si="16"/>
        <v>0</v>
      </c>
      <c r="P94" s="196"/>
      <c r="Q94" s="162"/>
      <c r="R94" s="162"/>
      <c r="S94" s="162"/>
      <c r="T94" s="162"/>
      <c r="U94" s="162"/>
      <c r="AF94" s="11"/>
      <c r="AG94" s="11"/>
      <c r="AH94" s="11"/>
      <c r="AI94" s="11"/>
      <c r="AJ94" s="11"/>
      <c r="AK94" s="11"/>
      <c r="AL94" s="11"/>
    </row>
    <row r="95" spans="1:38" x14ac:dyDescent="0.25">
      <c r="A95" s="38">
        <f>+Données!A95</f>
        <v>5557</v>
      </c>
      <c r="B95" s="181" t="str">
        <f>+Données!B95</f>
        <v>Fontaines-sur-Grandson</v>
      </c>
      <c r="C95" s="170">
        <f>+Ecrêtage!C95</f>
        <v>4700.3647826086954</v>
      </c>
      <c r="D95" s="168"/>
      <c r="E95" s="170">
        <f>Données!AF95+Données!AG95+Données!AH95</f>
        <v>0</v>
      </c>
      <c r="F95" s="168">
        <f t="shared" si="10"/>
        <v>37602.918260869563</v>
      </c>
      <c r="G95" s="8">
        <f t="shared" si="11"/>
        <v>0</v>
      </c>
      <c r="H95" s="234">
        <f t="shared" si="12"/>
        <v>0</v>
      </c>
      <c r="J95" s="8">
        <f>Données!AN95</f>
        <v>0</v>
      </c>
      <c r="K95" s="152">
        <f t="shared" si="13"/>
        <v>4700.3647826086954</v>
      </c>
      <c r="L95" s="12">
        <f t="shared" si="14"/>
        <v>0</v>
      </c>
      <c r="M95" s="234">
        <f t="shared" si="15"/>
        <v>0</v>
      </c>
      <c r="O95" s="42">
        <f t="shared" si="16"/>
        <v>0</v>
      </c>
      <c r="P95" s="196"/>
      <c r="Q95" s="162"/>
      <c r="R95" s="162"/>
      <c r="S95" s="162"/>
      <c r="T95" s="162"/>
      <c r="U95" s="162"/>
      <c r="AF95" s="11"/>
      <c r="AG95" s="11"/>
      <c r="AH95" s="11"/>
      <c r="AI95" s="11"/>
      <c r="AJ95" s="11"/>
      <c r="AK95" s="11"/>
      <c r="AL95" s="11"/>
    </row>
    <row r="96" spans="1:38" x14ac:dyDescent="0.25">
      <c r="A96" s="38">
        <f>+Données!A96</f>
        <v>5559</v>
      </c>
      <c r="B96" s="181" t="str">
        <f>+Données!B96</f>
        <v>Giez</v>
      </c>
      <c r="C96" s="170">
        <f>+Ecrêtage!C96</f>
        <v>19760.849242424243</v>
      </c>
      <c r="D96" s="168"/>
      <c r="E96" s="170">
        <f>Données!AF96+Données!AG96+Données!AH96</f>
        <v>0</v>
      </c>
      <c r="F96" s="168">
        <f t="shared" si="10"/>
        <v>158086.79393939395</v>
      </c>
      <c r="G96" s="8">
        <f t="shared" si="11"/>
        <v>0</v>
      </c>
      <c r="H96" s="234">
        <f t="shared" si="12"/>
        <v>0</v>
      </c>
      <c r="J96" s="8">
        <f>Données!AN96</f>
        <v>0</v>
      </c>
      <c r="K96" s="152">
        <f t="shared" si="13"/>
        <v>19760.849242424243</v>
      </c>
      <c r="L96" s="12">
        <f t="shared" si="14"/>
        <v>0</v>
      </c>
      <c r="M96" s="234">
        <f t="shared" si="15"/>
        <v>0</v>
      </c>
      <c r="O96" s="42">
        <f t="shared" si="16"/>
        <v>0</v>
      </c>
      <c r="P96" s="196"/>
      <c r="Q96" s="162"/>
      <c r="R96" s="162"/>
      <c r="S96" s="162"/>
      <c r="T96" s="162"/>
      <c r="U96" s="162"/>
      <c r="AF96" s="11"/>
      <c r="AG96" s="11"/>
      <c r="AH96" s="11"/>
      <c r="AI96" s="11"/>
      <c r="AJ96" s="11"/>
      <c r="AK96" s="11"/>
      <c r="AL96" s="11"/>
    </row>
    <row r="97" spans="1:38" x14ac:dyDescent="0.25">
      <c r="A97" s="38">
        <f>+Données!A97</f>
        <v>5560</v>
      </c>
      <c r="B97" s="181" t="str">
        <f>+Données!B97</f>
        <v>Grandevent</v>
      </c>
      <c r="C97" s="170">
        <f>+Ecrêtage!C97</f>
        <v>8048.598285714289</v>
      </c>
      <c r="D97" s="168"/>
      <c r="E97" s="170">
        <f>Données!AF97+Données!AG97+Données!AH97</f>
        <v>0</v>
      </c>
      <c r="F97" s="168">
        <f t="shared" si="10"/>
        <v>64388.786285714312</v>
      </c>
      <c r="G97" s="8">
        <f t="shared" si="11"/>
        <v>0</v>
      </c>
      <c r="H97" s="234">
        <f t="shared" si="12"/>
        <v>0</v>
      </c>
      <c r="J97" s="8">
        <f>Données!AN97</f>
        <v>0</v>
      </c>
      <c r="K97" s="152">
        <f t="shared" si="13"/>
        <v>8048.598285714289</v>
      </c>
      <c r="L97" s="12">
        <f t="shared" si="14"/>
        <v>0</v>
      </c>
      <c r="M97" s="234">
        <f t="shared" si="15"/>
        <v>0</v>
      </c>
      <c r="O97" s="42">
        <f t="shared" si="16"/>
        <v>0</v>
      </c>
      <c r="P97" s="196"/>
      <c r="Q97" s="162"/>
      <c r="R97" s="162"/>
      <c r="S97" s="162"/>
      <c r="T97" s="162"/>
      <c r="U97" s="162"/>
      <c r="AF97" s="11"/>
      <c r="AG97" s="11"/>
      <c r="AH97" s="11"/>
      <c r="AI97" s="11"/>
      <c r="AJ97" s="11"/>
      <c r="AK97" s="11"/>
      <c r="AL97" s="11"/>
    </row>
    <row r="98" spans="1:38" x14ac:dyDescent="0.25">
      <c r="A98" s="38">
        <f>+Données!A98</f>
        <v>5561</v>
      </c>
      <c r="B98" s="181" t="str">
        <f>+Données!B98</f>
        <v>Grandson</v>
      </c>
      <c r="C98" s="170">
        <f>+Ecrêtage!C98</f>
        <v>179345.48057971016</v>
      </c>
      <c r="D98" s="168"/>
      <c r="E98" s="170">
        <f>Données!AF98+Données!AG98+Données!AH98</f>
        <v>0</v>
      </c>
      <c r="F98" s="168">
        <f t="shared" si="10"/>
        <v>1434763.8446376813</v>
      </c>
      <c r="G98" s="8">
        <f t="shared" si="11"/>
        <v>0</v>
      </c>
      <c r="H98" s="234">
        <f t="shared" si="12"/>
        <v>0</v>
      </c>
      <c r="J98" s="8">
        <f>Données!AN98</f>
        <v>0</v>
      </c>
      <c r="K98" s="152">
        <f t="shared" si="13"/>
        <v>179345.48057971016</v>
      </c>
      <c r="L98" s="12">
        <f t="shared" si="14"/>
        <v>0</v>
      </c>
      <c r="M98" s="234">
        <f t="shared" si="15"/>
        <v>0</v>
      </c>
      <c r="O98" s="42">
        <f t="shared" si="16"/>
        <v>0</v>
      </c>
      <c r="P98" s="196"/>
      <c r="Q98" s="162"/>
      <c r="R98" s="162"/>
      <c r="S98" s="162"/>
      <c r="T98" s="162"/>
      <c r="U98" s="162"/>
      <c r="AF98" s="11"/>
      <c r="AG98" s="11"/>
      <c r="AH98" s="11"/>
      <c r="AI98" s="11"/>
      <c r="AJ98" s="11"/>
      <c r="AK98" s="11"/>
      <c r="AL98" s="11"/>
    </row>
    <row r="99" spans="1:38" x14ac:dyDescent="0.25">
      <c r="A99" s="38">
        <f>+Données!A99</f>
        <v>5562</v>
      </c>
      <c r="B99" s="181" t="str">
        <f>+Données!B99</f>
        <v>Mauborget</v>
      </c>
      <c r="C99" s="170">
        <f>+Ecrêtage!C99</f>
        <v>4951.6888333333327</v>
      </c>
      <c r="D99" s="168"/>
      <c r="E99" s="170">
        <f>Données!AF99+Données!AG99+Données!AH99</f>
        <v>0</v>
      </c>
      <c r="F99" s="168">
        <f t="shared" si="10"/>
        <v>39613.510666666662</v>
      </c>
      <c r="G99" s="8">
        <f t="shared" si="11"/>
        <v>0</v>
      </c>
      <c r="H99" s="234">
        <f t="shared" si="12"/>
        <v>0</v>
      </c>
      <c r="J99" s="8">
        <f>Données!AN99</f>
        <v>0</v>
      </c>
      <c r="K99" s="152">
        <f t="shared" si="13"/>
        <v>4951.6888333333327</v>
      </c>
      <c r="L99" s="12">
        <f t="shared" si="14"/>
        <v>0</v>
      </c>
      <c r="M99" s="234">
        <f t="shared" si="15"/>
        <v>0</v>
      </c>
      <c r="O99" s="42">
        <f t="shared" si="16"/>
        <v>0</v>
      </c>
      <c r="P99" s="196"/>
      <c r="Q99" s="162"/>
      <c r="R99" s="162"/>
      <c r="S99" s="162"/>
      <c r="T99" s="162"/>
      <c r="U99" s="162"/>
      <c r="AF99" s="11"/>
      <c r="AG99" s="11"/>
      <c r="AH99" s="11"/>
      <c r="AI99" s="11"/>
      <c r="AJ99" s="11"/>
      <c r="AK99" s="11"/>
      <c r="AL99" s="11"/>
    </row>
    <row r="100" spans="1:38" x14ac:dyDescent="0.25">
      <c r="A100" s="38">
        <f>+Données!A100</f>
        <v>5563</v>
      </c>
      <c r="B100" s="181" t="str">
        <f>+Données!B100</f>
        <v>Mutrux</v>
      </c>
      <c r="C100" s="170">
        <f>+Ecrêtage!C100</f>
        <v>2911.2397499999997</v>
      </c>
      <c r="D100" s="168"/>
      <c r="E100" s="170">
        <f>Données!AF100+Données!AG100+Données!AH100</f>
        <v>0</v>
      </c>
      <c r="F100" s="168">
        <f t="shared" si="10"/>
        <v>23289.917999999998</v>
      </c>
      <c r="G100" s="8">
        <f t="shared" si="11"/>
        <v>0</v>
      </c>
      <c r="H100" s="234">
        <f t="shared" si="12"/>
        <v>0</v>
      </c>
      <c r="J100" s="8">
        <f>Données!AN100</f>
        <v>0</v>
      </c>
      <c r="K100" s="152">
        <f t="shared" si="13"/>
        <v>2911.2397499999997</v>
      </c>
      <c r="L100" s="12">
        <f t="shared" si="14"/>
        <v>0</v>
      </c>
      <c r="M100" s="234">
        <f t="shared" si="15"/>
        <v>0</v>
      </c>
      <c r="O100" s="42">
        <f t="shared" si="16"/>
        <v>0</v>
      </c>
      <c r="P100" s="196"/>
      <c r="Q100" s="162"/>
      <c r="R100" s="162"/>
      <c r="S100" s="162"/>
      <c r="T100" s="162"/>
      <c r="U100" s="162"/>
      <c r="AF100" s="11"/>
      <c r="AG100" s="11"/>
      <c r="AH100" s="11"/>
      <c r="AI100" s="11"/>
      <c r="AJ100" s="11"/>
      <c r="AK100" s="11"/>
      <c r="AL100" s="11"/>
    </row>
    <row r="101" spans="1:38" x14ac:dyDescent="0.25">
      <c r="A101" s="38">
        <f>+Données!A101</f>
        <v>5564</v>
      </c>
      <c r="B101" s="181" t="str">
        <f>+Données!B101</f>
        <v>Novalles</v>
      </c>
      <c r="C101" s="170">
        <f>+Ecrêtage!C101</f>
        <v>2278.1877960526317</v>
      </c>
      <c r="D101" s="168"/>
      <c r="E101" s="170">
        <f>Données!AF101+Données!AG101+Données!AH101</f>
        <v>0</v>
      </c>
      <c r="F101" s="168">
        <f t="shared" si="10"/>
        <v>18225.502368421054</v>
      </c>
      <c r="G101" s="8">
        <f t="shared" si="11"/>
        <v>0</v>
      </c>
      <c r="H101" s="234">
        <f t="shared" si="12"/>
        <v>0</v>
      </c>
      <c r="J101" s="8">
        <f>Données!AN101</f>
        <v>0</v>
      </c>
      <c r="K101" s="152">
        <f t="shared" si="13"/>
        <v>2278.1877960526317</v>
      </c>
      <c r="L101" s="12">
        <f t="shared" si="14"/>
        <v>0</v>
      </c>
      <c r="M101" s="234">
        <f t="shared" si="15"/>
        <v>0</v>
      </c>
      <c r="O101" s="42">
        <f t="shared" si="16"/>
        <v>0</v>
      </c>
      <c r="P101" s="196"/>
      <c r="Q101" s="162"/>
      <c r="R101" s="162"/>
      <c r="S101" s="162"/>
      <c r="T101" s="162"/>
      <c r="U101" s="162"/>
      <c r="AF101" s="11"/>
      <c r="AG101" s="11"/>
      <c r="AH101" s="11"/>
      <c r="AI101" s="11"/>
      <c r="AJ101" s="11"/>
      <c r="AK101" s="11"/>
      <c r="AL101" s="11"/>
    </row>
    <row r="102" spans="1:38" x14ac:dyDescent="0.25">
      <c r="A102" s="38">
        <f>+Données!A102</f>
        <v>5565</v>
      </c>
      <c r="B102" s="181" t="str">
        <f>+Données!B102</f>
        <v>Onnens</v>
      </c>
      <c r="C102" s="170">
        <f>+Ecrêtage!C102</f>
        <v>21491.927559055119</v>
      </c>
      <c r="D102" s="168"/>
      <c r="E102" s="170">
        <f>Données!AF102+Données!AG102+Données!AH102</f>
        <v>0</v>
      </c>
      <c r="F102" s="168">
        <f t="shared" si="10"/>
        <v>171935.42047244095</v>
      </c>
      <c r="G102" s="8">
        <f t="shared" si="11"/>
        <v>0</v>
      </c>
      <c r="H102" s="234">
        <f t="shared" si="12"/>
        <v>0</v>
      </c>
      <c r="J102" s="8">
        <f>Données!AN102</f>
        <v>0</v>
      </c>
      <c r="K102" s="152">
        <f t="shared" si="13"/>
        <v>21491.927559055119</v>
      </c>
      <c r="L102" s="12">
        <f t="shared" si="14"/>
        <v>0</v>
      </c>
      <c r="M102" s="234">
        <f t="shared" si="15"/>
        <v>0</v>
      </c>
      <c r="O102" s="42">
        <f t="shared" si="16"/>
        <v>0</v>
      </c>
      <c r="P102" s="196"/>
      <c r="Q102" s="162"/>
      <c r="R102" s="162"/>
      <c r="S102" s="162"/>
      <c r="T102" s="162"/>
      <c r="U102" s="162"/>
      <c r="AF102" s="11"/>
      <c r="AG102" s="11"/>
      <c r="AH102" s="11"/>
      <c r="AI102" s="11"/>
      <c r="AJ102" s="11"/>
      <c r="AK102" s="11"/>
      <c r="AL102" s="11"/>
    </row>
    <row r="103" spans="1:38" x14ac:dyDescent="0.25">
      <c r="A103" s="38">
        <f>+Données!A103</f>
        <v>5566</v>
      </c>
      <c r="B103" s="181" t="str">
        <f>+Données!B103</f>
        <v>Provence</v>
      </c>
      <c r="C103" s="170">
        <f>+Ecrêtage!C103</f>
        <v>9668.921111111109</v>
      </c>
      <c r="D103" s="168"/>
      <c r="E103" s="170">
        <f>Données!AF103+Données!AG103+Données!AH103</f>
        <v>0</v>
      </c>
      <c r="F103" s="168">
        <f t="shared" si="10"/>
        <v>77351.368888888872</v>
      </c>
      <c r="G103" s="8">
        <f t="shared" si="11"/>
        <v>0</v>
      </c>
      <c r="H103" s="234">
        <f t="shared" si="12"/>
        <v>0</v>
      </c>
      <c r="J103" s="8">
        <f>Données!AN103</f>
        <v>0</v>
      </c>
      <c r="K103" s="152">
        <f t="shared" si="13"/>
        <v>9668.921111111109</v>
      </c>
      <c r="L103" s="12">
        <f t="shared" si="14"/>
        <v>0</v>
      </c>
      <c r="M103" s="234">
        <f t="shared" si="15"/>
        <v>0</v>
      </c>
      <c r="O103" s="42">
        <f t="shared" si="16"/>
        <v>0</v>
      </c>
      <c r="P103" s="196"/>
      <c r="Q103" s="162"/>
      <c r="R103" s="162"/>
      <c r="S103" s="162"/>
      <c r="T103" s="162"/>
      <c r="U103" s="162"/>
      <c r="AF103" s="11"/>
      <c r="AG103" s="11"/>
      <c r="AH103" s="11"/>
      <c r="AI103" s="11"/>
      <c r="AJ103" s="11"/>
      <c r="AK103" s="11"/>
      <c r="AL103" s="11"/>
    </row>
    <row r="104" spans="1:38" x14ac:dyDescent="0.25">
      <c r="A104" s="38">
        <f>+Données!A104</f>
        <v>5568</v>
      </c>
      <c r="B104" s="181" t="str">
        <f>+Données!B104</f>
        <v>Sainte-Croix</v>
      </c>
      <c r="C104" s="170">
        <f>+Ecrêtage!C104</f>
        <v>108679.35057142857</v>
      </c>
      <c r="D104" s="168"/>
      <c r="E104" s="170">
        <f>Données!AF104+Données!AG104+Données!AH104</f>
        <v>0</v>
      </c>
      <c r="F104" s="168">
        <f t="shared" si="10"/>
        <v>869434.80457142857</v>
      </c>
      <c r="G104" s="8">
        <f t="shared" si="11"/>
        <v>0</v>
      </c>
      <c r="H104" s="234">
        <f t="shared" si="12"/>
        <v>0</v>
      </c>
      <c r="J104" s="8">
        <f>Données!AN104</f>
        <v>0</v>
      </c>
      <c r="K104" s="152">
        <f t="shared" si="13"/>
        <v>108679.35057142857</v>
      </c>
      <c r="L104" s="12">
        <f t="shared" si="14"/>
        <v>0</v>
      </c>
      <c r="M104" s="234">
        <f t="shared" si="15"/>
        <v>0</v>
      </c>
      <c r="O104" s="42">
        <f t="shared" si="16"/>
        <v>0</v>
      </c>
      <c r="P104" s="196"/>
      <c r="Q104" s="162"/>
      <c r="R104" s="162"/>
      <c r="S104" s="162"/>
      <c r="T104" s="162"/>
      <c r="U104" s="162"/>
      <c r="AF104" s="11"/>
      <c r="AG104" s="11"/>
      <c r="AH104" s="11"/>
      <c r="AI104" s="11"/>
      <c r="AJ104" s="11"/>
      <c r="AK104" s="11"/>
      <c r="AL104" s="11"/>
    </row>
    <row r="105" spans="1:38" x14ac:dyDescent="0.25">
      <c r="A105" s="38">
        <f>+Données!A105</f>
        <v>5571</v>
      </c>
      <c r="B105" s="181" t="str">
        <f>+Données!B105</f>
        <v>Tévenon</v>
      </c>
      <c r="C105" s="170">
        <f>+Ecrêtage!C105</f>
        <v>25950.769557109554</v>
      </c>
      <c r="D105" s="168"/>
      <c r="E105" s="170">
        <f>Données!AF105+Données!AG105+Données!AH105</f>
        <v>0</v>
      </c>
      <c r="F105" s="168">
        <f t="shared" si="10"/>
        <v>207606.15645687643</v>
      </c>
      <c r="G105" s="8">
        <f t="shared" si="11"/>
        <v>0</v>
      </c>
      <c r="H105" s="234">
        <f t="shared" si="12"/>
        <v>0</v>
      </c>
      <c r="J105" s="8">
        <f>Données!AN105</f>
        <v>0</v>
      </c>
      <c r="K105" s="152">
        <f t="shared" si="13"/>
        <v>25950.769557109554</v>
      </c>
      <c r="L105" s="12">
        <f t="shared" si="14"/>
        <v>0</v>
      </c>
      <c r="M105" s="234">
        <f t="shared" si="15"/>
        <v>0</v>
      </c>
      <c r="O105" s="42">
        <f t="shared" si="16"/>
        <v>0</v>
      </c>
      <c r="P105" s="196"/>
      <c r="Q105" s="162"/>
      <c r="R105" s="162"/>
      <c r="S105" s="162"/>
      <c r="T105" s="162"/>
      <c r="U105" s="162"/>
      <c r="AF105" s="11"/>
      <c r="AG105" s="11"/>
      <c r="AH105" s="11"/>
      <c r="AI105" s="11"/>
      <c r="AJ105" s="11"/>
      <c r="AK105" s="11"/>
      <c r="AL105" s="11"/>
    </row>
    <row r="106" spans="1:38" x14ac:dyDescent="0.25">
      <c r="A106" s="38">
        <f>+Données!A106</f>
        <v>5581</v>
      </c>
      <c r="B106" s="181" t="str">
        <f>+Données!B106</f>
        <v>Belmont-sur-Lausanne</v>
      </c>
      <c r="C106" s="170">
        <f>+Ecrêtage!C106</f>
        <v>216786.11745370374</v>
      </c>
      <c r="D106" s="168"/>
      <c r="E106" s="170">
        <f>Données!AF106+Données!AG106+Données!AH106</f>
        <v>0</v>
      </c>
      <c r="F106" s="168">
        <f t="shared" si="10"/>
        <v>1734288.93962963</v>
      </c>
      <c r="G106" s="8">
        <f t="shared" si="11"/>
        <v>0</v>
      </c>
      <c r="H106" s="234">
        <f t="shared" si="12"/>
        <v>0</v>
      </c>
      <c r="J106" s="8">
        <f>Données!AN106</f>
        <v>0</v>
      </c>
      <c r="K106" s="152">
        <f t="shared" si="13"/>
        <v>216786.11745370374</v>
      </c>
      <c r="L106" s="12">
        <f t="shared" si="14"/>
        <v>0</v>
      </c>
      <c r="M106" s="234">
        <f t="shared" si="15"/>
        <v>0</v>
      </c>
      <c r="O106" s="42">
        <f t="shared" si="16"/>
        <v>0</v>
      </c>
      <c r="P106" s="196"/>
      <c r="Q106" s="162"/>
      <c r="R106" s="162"/>
      <c r="S106" s="162"/>
      <c r="T106" s="162"/>
      <c r="U106" s="162"/>
      <c r="AF106" s="11"/>
      <c r="AG106" s="11"/>
      <c r="AH106" s="11"/>
      <c r="AI106" s="11"/>
      <c r="AJ106" s="11"/>
      <c r="AK106" s="11"/>
      <c r="AL106" s="11"/>
    </row>
    <row r="107" spans="1:38" x14ac:dyDescent="0.25">
      <c r="A107" s="38">
        <f>+Données!A107</f>
        <v>5582</v>
      </c>
      <c r="B107" s="181" t="str">
        <f>+Données!B107</f>
        <v>Cheseaux-sur-Lausanne</v>
      </c>
      <c r="C107" s="170">
        <f>+Ecrêtage!C107</f>
        <v>179452.21630136986</v>
      </c>
      <c r="D107" s="168"/>
      <c r="E107" s="170">
        <f>Données!AF107+Données!AG107+Données!AH107</f>
        <v>0</v>
      </c>
      <c r="F107" s="168">
        <f t="shared" si="10"/>
        <v>1435617.7304109589</v>
      </c>
      <c r="G107" s="8">
        <f t="shared" si="11"/>
        <v>0</v>
      </c>
      <c r="H107" s="234">
        <f t="shared" si="12"/>
        <v>0</v>
      </c>
      <c r="J107" s="8">
        <f>Données!AN107</f>
        <v>0</v>
      </c>
      <c r="K107" s="152">
        <f t="shared" si="13"/>
        <v>179452.21630136986</v>
      </c>
      <c r="L107" s="12">
        <f t="shared" si="14"/>
        <v>0</v>
      </c>
      <c r="M107" s="234">
        <f t="shared" si="15"/>
        <v>0</v>
      </c>
      <c r="O107" s="42">
        <f t="shared" si="16"/>
        <v>0</v>
      </c>
      <c r="P107" s="196"/>
      <c r="Q107" s="162"/>
      <c r="R107" s="162"/>
      <c r="S107" s="162"/>
      <c r="T107" s="162"/>
      <c r="U107" s="162"/>
      <c r="AF107" s="11"/>
      <c r="AG107" s="11"/>
      <c r="AH107" s="11"/>
      <c r="AI107" s="11"/>
      <c r="AJ107" s="11"/>
      <c r="AK107" s="11"/>
      <c r="AL107" s="11"/>
    </row>
    <row r="108" spans="1:38" x14ac:dyDescent="0.25">
      <c r="A108" s="38">
        <f>+Données!A108</f>
        <v>5583</v>
      </c>
      <c r="B108" s="181" t="str">
        <f>+Données!B108</f>
        <v>Crissier</v>
      </c>
      <c r="C108" s="170">
        <f>+Ecrêtage!C108</f>
        <v>371804.01181102369</v>
      </c>
      <c r="D108" s="168"/>
      <c r="E108" s="170">
        <f>Données!AF108+Données!AG108+Données!AH108</f>
        <v>0</v>
      </c>
      <c r="F108" s="168">
        <f t="shared" si="10"/>
        <v>2974432.0944881896</v>
      </c>
      <c r="G108" s="8">
        <f t="shared" si="11"/>
        <v>0</v>
      </c>
      <c r="H108" s="234">
        <f t="shared" si="12"/>
        <v>0</v>
      </c>
      <c r="J108" s="8">
        <f>Données!AN108</f>
        <v>0</v>
      </c>
      <c r="K108" s="152">
        <f t="shared" si="13"/>
        <v>371804.01181102369</v>
      </c>
      <c r="L108" s="12">
        <f t="shared" si="14"/>
        <v>0</v>
      </c>
      <c r="M108" s="234">
        <f t="shared" si="15"/>
        <v>0</v>
      </c>
      <c r="O108" s="42">
        <f t="shared" si="16"/>
        <v>0</v>
      </c>
      <c r="P108" s="196"/>
      <c r="Q108" s="162"/>
      <c r="R108" s="162"/>
      <c r="S108" s="162"/>
      <c r="T108" s="162"/>
      <c r="U108" s="162"/>
      <c r="AF108" s="11"/>
      <c r="AG108" s="11"/>
      <c r="AH108" s="11"/>
      <c r="AI108" s="11"/>
      <c r="AJ108" s="11"/>
      <c r="AK108" s="11"/>
      <c r="AL108" s="11"/>
    </row>
    <row r="109" spans="1:38" x14ac:dyDescent="0.25">
      <c r="A109" s="38">
        <f>+Données!A109</f>
        <v>5584</v>
      </c>
      <c r="B109" s="181" t="str">
        <f>+Données!B109</f>
        <v>Epalinges</v>
      </c>
      <c r="C109" s="170">
        <f>+Ecrêtage!C109</f>
        <v>516751.95968992251</v>
      </c>
      <c r="D109" s="168"/>
      <c r="E109" s="170">
        <f>Données!AF109+Données!AG109+Données!AH109</f>
        <v>0</v>
      </c>
      <c r="F109" s="168">
        <f t="shared" si="10"/>
        <v>4134015.6775193801</v>
      </c>
      <c r="G109" s="8">
        <f t="shared" si="11"/>
        <v>0</v>
      </c>
      <c r="H109" s="234">
        <f t="shared" si="12"/>
        <v>0</v>
      </c>
      <c r="J109" s="8">
        <f>Données!AN109</f>
        <v>0</v>
      </c>
      <c r="K109" s="152">
        <f t="shared" si="13"/>
        <v>516751.95968992251</v>
      </c>
      <c r="L109" s="12">
        <f t="shared" si="14"/>
        <v>0</v>
      </c>
      <c r="M109" s="234">
        <f t="shared" si="15"/>
        <v>0</v>
      </c>
      <c r="O109" s="42">
        <f t="shared" si="16"/>
        <v>0</v>
      </c>
      <c r="P109" s="196"/>
      <c r="Q109" s="162"/>
      <c r="R109" s="162"/>
      <c r="S109" s="162"/>
      <c r="T109" s="162"/>
      <c r="U109" s="162"/>
      <c r="AF109" s="11"/>
      <c r="AG109" s="11"/>
      <c r="AH109" s="11"/>
      <c r="AI109" s="11"/>
      <c r="AJ109" s="11"/>
      <c r="AK109" s="11"/>
      <c r="AL109" s="11"/>
    </row>
    <row r="110" spans="1:38" x14ac:dyDescent="0.25">
      <c r="A110" s="38">
        <f>+Données!A110</f>
        <v>5585</v>
      </c>
      <c r="B110" s="181" t="str">
        <f>+Données!B110</f>
        <v>Jouxtens-Mézery</v>
      </c>
      <c r="C110" s="170">
        <f>+Ecrêtage!C110</f>
        <v>251674.37118644069</v>
      </c>
      <c r="D110" s="168"/>
      <c r="E110" s="170">
        <f>Données!AF110+Données!AG110+Données!AH110</f>
        <v>0</v>
      </c>
      <c r="F110" s="168">
        <f t="shared" si="10"/>
        <v>2013394.9694915256</v>
      </c>
      <c r="G110" s="8">
        <f t="shared" si="11"/>
        <v>0</v>
      </c>
      <c r="H110" s="234">
        <f t="shared" si="12"/>
        <v>0</v>
      </c>
      <c r="J110" s="8">
        <f>Données!AN110</f>
        <v>0</v>
      </c>
      <c r="K110" s="152">
        <f t="shared" si="13"/>
        <v>251674.37118644069</v>
      </c>
      <c r="L110" s="12">
        <f t="shared" si="14"/>
        <v>0</v>
      </c>
      <c r="M110" s="234">
        <f t="shared" si="15"/>
        <v>0</v>
      </c>
      <c r="O110" s="42">
        <f t="shared" si="16"/>
        <v>0</v>
      </c>
      <c r="P110" s="196"/>
      <c r="Q110" s="162"/>
      <c r="R110" s="162"/>
      <c r="S110" s="162"/>
      <c r="T110" s="162"/>
      <c r="U110" s="162"/>
      <c r="AF110" s="11"/>
      <c r="AG110" s="11"/>
      <c r="AH110" s="11"/>
      <c r="AI110" s="11"/>
      <c r="AJ110" s="11"/>
      <c r="AK110" s="11"/>
      <c r="AL110" s="11"/>
    </row>
    <row r="111" spans="1:38" x14ac:dyDescent="0.25">
      <c r="A111" s="38">
        <f>+Données!A111</f>
        <v>5586</v>
      </c>
      <c r="B111" s="181" t="str">
        <f>+Données!B111</f>
        <v>Lausanne</v>
      </c>
      <c r="C111" s="170">
        <f>+Ecrêtage!C111</f>
        <v>6915333.6485774955</v>
      </c>
      <c r="D111" s="168"/>
      <c r="E111" s="170">
        <f>Données!AF111+Données!AG111+Données!AH111</f>
        <v>0</v>
      </c>
      <c r="F111" s="168">
        <f t="shared" si="10"/>
        <v>55322669.188619964</v>
      </c>
      <c r="G111" s="8">
        <f t="shared" si="11"/>
        <v>0</v>
      </c>
      <c r="H111" s="234">
        <f t="shared" si="12"/>
        <v>0</v>
      </c>
      <c r="J111" s="8">
        <f>Données!AN111</f>
        <v>0</v>
      </c>
      <c r="K111" s="152">
        <f t="shared" si="13"/>
        <v>6915333.6485774955</v>
      </c>
      <c r="L111" s="12">
        <f t="shared" si="14"/>
        <v>0</v>
      </c>
      <c r="M111" s="234">
        <f t="shared" si="15"/>
        <v>0</v>
      </c>
      <c r="O111" s="42">
        <f t="shared" si="16"/>
        <v>0</v>
      </c>
      <c r="P111" s="196"/>
      <c r="Q111" s="162"/>
      <c r="R111" s="162"/>
      <c r="S111" s="162"/>
      <c r="T111" s="162"/>
      <c r="U111" s="162"/>
      <c r="AF111" s="11"/>
      <c r="AG111" s="11"/>
      <c r="AH111" s="11"/>
      <c r="AI111" s="11"/>
      <c r="AJ111" s="11"/>
      <c r="AK111" s="11"/>
      <c r="AL111" s="11"/>
    </row>
    <row r="112" spans="1:38" x14ac:dyDescent="0.25">
      <c r="A112" s="38">
        <f>+Données!A112</f>
        <v>5587</v>
      </c>
      <c r="B112" s="181" t="str">
        <f>+Données!B112</f>
        <v>Le Mont-sur-Lausanne</v>
      </c>
      <c r="C112" s="170">
        <f>+Ecrêtage!C112</f>
        <v>490592.89707482996</v>
      </c>
      <c r="D112" s="168"/>
      <c r="E112" s="170">
        <f>Données!AF112+Données!AG112+Données!AH112</f>
        <v>0</v>
      </c>
      <c r="F112" s="168">
        <f t="shared" si="10"/>
        <v>3924743.1765986397</v>
      </c>
      <c r="G112" s="8">
        <f t="shared" si="11"/>
        <v>0</v>
      </c>
      <c r="H112" s="234">
        <f t="shared" si="12"/>
        <v>0</v>
      </c>
      <c r="J112" s="8">
        <f>Données!AN112</f>
        <v>0</v>
      </c>
      <c r="K112" s="152">
        <f t="shared" si="13"/>
        <v>490592.89707482996</v>
      </c>
      <c r="L112" s="12">
        <f t="shared" si="14"/>
        <v>0</v>
      </c>
      <c r="M112" s="234">
        <f t="shared" si="15"/>
        <v>0</v>
      </c>
      <c r="O112" s="42">
        <f t="shared" si="16"/>
        <v>0</v>
      </c>
      <c r="P112" s="196"/>
      <c r="Q112" s="162"/>
      <c r="R112" s="162"/>
      <c r="S112" s="162"/>
      <c r="T112" s="162"/>
      <c r="U112" s="162"/>
      <c r="AF112" s="11"/>
      <c r="AG112" s="11"/>
      <c r="AH112" s="11"/>
      <c r="AI112" s="11"/>
      <c r="AJ112" s="11"/>
      <c r="AK112" s="11"/>
      <c r="AL112" s="11"/>
    </row>
    <row r="113" spans="1:38" x14ac:dyDescent="0.25">
      <c r="A113" s="38">
        <f>+Données!A113</f>
        <v>5588</v>
      </c>
      <c r="B113" s="181" t="str">
        <f>+Données!B113</f>
        <v>Paudex</v>
      </c>
      <c r="C113" s="170">
        <f>+Ecrêtage!C113</f>
        <v>123433.64683136411</v>
      </c>
      <c r="D113" s="168"/>
      <c r="E113" s="170">
        <f>Données!AF113+Données!AG113+Données!AH113</f>
        <v>0</v>
      </c>
      <c r="F113" s="168">
        <f t="shared" si="10"/>
        <v>987469.17465091287</v>
      </c>
      <c r="G113" s="8">
        <f t="shared" si="11"/>
        <v>0</v>
      </c>
      <c r="H113" s="234">
        <f t="shared" si="12"/>
        <v>0</v>
      </c>
      <c r="J113" s="8">
        <f>Données!AN113</f>
        <v>0</v>
      </c>
      <c r="K113" s="152">
        <f t="shared" si="13"/>
        <v>123433.64683136411</v>
      </c>
      <c r="L113" s="12">
        <f t="shared" si="14"/>
        <v>0</v>
      </c>
      <c r="M113" s="234">
        <f t="shared" si="15"/>
        <v>0</v>
      </c>
      <c r="O113" s="42">
        <f t="shared" si="16"/>
        <v>0</v>
      </c>
      <c r="P113" s="196"/>
      <c r="Q113" s="162"/>
      <c r="R113" s="162"/>
      <c r="S113" s="162"/>
      <c r="T113" s="162"/>
      <c r="U113" s="162"/>
      <c r="AF113" s="11"/>
      <c r="AG113" s="11"/>
      <c r="AH113" s="11"/>
      <c r="AI113" s="11"/>
      <c r="AJ113" s="11"/>
      <c r="AK113" s="11"/>
      <c r="AL113" s="11"/>
    </row>
    <row r="114" spans="1:38" x14ac:dyDescent="0.25">
      <c r="A114" s="38">
        <f>+Données!A114</f>
        <v>5589</v>
      </c>
      <c r="B114" s="181" t="str">
        <f>+Données!B114</f>
        <v>Prilly</v>
      </c>
      <c r="C114" s="170">
        <f>+Ecrêtage!C114</f>
        <v>450278.56075331569</v>
      </c>
      <c r="D114" s="168"/>
      <c r="E114" s="170">
        <f>Données!AF114+Données!AG114+Données!AH114</f>
        <v>0</v>
      </c>
      <c r="F114" s="168">
        <f t="shared" si="10"/>
        <v>3602228.4860265255</v>
      </c>
      <c r="G114" s="8">
        <f t="shared" si="11"/>
        <v>0</v>
      </c>
      <c r="H114" s="234">
        <f t="shared" si="12"/>
        <v>0</v>
      </c>
      <c r="J114" s="8">
        <f>Données!AN114</f>
        <v>0</v>
      </c>
      <c r="K114" s="152">
        <f t="shared" si="13"/>
        <v>450278.56075331569</v>
      </c>
      <c r="L114" s="12">
        <f t="shared" si="14"/>
        <v>0</v>
      </c>
      <c r="M114" s="234">
        <f t="shared" si="15"/>
        <v>0</v>
      </c>
      <c r="O114" s="42">
        <f t="shared" si="16"/>
        <v>0</v>
      </c>
      <c r="P114" s="196"/>
      <c r="Q114" s="162"/>
      <c r="R114" s="162"/>
      <c r="S114" s="162"/>
      <c r="T114" s="162"/>
      <c r="U114" s="162"/>
      <c r="AF114" s="11"/>
      <c r="AG114" s="11"/>
      <c r="AH114" s="11"/>
      <c r="AI114" s="11"/>
      <c r="AJ114" s="11"/>
      <c r="AK114" s="11"/>
      <c r="AL114" s="11"/>
    </row>
    <row r="115" spans="1:38" x14ac:dyDescent="0.25">
      <c r="A115" s="38">
        <f>+Données!A115</f>
        <v>5590</v>
      </c>
      <c r="B115" s="181" t="str">
        <f>+Données!B115</f>
        <v>Pully</v>
      </c>
      <c r="C115" s="170">
        <f>+Ecrêtage!C115</f>
        <v>1605465.5341920371</v>
      </c>
      <c r="D115" s="168"/>
      <c r="E115" s="170">
        <f>Données!AF115+Données!AG115+Données!AH115</f>
        <v>0</v>
      </c>
      <c r="F115" s="168">
        <f t="shared" si="10"/>
        <v>12843724.273536297</v>
      </c>
      <c r="G115" s="8">
        <f t="shared" si="11"/>
        <v>0</v>
      </c>
      <c r="H115" s="234">
        <f t="shared" si="12"/>
        <v>0</v>
      </c>
      <c r="J115" s="8">
        <f>Données!AN115</f>
        <v>0</v>
      </c>
      <c r="K115" s="152">
        <f t="shared" si="13"/>
        <v>1605465.5341920371</v>
      </c>
      <c r="L115" s="12">
        <f t="shared" si="14"/>
        <v>0</v>
      </c>
      <c r="M115" s="234">
        <f t="shared" si="15"/>
        <v>0</v>
      </c>
      <c r="O115" s="42">
        <f t="shared" si="16"/>
        <v>0</v>
      </c>
      <c r="P115" s="196"/>
      <c r="Q115" s="162"/>
      <c r="R115" s="162"/>
      <c r="S115" s="162"/>
      <c r="T115" s="162"/>
      <c r="U115" s="162"/>
      <c r="AF115" s="11"/>
      <c r="AG115" s="11"/>
      <c r="AH115" s="11"/>
      <c r="AI115" s="11"/>
      <c r="AJ115" s="11"/>
      <c r="AK115" s="11"/>
      <c r="AL115" s="11"/>
    </row>
    <row r="116" spans="1:38" x14ac:dyDescent="0.25">
      <c r="A116" s="38">
        <f>+Données!A116</f>
        <v>5591</v>
      </c>
      <c r="B116" s="181" t="str">
        <f>+Données!B116</f>
        <v>Renens</v>
      </c>
      <c r="C116" s="170">
        <f>+Ecrêtage!C116</f>
        <v>640589.63196660485</v>
      </c>
      <c r="D116" s="168"/>
      <c r="E116" s="170">
        <f>Données!AF116+Données!AG116+Données!AH116</f>
        <v>0</v>
      </c>
      <c r="F116" s="168">
        <f t="shared" si="10"/>
        <v>5124717.0557328388</v>
      </c>
      <c r="G116" s="8">
        <f t="shared" si="11"/>
        <v>0</v>
      </c>
      <c r="H116" s="234">
        <f t="shared" si="12"/>
        <v>0</v>
      </c>
      <c r="J116" s="8">
        <f>Données!AN116</f>
        <v>0</v>
      </c>
      <c r="K116" s="152">
        <f t="shared" si="13"/>
        <v>640589.63196660485</v>
      </c>
      <c r="L116" s="12">
        <f t="shared" si="14"/>
        <v>0</v>
      </c>
      <c r="M116" s="234">
        <f t="shared" si="15"/>
        <v>0</v>
      </c>
      <c r="O116" s="42">
        <f t="shared" si="16"/>
        <v>0</v>
      </c>
      <c r="P116" s="196"/>
      <c r="Q116" s="162"/>
      <c r="R116" s="162"/>
      <c r="S116" s="162"/>
      <c r="T116" s="162"/>
      <c r="U116" s="162"/>
      <c r="AF116" s="11"/>
      <c r="AG116" s="11"/>
      <c r="AH116" s="11"/>
      <c r="AI116" s="11"/>
      <c r="AJ116" s="11"/>
      <c r="AK116" s="11"/>
      <c r="AL116" s="11"/>
    </row>
    <row r="117" spans="1:38" x14ac:dyDescent="0.25">
      <c r="A117" s="38">
        <f>+Données!A117</f>
        <v>5592</v>
      </c>
      <c r="B117" s="181" t="str">
        <f>+Données!B117</f>
        <v>Romanel-sur-Lausanne</v>
      </c>
      <c r="C117" s="170">
        <f>+Ecrêtage!C117</f>
        <v>135992.91645390069</v>
      </c>
      <c r="D117" s="168"/>
      <c r="E117" s="170">
        <f>Données!AF117+Données!AG117+Données!AH117</f>
        <v>0</v>
      </c>
      <c r="F117" s="168">
        <f t="shared" si="10"/>
        <v>1087943.3316312055</v>
      </c>
      <c r="G117" s="8">
        <f t="shared" si="11"/>
        <v>0</v>
      </c>
      <c r="H117" s="234">
        <f t="shared" si="12"/>
        <v>0</v>
      </c>
      <c r="J117" s="8">
        <f>Données!AN117</f>
        <v>0</v>
      </c>
      <c r="K117" s="152">
        <f t="shared" si="13"/>
        <v>135992.91645390069</v>
      </c>
      <c r="L117" s="12">
        <f t="shared" si="14"/>
        <v>0</v>
      </c>
      <c r="M117" s="234">
        <f t="shared" si="15"/>
        <v>0</v>
      </c>
      <c r="O117" s="42">
        <f t="shared" si="16"/>
        <v>0</v>
      </c>
      <c r="P117" s="196"/>
      <c r="Q117" s="162"/>
      <c r="R117" s="162"/>
      <c r="S117" s="162"/>
      <c r="T117" s="162"/>
      <c r="U117" s="162"/>
      <c r="AF117" s="11"/>
      <c r="AG117" s="11"/>
      <c r="AH117" s="11"/>
      <c r="AI117" s="11"/>
      <c r="AJ117" s="11"/>
      <c r="AK117" s="11"/>
      <c r="AL117" s="11"/>
    </row>
    <row r="118" spans="1:38" x14ac:dyDescent="0.25">
      <c r="A118" s="38">
        <f>+Données!A118</f>
        <v>5601</v>
      </c>
      <c r="B118" s="181" t="str">
        <f>+Données!B118</f>
        <v>Chexbres</v>
      </c>
      <c r="C118" s="170">
        <f>+Ecrêtage!C118</f>
        <v>102021.70311111111</v>
      </c>
      <c r="D118" s="168"/>
      <c r="E118" s="170">
        <f>Données!AF118+Données!AG118+Données!AH118</f>
        <v>0</v>
      </c>
      <c r="F118" s="168">
        <f t="shared" si="10"/>
        <v>816173.62488888891</v>
      </c>
      <c r="G118" s="8">
        <f t="shared" si="11"/>
        <v>0</v>
      </c>
      <c r="H118" s="234">
        <f t="shared" si="12"/>
        <v>0</v>
      </c>
      <c r="J118" s="8">
        <f>Données!AN118</f>
        <v>0</v>
      </c>
      <c r="K118" s="152">
        <f t="shared" si="13"/>
        <v>102021.70311111111</v>
      </c>
      <c r="L118" s="12">
        <f t="shared" si="14"/>
        <v>0</v>
      </c>
      <c r="M118" s="234">
        <f t="shared" si="15"/>
        <v>0</v>
      </c>
      <c r="O118" s="42">
        <f t="shared" si="16"/>
        <v>0</v>
      </c>
      <c r="P118" s="196"/>
      <c r="Q118" s="162"/>
      <c r="R118" s="162"/>
      <c r="S118" s="162"/>
      <c r="T118" s="162"/>
      <c r="U118" s="162"/>
      <c r="AF118" s="11"/>
      <c r="AG118" s="11"/>
      <c r="AH118" s="11"/>
      <c r="AI118" s="11"/>
      <c r="AJ118" s="11"/>
      <c r="AK118" s="11"/>
      <c r="AL118" s="11"/>
    </row>
    <row r="119" spans="1:38" x14ac:dyDescent="0.25">
      <c r="A119" s="38">
        <f>+Données!A119</f>
        <v>5604</v>
      </c>
      <c r="B119" s="181" t="str">
        <f>+Données!B119</f>
        <v>Forel (Lavaux)</v>
      </c>
      <c r="C119" s="170">
        <f>+Ecrêtage!C119</f>
        <v>75702.239275362328</v>
      </c>
      <c r="D119" s="168"/>
      <c r="E119" s="170">
        <f>Données!AF119+Données!AG119+Données!AH119</f>
        <v>0</v>
      </c>
      <c r="F119" s="168">
        <f t="shared" si="10"/>
        <v>605617.91420289862</v>
      </c>
      <c r="G119" s="8">
        <f t="shared" si="11"/>
        <v>0</v>
      </c>
      <c r="H119" s="234">
        <f t="shared" si="12"/>
        <v>0</v>
      </c>
      <c r="J119" s="8">
        <f>Données!AN119</f>
        <v>0</v>
      </c>
      <c r="K119" s="152">
        <f t="shared" si="13"/>
        <v>75702.239275362328</v>
      </c>
      <c r="L119" s="12">
        <f t="shared" si="14"/>
        <v>0</v>
      </c>
      <c r="M119" s="234">
        <f t="shared" si="15"/>
        <v>0</v>
      </c>
      <c r="O119" s="42">
        <f t="shared" si="16"/>
        <v>0</v>
      </c>
      <c r="P119" s="196"/>
      <c r="Q119" s="162"/>
      <c r="R119" s="162"/>
      <c r="S119" s="162"/>
      <c r="T119" s="162"/>
      <c r="U119" s="162"/>
      <c r="AF119" s="11"/>
      <c r="AG119" s="11"/>
      <c r="AH119" s="11"/>
      <c r="AI119" s="11"/>
      <c r="AJ119" s="11"/>
      <c r="AK119" s="11"/>
      <c r="AL119" s="11"/>
    </row>
    <row r="120" spans="1:38" x14ac:dyDescent="0.25">
      <c r="A120" s="38">
        <f>+Données!A120</f>
        <v>5606</v>
      </c>
      <c r="B120" s="181" t="str">
        <f>+Données!B120</f>
        <v>Lutry</v>
      </c>
      <c r="C120" s="170">
        <f>+Ecrêtage!C120</f>
        <v>997292.15626984113</v>
      </c>
      <c r="D120" s="168"/>
      <c r="E120" s="170">
        <f>Données!AF120+Données!AG120+Données!AH120</f>
        <v>0</v>
      </c>
      <c r="F120" s="168">
        <f t="shared" si="10"/>
        <v>7978337.250158729</v>
      </c>
      <c r="G120" s="8">
        <f t="shared" si="11"/>
        <v>0</v>
      </c>
      <c r="H120" s="234">
        <f t="shared" si="12"/>
        <v>0</v>
      </c>
      <c r="J120" s="8">
        <f>Données!AN120</f>
        <v>0</v>
      </c>
      <c r="K120" s="152">
        <f t="shared" si="13"/>
        <v>997292.15626984113</v>
      </c>
      <c r="L120" s="12">
        <f t="shared" si="14"/>
        <v>0</v>
      </c>
      <c r="M120" s="234">
        <f t="shared" si="15"/>
        <v>0</v>
      </c>
      <c r="O120" s="42">
        <f t="shared" si="16"/>
        <v>0</v>
      </c>
      <c r="P120" s="196"/>
      <c r="Q120" s="162"/>
      <c r="R120" s="162"/>
      <c r="S120" s="162"/>
      <c r="T120" s="162"/>
      <c r="U120" s="162"/>
      <c r="AF120" s="11"/>
      <c r="AG120" s="11"/>
      <c r="AH120" s="11"/>
      <c r="AI120" s="11"/>
      <c r="AJ120" s="11"/>
      <c r="AK120" s="11"/>
      <c r="AL120" s="11"/>
    </row>
    <row r="121" spans="1:38" x14ac:dyDescent="0.25">
      <c r="A121" s="38">
        <f>+Données!A121</f>
        <v>5607</v>
      </c>
      <c r="B121" s="181" t="str">
        <f>+Données!B121</f>
        <v>Puidoux</v>
      </c>
      <c r="C121" s="170">
        <f>+Ecrêtage!C121</f>
        <v>134658.72766105999</v>
      </c>
      <c r="D121" s="168"/>
      <c r="E121" s="170">
        <f>Données!AF121+Données!AG121+Données!AH121</f>
        <v>0</v>
      </c>
      <c r="F121" s="168">
        <f t="shared" si="10"/>
        <v>1077269.82128848</v>
      </c>
      <c r="G121" s="8">
        <f t="shared" si="11"/>
        <v>0</v>
      </c>
      <c r="H121" s="234">
        <f t="shared" si="12"/>
        <v>0</v>
      </c>
      <c r="J121" s="8">
        <f>Données!AN121</f>
        <v>0</v>
      </c>
      <c r="K121" s="152">
        <f t="shared" si="13"/>
        <v>134658.72766105999</v>
      </c>
      <c r="L121" s="12">
        <f t="shared" si="14"/>
        <v>0</v>
      </c>
      <c r="M121" s="234">
        <f t="shared" si="15"/>
        <v>0</v>
      </c>
      <c r="O121" s="42">
        <f t="shared" si="16"/>
        <v>0</v>
      </c>
      <c r="P121" s="196"/>
      <c r="Q121" s="162"/>
      <c r="R121" s="162"/>
      <c r="S121" s="162"/>
      <c r="T121" s="162"/>
      <c r="U121" s="162"/>
      <c r="AF121" s="11"/>
      <c r="AG121" s="11"/>
      <c r="AH121" s="11"/>
      <c r="AI121" s="11"/>
      <c r="AJ121" s="11"/>
      <c r="AK121" s="11"/>
      <c r="AL121" s="11"/>
    </row>
    <row r="122" spans="1:38" x14ac:dyDescent="0.25">
      <c r="A122" s="38">
        <f>+Données!A122</f>
        <v>5609</v>
      </c>
      <c r="B122" s="181" t="str">
        <f>+Données!B122</f>
        <v>Rivaz</v>
      </c>
      <c r="C122" s="170">
        <f>+Ecrêtage!C122</f>
        <v>13979.892580645163</v>
      </c>
      <c r="D122" s="168"/>
      <c r="E122" s="170">
        <f>Données!AF122+Données!AG122+Données!AH122</f>
        <v>0</v>
      </c>
      <c r="F122" s="168">
        <f t="shared" si="10"/>
        <v>111839.1406451613</v>
      </c>
      <c r="G122" s="8">
        <f t="shared" si="11"/>
        <v>0</v>
      </c>
      <c r="H122" s="234">
        <f t="shared" si="12"/>
        <v>0</v>
      </c>
      <c r="J122" s="8">
        <f>Données!AN122</f>
        <v>0</v>
      </c>
      <c r="K122" s="152">
        <f t="shared" si="13"/>
        <v>13979.892580645163</v>
      </c>
      <c r="L122" s="12">
        <f t="shared" si="14"/>
        <v>0</v>
      </c>
      <c r="M122" s="234">
        <f t="shared" si="15"/>
        <v>0</v>
      </c>
      <c r="O122" s="42">
        <f t="shared" si="16"/>
        <v>0</v>
      </c>
      <c r="P122" s="196"/>
      <c r="Q122" s="162"/>
      <c r="R122" s="162"/>
      <c r="S122" s="162"/>
      <c r="T122" s="162"/>
      <c r="U122" s="162"/>
      <c r="AF122" s="11"/>
      <c r="AG122" s="11"/>
      <c r="AH122" s="11"/>
      <c r="AI122" s="11"/>
      <c r="AJ122" s="11"/>
      <c r="AK122" s="11"/>
      <c r="AL122" s="11"/>
    </row>
    <row r="123" spans="1:38" x14ac:dyDescent="0.25">
      <c r="A123" s="38">
        <f>+Données!A123</f>
        <v>5610</v>
      </c>
      <c r="B123" s="181" t="str">
        <f>+Données!B123</f>
        <v>St-Saphorin (Lavaux)</v>
      </c>
      <c r="C123" s="170">
        <f>+Ecrêtage!C123</f>
        <v>19286.757384259257</v>
      </c>
      <c r="D123" s="168"/>
      <c r="E123" s="170">
        <f>Données!AF123+Données!AG123+Données!AH123</f>
        <v>0</v>
      </c>
      <c r="F123" s="168">
        <f t="shared" si="10"/>
        <v>154294.05907407406</v>
      </c>
      <c r="G123" s="8">
        <f t="shared" si="11"/>
        <v>0</v>
      </c>
      <c r="H123" s="234">
        <f t="shared" si="12"/>
        <v>0</v>
      </c>
      <c r="J123" s="8">
        <f>Données!AN123</f>
        <v>0</v>
      </c>
      <c r="K123" s="152">
        <f t="shared" si="13"/>
        <v>19286.757384259257</v>
      </c>
      <c r="L123" s="12">
        <f t="shared" si="14"/>
        <v>0</v>
      </c>
      <c r="M123" s="234">
        <f t="shared" si="15"/>
        <v>0</v>
      </c>
      <c r="O123" s="42">
        <f t="shared" si="16"/>
        <v>0</v>
      </c>
      <c r="P123" s="196"/>
      <c r="Q123" s="162"/>
      <c r="R123" s="162"/>
      <c r="S123" s="162"/>
      <c r="T123" s="162"/>
      <c r="U123" s="162"/>
      <c r="AF123" s="11"/>
      <c r="AG123" s="11"/>
      <c r="AH123" s="11"/>
      <c r="AI123" s="11"/>
      <c r="AJ123" s="11"/>
      <c r="AK123" s="11"/>
      <c r="AL123" s="11"/>
    </row>
    <row r="124" spans="1:38" x14ac:dyDescent="0.25">
      <c r="A124" s="38">
        <f>+Données!A124</f>
        <v>5611</v>
      </c>
      <c r="B124" s="181" t="str">
        <f>+Données!B124</f>
        <v>Savigny</v>
      </c>
      <c r="C124" s="170">
        <f>+Ecrêtage!C124</f>
        <v>143902.95567632848</v>
      </c>
      <c r="D124" s="168"/>
      <c r="E124" s="170">
        <f>Données!AF124+Données!AG124+Données!AH124</f>
        <v>0</v>
      </c>
      <c r="F124" s="168">
        <f t="shared" si="10"/>
        <v>1151223.6454106278</v>
      </c>
      <c r="G124" s="8">
        <f t="shared" si="11"/>
        <v>0</v>
      </c>
      <c r="H124" s="234">
        <f t="shared" si="12"/>
        <v>0</v>
      </c>
      <c r="J124" s="8">
        <f>Données!AN124</f>
        <v>0</v>
      </c>
      <c r="K124" s="152">
        <f t="shared" si="13"/>
        <v>143902.95567632848</v>
      </c>
      <c r="L124" s="12">
        <f t="shared" si="14"/>
        <v>0</v>
      </c>
      <c r="M124" s="234">
        <f t="shared" si="15"/>
        <v>0</v>
      </c>
      <c r="O124" s="42">
        <f t="shared" si="16"/>
        <v>0</v>
      </c>
      <c r="P124" s="196"/>
      <c r="Q124" s="162"/>
      <c r="R124" s="162"/>
      <c r="S124" s="162"/>
      <c r="T124" s="162"/>
      <c r="U124" s="162"/>
      <c r="AF124" s="11"/>
      <c r="AG124" s="11"/>
      <c r="AH124" s="11"/>
      <c r="AI124" s="11"/>
      <c r="AJ124" s="11"/>
      <c r="AK124" s="11"/>
      <c r="AL124" s="11"/>
    </row>
    <row r="125" spans="1:38" x14ac:dyDescent="0.25">
      <c r="A125" s="38">
        <f>+Données!A125</f>
        <v>5613</v>
      </c>
      <c r="B125" s="181" t="str">
        <f>+Données!B125</f>
        <v>Bourg-en-Lavaux</v>
      </c>
      <c r="C125" s="170">
        <f>+Ecrêtage!C125</f>
        <v>363833.56800000003</v>
      </c>
      <c r="D125" s="168"/>
      <c r="E125" s="170">
        <f>Données!AF125+Données!AG125+Données!AH125</f>
        <v>0</v>
      </c>
      <c r="F125" s="168">
        <f t="shared" si="10"/>
        <v>2910668.5440000002</v>
      </c>
      <c r="G125" s="8">
        <f t="shared" si="11"/>
        <v>0</v>
      </c>
      <c r="H125" s="234">
        <f t="shared" si="12"/>
        <v>0</v>
      </c>
      <c r="J125" s="8">
        <f>Données!AN125</f>
        <v>0</v>
      </c>
      <c r="K125" s="152">
        <f t="shared" si="13"/>
        <v>363833.56800000003</v>
      </c>
      <c r="L125" s="12">
        <f t="shared" si="14"/>
        <v>0</v>
      </c>
      <c r="M125" s="234">
        <f t="shared" si="15"/>
        <v>0</v>
      </c>
      <c r="O125" s="42">
        <f t="shared" si="16"/>
        <v>0</v>
      </c>
      <c r="P125" s="196"/>
      <c r="Q125" s="162"/>
      <c r="R125" s="162"/>
      <c r="S125" s="162"/>
      <c r="T125" s="162"/>
      <c r="U125" s="162"/>
      <c r="AF125" s="11"/>
      <c r="AG125" s="11"/>
      <c r="AH125" s="11"/>
      <c r="AI125" s="11"/>
      <c r="AJ125" s="11"/>
      <c r="AK125" s="11"/>
      <c r="AL125" s="11"/>
    </row>
    <row r="126" spans="1:38" x14ac:dyDescent="0.25">
      <c r="A126" s="38">
        <f>+Données!A126</f>
        <v>5621</v>
      </c>
      <c r="B126" s="181" t="str">
        <f>+Données!B126</f>
        <v>Aclens</v>
      </c>
      <c r="C126" s="170">
        <f>+Ecrêtage!C126</f>
        <v>33787.730043988267</v>
      </c>
      <c r="D126" s="168"/>
      <c r="E126" s="170">
        <f>Données!AF126+Données!AG126+Données!AH126</f>
        <v>0</v>
      </c>
      <c r="F126" s="168">
        <f t="shared" si="10"/>
        <v>270301.84035190614</v>
      </c>
      <c r="G126" s="8">
        <f t="shared" si="11"/>
        <v>0</v>
      </c>
      <c r="H126" s="234">
        <f t="shared" si="12"/>
        <v>0</v>
      </c>
      <c r="J126" s="8">
        <f>Données!AN126</f>
        <v>0</v>
      </c>
      <c r="K126" s="152">
        <f t="shared" si="13"/>
        <v>33787.730043988267</v>
      </c>
      <c r="L126" s="12">
        <f t="shared" si="14"/>
        <v>0</v>
      </c>
      <c r="M126" s="234">
        <f t="shared" si="15"/>
        <v>0</v>
      </c>
      <c r="O126" s="42">
        <f t="shared" si="16"/>
        <v>0</v>
      </c>
      <c r="P126" s="196"/>
      <c r="Q126" s="162"/>
      <c r="R126" s="162"/>
      <c r="S126" s="162"/>
      <c r="T126" s="162"/>
      <c r="U126" s="162"/>
      <c r="AF126" s="11"/>
      <c r="AG126" s="11"/>
      <c r="AH126" s="11"/>
      <c r="AI126" s="11"/>
      <c r="AJ126" s="11"/>
      <c r="AK126" s="11"/>
      <c r="AL126" s="11"/>
    </row>
    <row r="127" spans="1:38" x14ac:dyDescent="0.25">
      <c r="A127" s="38">
        <f>+Données!A127</f>
        <v>5622</v>
      </c>
      <c r="B127" s="181" t="str">
        <f>+Données!B127</f>
        <v>Bremblens</v>
      </c>
      <c r="C127" s="170">
        <f>+Ecrêtage!C127</f>
        <v>29905.330441176469</v>
      </c>
      <c r="D127" s="168"/>
      <c r="E127" s="170">
        <f>Données!AF127+Données!AG127+Données!AH127</f>
        <v>0</v>
      </c>
      <c r="F127" s="168">
        <f t="shared" si="10"/>
        <v>239242.64352941175</v>
      </c>
      <c r="G127" s="8">
        <f t="shared" si="11"/>
        <v>0</v>
      </c>
      <c r="H127" s="234">
        <f t="shared" si="12"/>
        <v>0</v>
      </c>
      <c r="J127" s="8">
        <f>Données!AN127</f>
        <v>0</v>
      </c>
      <c r="K127" s="152">
        <f t="shared" si="13"/>
        <v>29905.330441176469</v>
      </c>
      <c r="L127" s="12">
        <f t="shared" si="14"/>
        <v>0</v>
      </c>
      <c r="M127" s="234">
        <f t="shared" si="15"/>
        <v>0</v>
      </c>
      <c r="O127" s="42">
        <f t="shared" si="16"/>
        <v>0</v>
      </c>
      <c r="P127" s="196"/>
      <c r="Q127" s="162"/>
      <c r="R127" s="162"/>
      <c r="S127" s="162"/>
      <c r="T127" s="162"/>
      <c r="U127" s="162"/>
      <c r="AF127" s="11"/>
      <c r="AG127" s="11"/>
      <c r="AH127" s="11"/>
      <c r="AI127" s="11"/>
      <c r="AJ127" s="11"/>
      <c r="AK127" s="11"/>
      <c r="AL127" s="11"/>
    </row>
    <row r="128" spans="1:38" x14ac:dyDescent="0.25">
      <c r="A128" s="38">
        <f>+Données!A128</f>
        <v>5623</v>
      </c>
      <c r="B128" s="181" t="str">
        <f>+Données!B128</f>
        <v>Buchillon</v>
      </c>
      <c r="C128" s="170">
        <f>+Ecrêtage!C128</f>
        <v>94247.214615384597</v>
      </c>
      <c r="D128" s="168"/>
      <c r="E128" s="170">
        <f>Données!AF128+Données!AG128+Données!AH128</f>
        <v>0</v>
      </c>
      <c r="F128" s="168">
        <f t="shared" si="10"/>
        <v>753977.71692307678</v>
      </c>
      <c r="G128" s="8">
        <f t="shared" si="11"/>
        <v>0</v>
      </c>
      <c r="H128" s="234">
        <f t="shared" si="12"/>
        <v>0</v>
      </c>
      <c r="J128" s="8">
        <f>Données!AN128</f>
        <v>0</v>
      </c>
      <c r="K128" s="152">
        <f t="shared" si="13"/>
        <v>94247.214615384597</v>
      </c>
      <c r="L128" s="12">
        <f t="shared" si="14"/>
        <v>0</v>
      </c>
      <c r="M128" s="234">
        <f t="shared" si="15"/>
        <v>0</v>
      </c>
      <c r="O128" s="42">
        <f t="shared" si="16"/>
        <v>0</v>
      </c>
      <c r="P128" s="196"/>
      <c r="Q128" s="162"/>
      <c r="R128" s="162"/>
      <c r="S128" s="162"/>
      <c r="T128" s="162"/>
      <c r="U128" s="162"/>
      <c r="AF128" s="11"/>
      <c r="AG128" s="11"/>
      <c r="AH128" s="11"/>
      <c r="AI128" s="11"/>
      <c r="AJ128" s="11"/>
      <c r="AK128" s="11"/>
      <c r="AL128" s="11"/>
    </row>
    <row r="129" spans="1:38" x14ac:dyDescent="0.25">
      <c r="A129" s="38">
        <f>+Données!A129</f>
        <v>5624</v>
      </c>
      <c r="B129" s="181" t="str">
        <f>+Données!B129</f>
        <v>Bussigny</v>
      </c>
      <c r="C129" s="170">
        <f>+Ecrêtage!C129</f>
        <v>412146.03071999998</v>
      </c>
      <c r="D129" s="168"/>
      <c r="E129" s="170">
        <f>Données!AF129+Données!AG129+Données!AH129</f>
        <v>0</v>
      </c>
      <c r="F129" s="168">
        <f t="shared" si="10"/>
        <v>3297168.2457599998</v>
      </c>
      <c r="G129" s="8">
        <f t="shared" si="11"/>
        <v>0</v>
      </c>
      <c r="H129" s="234">
        <f t="shared" si="12"/>
        <v>0</v>
      </c>
      <c r="J129" s="8">
        <f>Données!AN129</f>
        <v>0</v>
      </c>
      <c r="K129" s="152">
        <f t="shared" si="13"/>
        <v>412146.03071999998</v>
      </c>
      <c r="L129" s="12">
        <f t="shared" si="14"/>
        <v>0</v>
      </c>
      <c r="M129" s="234">
        <f t="shared" si="15"/>
        <v>0</v>
      </c>
      <c r="O129" s="42">
        <f t="shared" si="16"/>
        <v>0</v>
      </c>
      <c r="P129" s="196"/>
      <c r="Q129" s="162"/>
      <c r="R129" s="162"/>
      <c r="S129" s="162"/>
      <c r="T129" s="162"/>
      <c r="U129" s="162"/>
      <c r="AF129" s="11"/>
      <c r="AG129" s="11"/>
      <c r="AH129" s="11"/>
      <c r="AI129" s="11"/>
      <c r="AJ129" s="11"/>
      <c r="AK129" s="11"/>
      <c r="AL129" s="11"/>
    </row>
    <row r="130" spans="1:38" x14ac:dyDescent="0.25">
      <c r="A130" s="38">
        <f>+Données!A130</f>
        <v>5627</v>
      </c>
      <c r="B130" s="181" t="str">
        <f>+Données!B130</f>
        <v>Chavannes-près-Renens</v>
      </c>
      <c r="C130" s="170">
        <f>+Ecrêtage!C130</f>
        <v>197756.36438709678</v>
      </c>
      <c r="D130" s="168"/>
      <c r="E130" s="170">
        <f>Données!AF130+Données!AG130+Données!AH130</f>
        <v>0</v>
      </c>
      <c r="F130" s="168">
        <f t="shared" si="10"/>
        <v>1582050.9150967742</v>
      </c>
      <c r="G130" s="8">
        <f t="shared" si="11"/>
        <v>0</v>
      </c>
      <c r="H130" s="234">
        <f t="shared" si="12"/>
        <v>0</v>
      </c>
      <c r="J130" s="8">
        <f>Données!AN130</f>
        <v>0</v>
      </c>
      <c r="K130" s="152">
        <f t="shared" si="13"/>
        <v>197756.36438709678</v>
      </c>
      <c r="L130" s="12">
        <f t="shared" si="14"/>
        <v>0</v>
      </c>
      <c r="M130" s="234">
        <f t="shared" si="15"/>
        <v>0</v>
      </c>
      <c r="O130" s="42">
        <f t="shared" si="16"/>
        <v>0</v>
      </c>
      <c r="P130" s="196"/>
      <c r="Q130" s="162"/>
      <c r="R130" s="162"/>
      <c r="S130" s="162"/>
      <c r="T130" s="162"/>
      <c r="U130" s="162"/>
      <c r="AF130" s="11"/>
      <c r="AG130" s="11"/>
      <c r="AH130" s="11"/>
      <c r="AI130" s="11"/>
      <c r="AJ130" s="11"/>
      <c r="AK130" s="11"/>
      <c r="AL130" s="11"/>
    </row>
    <row r="131" spans="1:38" x14ac:dyDescent="0.25">
      <c r="A131" s="38">
        <f>+Données!A131</f>
        <v>5628</v>
      </c>
      <c r="B131" s="181" t="str">
        <f>+Données!B131</f>
        <v>Chigny</v>
      </c>
      <c r="C131" s="170">
        <f>+Ecrêtage!C131</f>
        <v>29701.321935483869</v>
      </c>
      <c r="D131" s="168"/>
      <c r="E131" s="170">
        <f>Données!AF131+Données!AG131+Données!AH131</f>
        <v>0</v>
      </c>
      <c r="F131" s="168">
        <f t="shared" si="10"/>
        <v>237610.57548387095</v>
      </c>
      <c r="G131" s="8">
        <f t="shared" si="11"/>
        <v>0</v>
      </c>
      <c r="H131" s="234">
        <f t="shared" si="12"/>
        <v>0</v>
      </c>
      <c r="J131" s="8">
        <f>Données!AN131</f>
        <v>0</v>
      </c>
      <c r="K131" s="152">
        <f t="shared" si="13"/>
        <v>29701.321935483869</v>
      </c>
      <c r="L131" s="12">
        <f t="shared" si="14"/>
        <v>0</v>
      </c>
      <c r="M131" s="234">
        <f t="shared" si="15"/>
        <v>0</v>
      </c>
      <c r="O131" s="42">
        <f t="shared" si="16"/>
        <v>0</v>
      </c>
      <c r="P131" s="196"/>
      <c r="Q131" s="162"/>
      <c r="R131" s="162"/>
      <c r="S131" s="162"/>
      <c r="T131" s="162"/>
      <c r="U131" s="162"/>
      <c r="AF131" s="11"/>
      <c r="AG131" s="11"/>
      <c r="AH131" s="11"/>
      <c r="AI131" s="11"/>
      <c r="AJ131" s="11"/>
      <c r="AK131" s="11"/>
      <c r="AL131" s="11"/>
    </row>
    <row r="132" spans="1:38" x14ac:dyDescent="0.25">
      <c r="A132" s="38">
        <f>+Données!A132</f>
        <v>5629</v>
      </c>
      <c r="B132" s="181" t="str">
        <f>+Données!B132</f>
        <v>Clarmont</v>
      </c>
      <c r="C132" s="170">
        <f>+Ecrêtage!C132</f>
        <v>11214.945694444446</v>
      </c>
      <c r="D132" s="168"/>
      <c r="E132" s="170">
        <f>Données!AF132+Données!AG132+Données!AH132</f>
        <v>0</v>
      </c>
      <c r="F132" s="168">
        <f t="shared" si="10"/>
        <v>89719.565555555571</v>
      </c>
      <c r="G132" s="8">
        <f t="shared" si="11"/>
        <v>0</v>
      </c>
      <c r="H132" s="234">
        <f t="shared" si="12"/>
        <v>0</v>
      </c>
      <c r="J132" s="8">
        <f>Données!AN132</f>
        <v>0</v>
      </c>
      <c r="K132" s="152">
        <f t="shared" si="13"/>
        <v>11214.945694444446</v>
      </c>
      <c r="L132" s="12">
        <f t="shared" si="14"/>
        <v>0</v>
      </c>
      <c r="M132" s="234">
        <f t="shared" si="15"/>
        <v>0</v>
      </c>
      <c r="O132" s="42">
        <f t="shared" si="16"/>
        <v>0</v>
      </c>
      <c r="P132" s="196"/>
      <c r="Q132" s="162"/>
      <c r="R132" s="162"/>
      <c r="S132" s="162"/>
      <c r="T132" s="162"/>
      <c r="U132" s="162"/>
      <c r="AF132" s="11"/>
      <c r="AG132" s="11"/>
      <c r="AH132" s="11"/>
      <c r="AI132" s="11"/>
      <c r="AJ132" s="11"/>
      <c r="AK132" s="11"/>
      <c r="AL132" s="11"/>
    </row>
    <row r="133" spans="1:38" x14ac:dyDescent="0.25">
      <c r="A133" s="38">
        <f>+Données!A133</f>
        <v>5631</v>
      </c>
      <c r="B133" s="181" t="str">
        <f>+Données!B133</f>
        <v>Denens</v>
      </c>
      <c r="C133" s="170">
        <f>+Ecrêtage!C133</f>
        <v>47500.25692307693</v>
      </c>
      <c r="D133" s="168"/>
      <c r="E133" s="170">
        <f>Données!AF133+Données!AG133+Données!AH133</f>
        <v>0</v>
      </c>
      <c r="F133" s="168">
        <f t="shared" si="10"/>
        <v>380002.05538461544</v>
      </c>
      <c r="G133" s="8">
        <f t="shared" si="11"/>
        <v>0</v>
      </c>
      <c r="H133" s="234">
        <f t="shared" si="12"/>
        <v>0</v>
      </c>
      <c r="J133" s="8">
        <f>Données!AN133</f>
        <v>0</v>
      </c>
      <c r="K133" s="152">
        <f t="shared" si="13"/>
        <v>47500.25692307693</v>
      </c>
      <c r="L133" s="12">
        <f t="shared" si="14"/>
        <v>0</v>
      </c>
      <c r="M133" s="234">
        <f t="shared" si="15"/>
        <v>0</v>
      </c>
      <c r="O133" s="42">
        <f t="shared" si="16"/>
        <v>0</v>
      </c>
      <c r="P133" s="196"/>
      <c r="Q133" s="162"/>
      <c r="R133" s="162"/>
      <c r="S133" s="162"/>
      <c r="T133" s="162"/>
      <c r="U133" s="162"/>
      <c r="AF133" s="11"/>
      <c r="AG133" s="11"/>
      <c r="AH133" s="11"/>
      <c r="AI133" s="11"/>
      <c r="AJ133" s="11"/>
      <c r="AK133" s="11"/>
      <c r="AL133" s="11"/>
    </row>
    <row r="134" spans="1:38" x14ac:dyDescent="0.25">
      <c r="A134" s="38">
        <f>+Données!A134</f>
        <v>5632</v>
      </c>
      <c r="B134" s="181" t="str">
        <f>+Données!B134</f>
        <v>Denges</v>
      </c>
      <c r="C134" s="170">
        <f>+Ecrêtage!C134</f>
        <v>89815.216612903241</v>
      </c>
      <c r="D134" s="168"/>
      <c r="E134" s="170">
        <f>Données!AF134+Données!AG134+Données!AH134</f>
        <v>0</v>
      </c>
      <c r="F134" s="168">
        <f t="shared" si="10"/>
        <v>718521.73290322593</v>
      </c>
      <c r="G134" s="8">
        <f t="shared" si="11"/>
        <v>0</v>
      </c>
      <c r="H134" s="234">
        <f t="shared" si="12"/>
        <v>0</v>
      </c>
      <c r="J134" s="8">
        <f>Données!AN134</f>
        <v>0</v>
      </c>
      <c r="K134" s="152">
        <f t="shared" si="13"/>
        <v>89815.216612903241</v>
      </c>
      <c r="L134" s="12">
        <f t="shared" si="14"/>
        <v>0</v>
      </c>
      <c r="M134" s="234">
        <f t="shared" si="15"/>
        <v>0</v>
      </c>
      <c r="O134" s="42">
        <f t="shared" si="16"/>
        <v>0</v>
      </c>
      <c r="P134" s="196"/>
      <c r="Q134" s="162"/>
      <c r="R134" s="162"/>
      <c r="S134" s="162"/>
      <c r="T134" s="162"/>
      <c r="U134" s="162"/>
      <c r="AF134" s="11"/>
      <c r="AG134" s="11"/>
      <c r="AH134" s="11"/>
      <c r="AI134" s="11"/>
      <c r="AJ134" s="11"/>
      <c r="AK134" s="11"/>
      <c r="AL134" s="11"/>
    </row>
    <row r="135" spans="1:38" x14ac:dyDescent="0.25">
      <c r="A135" s="38">
        <f>+Données!A135</f>
        <v>5633</v>
      </c>
      <c r="B135" s="181" t="str">
        <f>+Données!B135</f>
        <v>Echandens</v>
      </c>
      <c r="C135" s="170">
        <f>+Ecrêtage!C135</f>
        <v>146616.96727272726</v>
      </c>
      <c r="D135" s="168"/>
      <c r="E135" s="170">
        <f>Données!AF135+Données!AG135+Données!AH135</f>
        <v>0</v>
      </c>
      <c r="F135" s="168">
        <f t="shared" ref="F135:F198" si="17">+C135*$G$5</f>
        <v>1172935.738181818</v>
      </c>
      <c r="G135" s="8">
        <f t="shared" ref="G135:G198" si="18">IF(E135&gt;F135,E135-F135,0)</f>
        <v>0</v>
      </c>
      <c r="H135" s="234">
        <f t="shared" ref="H135:H198" si="19">-G135*H$5</f>
        <v>0</v>
      </c>
      <c r="J135" s="8">
        <f>Données!AN135</f>
        <v>0</v>
      </c>
      <c r="K135" s="152">
        <f t="shared" ref="K135:K198" si="20">C135*L$5</f>
        <v>146616.96727272726</v>
      </c>
      <c r="L135" s="12">
        <f t="shared" ref="L135:L198" si="21">IF(J135&gt;K135,J135-K135,0)</f>
        <v>0</v>
      </c>
      <c r="M135" s="234">
        <f t="shared" ref="M135:M198" si="22">-L135*M$5</f>
        <v>0</v>
      </c>
      <c r="O135" s="42">
        <f t="shared" ref="O135:O198" si="23">M135+H135</f>
        <v>0</v>
      </c>
      <c r="P135" s="196"/>
      <c r="Q135" s="162"/>
      <c r="R135" s="162"/>
      <c r="S135" s="162"/>
      <c r="T135" s="162"/>
      <c r="U135" s="162"/>
      <c r="AF135" s="11"/>
      <c r="AG135" s="11"/>
      <c r="AH135" s="11"/>
      <c r="AI135" s="11"/>
      <c r="AJ135" s="11"/>
      <c r="AK135" s="11"/>
      <c r="AL135" s="11"/>
    </row>
    <row r="136" spans="1:38" x14ac:dyDescent="0.25">
      <c r="A136" s="38">
        <f>+Données!A136</f>
        <v>5634</v>
      </c>
      <c r="B136" s="181" t="str">
        <f>+Données!B136</f>
        <v>Echichens</v>
      </c>
      <c r="C136" s="170">
        <f>+Ecrêtage!C136</f>
        <v>181424.03242424241</v>
      </c>
      <c r="D136" s="168"/>
      <c r="E136" s="170">
        <f>Données!AF136+Données!AG136+Données!AH136</f>
        <v>0</v>
      </c>
      <c r="F136" s="168">
        <f t="shared" si="17"/>
        <v>1451392.2593939393</v>
      </c>
      <c r="G136" s="8">
        <f t="shared" si="18"/>
        <v>0</v>
      </c>
      <c r="H136" s="234">
        <f t="shared" si="19"/>
        <v>0</v>
      </c>
      <c r="J136" s="8">
        <f>Données!AN136</f>
        <v>0</v>
      </c>
      <c r="K136" s="152">
        <f t="shared" si="20"/>
        <v>181424.03242424241</v>
      </c>
      <c r="L136" s="12">
        <f t="shared" si="21"/>
        <v>0</v>
      </c>
      <c r="M136" s="234">
        <f t="shared" si="22"/>
        <v>0</v>
      </c>
      <c r="O136" s="42">
        <f t="shared" si="23"/>
        <v>0</v>
      </c>
      <c r="P136" s="196"/>
      <c r="Q136" s="162"/>
      <c r="R136" s="162"/>
      <c r="S136" s="162"/>
      <c r="T136" s="162"/>
      <c r="U136" s="162"/>
      <c r="AF136" s="11"/>
      <c r="AG136" s="11"/>
      <c r="AH136" s="11"/>
      <c r="AI136" s="11"/>
      <c r="AJ136" s="11"/>
      <c r="AK136" s="11"/>
      <c r="AL136" s="11"/>
    </row>
    <row r="137" spans="1:38" x14ac:dyDescent="0.25">
      <c r="A137" s="38">
        <f>+Données!A137</f>
        <v>5635</v>
      </c>
      <c r="B137" s="181" t="str">
        <f>+Données!B137</f>
        <v>Ecublens</v>
      </c>
      <c r="C137" s="170">
        <f>+Ecrêtage!C137</f>
        <v>505560.77512000001</v>
      </c>
      <c r="D137" s="168"/>
      <c r="E137" s="170">
        <f>Données!AF137+Données!AG137+Données!AH137</f>
        <v>0</v>
      </c>
      <c r="F137" s="168">
        <f t="shared" si="17"/>
        <v>4044486.20096</v>
      </c>
      <c r="G137" s="8">
        <f t="shared" si="18"/>
        <v>0</v>
      </c>
      <c r="H137" s="234">
        <f t="shared" si="19"/>
        <v>0</v>
      </c>
      <c r="J137" s="8">
        <f>Données!AN137</f>
        <v>0</v>
      </c>
      <c r="K137" s="152">
        <f t="shared" si="20"/>
        <v>505560.77512000001</v>
      </c>
      <c r="L137" s="12">
        <f t="shared" si="21"/>
        <v>0</v>
      </c>
      <c r="M137" s="234">
        <f t="shared" si="22"/>
        <v>0</v>
      </c>
      <c r="O137" s="42">
        <f t="shared" si="23"/>
        <v>0</v>
      </c>
      <c r="P137" s="196"/>
      <c r="Q137" s="162"/>
      <c r="R137" s="162"/>
      <c r="S137" s="162"/>
      <c r="T137" s="162"/>
      <c r="U137" s="162"/>
      <c r="AF137" s="11"/>
      <c r="AG137" s="11"/>
      <c r="AH137" s="11"/>
      <c r="AI137" s="11"/>
      <c r="AJ137" s="11"/>
      <c r="AK137" s="11"/>
      <c r="AL137" s="11"/>
    </row>
    <row r="138" spans="1:38" x14ac:dyDescent="0.25">
      <c r="A138" s="38">
        <f>+Données!A138</f>
        <v>5636</v>
      </c>
      <c r="B138" s="181" t="str">
        <f>+Données!B138</f>
        <v>Etoy</v>
      </c>
      <c r="C138" s="170">
        <f>+Ecrêtage!C138</f>
        <v>236704.12550000002</v>
      </c>
      <c r="D138" s="168"/>
      <c r="E138" s="170">
        <f>Données!AF138+Données!AG138+Données!AH138</f>
        <v>0</v>
      </c>
      <c r="F138" s="168">
        <f t="shared" si="17"/>
        <v>1893633.0040000002</v>
      </c>
      <c r="G138" s="8">
        <f t="shared" si="18"/>
        <v>0</v>
      </c>
      <c r="H138" s="234">
        <f t="shared" si="19"/>
        <v>0</v>
      </c>
      <c r="J138" s="8">
        <f>Données!AN138</f>
        <v>0</v>
      </c>
      <c r="K138" s="152">
        <f t="shared" si="20"/>
        <v>236704.12550000002</v>
      </c>
      <c r="L138" s="12">
        <f t="shared" si="21"/>
        <v>0</v>
      </c>
      <c r="M138" s="234">
        <f t="shared" si="22"/>
        <v>0</v>
      </c>
      <c r="O138" s="42">
        <f t="shared" si="23"/>
        <v>0</v>
      </c>
      <c r="P138" s="196"/>
      <c r="Q138" s="162"/>
      <c r="R138" s="162"/>
      <c r="S138" s="162"/>
      <c r="T138" s="162"/>
      <c r="U138" s="162"/>
      <c r="AF138" s="11"/>
      <c r="AG138" s="11"/>
      <c r="AH138" s="11"/>
      <c r="AI138" s="11"/>
      <c r="AJ138" s="11"/>
      <c r="AK138" s="11"/>
      <c r="AL138" s="11"/>
    </row>
    <row r="139" spans="1:38" x14ac:dyDescent="0.25">
      <c r="A139" s="38">
        <f>+Données!A139</f>
        <v>5637</v>
      </c>
      <c r="B139" s="181" t="str">
        <f>+Données!B139</f>
        <v>Lavigny</v>
      </c>
      <c r="C139" s="170">
        <f>+Ecrêtage!C139</f>
        <v>38282.802876712332</v>
      </c>
      <c r="D139" s="168"/>
      <c r="E139" s="170">
        <f>Données!AF139+Données!AG139+Données!AH139</f>
        <v>0</v>
      </c>
      <c r="F139" s="168">
        <f t="shared" si="17"/>
        <v>306262.42301369866</v>
      </c>
      <c r="G139" s="8">
        <f t="shared" si="18"/>
        <v>0</v>
      </c>
      <c r="H139" s="234">
        <f t="shared" si="19"/>
        <v>0</v>
      </c>
      <c r="J139" s="8">
        <f>Données!AN139</f>
        <v>0</v>
      </c>
      <c r="K139" s="152">
        <f t="shared" si="20"/>
        <v>38282.802876712332</v>
      </c>
      <c r="L139" s="12">
        <f t="shared" si="21"/>
        <v>0</v>
      </c>
      <c r="M139" s="234">
        <f t="shared" si="22"/>
        <v>0</v>
      </c>
      <c r="O139" s="42">
        <f t="shared" si="23"/>
        <v>0</v>
      </c>
      <c r="P139" s="196"/>
      <c r="Q139" s="162"/>
      <c r="R139" s="162"/>
      <c r="S139" s="162"/>
      <c r="T139" s="162"/>
      <c r="U139" s="162"/>
      <c r="AF139" s="11"/>
      <c r="AG139" s="11"/>
      <c r="AH139" s="11"/>
      <c r="AI139" s="11"/>
      <c r="AJ139" s="11"/>
      <c r="AK139" s="11"/>
      <c r="AL139" s="11"/>
    </row>
    <row r="140" spans="1:38" x14ac:dyDescent="0.25">
      <c r="A140" s="38">
        <f>+Données!A140</f>
        <v>5638</v>
      </c>
      <c r="B140" s="181" t="str">
        <f>+Données!B140</f>
        <v>Lonay</v>
      </c>
      <c r="C140" s="170">
        <f>+Ecrêtage!C140</f>
        <v>168507.09218181815</v>
      </c>
      <c r="D140" s="168"/>
      <c r="E140" s="170">
        <f>Données!AF140+Données!AG140+Données!AH140</f>
        <v>0</v>
      </c>
      <c r="F140" s="168">
        <f t="shared" si="17"/>
        <v>1348056.7374545452</v>
      </c>
      <c r="G140" s="8">
        <f t="shared" si="18"/>
        <v>0</v>
      </c>
      <c r="H140" s="234">
        <f t="shared" si="19"/>
        <v>0</v>
      </c>
      <c r="J140" s="8">
        <f>Données!AN140</f>
        <v>0</v>
      </c>
      <c r="K140" s="152">
        <f t="shared" si="20"/>
        <v>168507.09218181815</v>
      </c>
      <c r="L140" s="12">
        <f t="shared" si="21"/>
        <v>0</v>
      </c>
      <c r="M140" s="234">
        <f t="shared" si="22"/>
        <v>0</v>
      </c>
      <c r="O140" s="42">
        <f t="shared" si="23"/>
        <v>0</v>
      </c>
      <c r="P140" s="196"/>
      <c r="Q140" s="162"/>
      <c r="R140" s="162"/>
      <c r="S140" s="162"/>
      <c r="T140" s="162"/>
      <c r="U140" s="162"/>
      <c r="AF140" s="11"/>
      <c r="AG140" s="11"/>
      <c r="AH140" s="11"/>
      <c r="AI140" s="11"/>
      <c r="AJ140" s="11"/>
      <c r="AK140" s="11"/>
      <c r="AL140" s="11"/>
    </row>
    <row r="141" spans="1:38" x14ac:dyDescent="0.25">
      <c r="A141" s="38">
        <f>+Données!A141</f>
        <v>5639</v>
      </c>
      <c r="B141" s="181" t="str">
        <f>+Données!B141</f>
        <v>Lully</v>
      </c>
      <c r="C141" s="170">
        <f>+Ecrêtage!C141</f>
        <v>50946.176393442627</v>
      </c>
      <c r="D141" s="168"/>
      <c r="E141" s="170">
        <f>Données!AF141+Données!AG141+Données!AH141</f>
        <v>0</v>
      </c>
      <c r="F141" s="168">
        <f t="shared" si="17"/>
        <v>407569.41114754102</v>
      </c>
      <c r="G141" s="8">
        <f t="shared" si="18"/>
        <v>0</v>
      </c>
      <c r="H141" s="234">
        <f t="shared" si="19"/>
        <v>0</v>
      </c>
      <c r="J141" s="8">
        <f>Données!AN141</f>
        <v>0</v>
      </c>
      <c r="K141" s="152">
        <f t="shared" si="20"/>
        <v>50946.176393442627</v>
      </c>
      <c r="L141" s="12">
        <f t="shared" si="21"/>
        <v>0</v>
      </c>
      <c r="M141" s="234">
        <f t="shared" si="22"/>
        <v>0</v>
      </c>
      <c r="O141" s="42">
        <f t="shared" si="23"/>
        <v>0</v>
      </c>
      <c r="P141" s="196"/>
      <c r="Q141" s="162"/>
      <c r="R141" s="162"/>
      <c r="S141" s="162"/>
      <c r="T141" s="162"/>
      <c r="U141" s="162"/>
      <c r="AF141" s="11"/>
      <c r="AG141" s="11"/>
      <c r="AH141" s="11"/>
      <c r="AI141" s="11"/>
      <c r="AJ141" s="11"/>
      <c r="AK141" s="11"/>
      <c r="AL141" s="11"/>
    </row>
    <row r="142" spans="1:38" x14ac:dyDescent="0.25">
      <c r="A142" s="38">
        <f>+Données!A142</f>
        <v>5640</v>
      </c>
      <c r="B142" s="181" t="str">
        <f>+Données!B142</f>
        <v>Lussy-sur-Morges</v>
      </c>
      <c r="C142" s="170">
        <f>+Ecrêtage!C142</f>
        <v>53692.239837398381</v>
      </c>
      <c r="D142" s="168"/>
      <c r="E142" s="170">
        <f>Données!AF142+Données!AG142+Données!AH142</f>
        <v>0</v>
      </c>
      <c r="F142" s="168">
        <f t="shared" si="17"/>
        <v>429537.91869918705</v>
      </c>
      <c r="G142" s="8">
        <f t="shared" si="18"/>
        <v>0</v>
      </c>
      <c r="H142" s="234">
        <f t="shared" si="19"/>
        <v>0</v>
      </c>
      <c r="J142" s="8">
        <f>Données!AN142</f>
        <v>0</v>
      </c>
      <c r="K142" s="152">
        <f t="shared" si="20"/>
        <v>53692.239837398381</v>
      </c>
      <c r="L142" s="12">
        <f t="shared" si="21"/>
        <v>0</v>
      </c>
      <c r="M142" s="234">
        <f t="shared" si="22"/>
        <v>0</v>
      </c>
      <c r="O142" s="42">
        <f t="shared" si="23"/>
        <v>0</v>
      </c>
      <c r="P142" s="196"/>
      <c r="Q142" s="162"/>
      <c r="R142" s="162"/>
      <c r="S142" s="162"/>
      <c r="T142" s="162"/>
      <c r="U142" s="162"/>
      <c r="AF142" s="11"/>
      <c r="AG142" s="11"/>
      <c r="AH142" s="11"/>
      <c r="AI142" s="11"/>
      <c r="AJ142" s="11"/>
      <c r="AK142" s="11"/>
      <c r="AL142" s="11"/>
    </row>
    <row r="143" spans="1:38" x14ac:dyDescent="0.25">
      <c r="A143" s="38">
        <f>+Données!A143</f>
        <v>5642</v>
      </c>
      <c r="B143" s="181" t="str">
        <f>+Données!B143</f>
        <v>Morges</v>
      </c>
      <c r="C143" s="170">
        <f>+Ecrêtage!C143</f>
        <v>1132235.5279104479</v>
      </c>
      <c r="D143" s="168"/>
      <c r="E143" s="170">
        <f>Données!AF143+Données!AG143+Données!AH143</f>
        <v>0</v>
      </c>
      <c r="F143" s="168">
        <f t="shared" si="17"/>
        <v>9057884.2232835833</v>
      </c>
      <c r="G143" s="8">
        <f t="shared" si="18"/>
        <v>0</v>
      </c>
      <c r="H143" s="234">
        <f t="shared" si="19"/>
        <v>0</v>
      </c>
      <c r="J143" s="8">
        <f>Données!AN143</f>
        <v>0</v>
      </c>
      <c r="K143" s="152">
        <f t="shared" si="20"/>
        <v>1132235.5279104479</v>
      </c>
      <c r="L143" s="12">
        <f t="shared" si="21"/>
        <v>0</v>
      </c>
      <c r="M143" s="234">
        <f t="shared" si="22"/>
        <v>0</v>
      </c>
      <c r="O143" s="42">
        <f t="shared" si="23"/>
        <v>0</v>
      </c>
      <c r="P143" s="196"/>
      <c r="Q143" s="162"/>
      <c r="R143" s="162"/>
      <c r="S143" s="162"/>
      <c r="T143" s="162"/>
      <c r="U143" s="162"/>
      <c r="AF143" s="11"/>
      <c r="AG143" s="11"/>
      <c r="AH143" s="11"/>
      <c r="AI143" s="11"/>
      <c r="AJ143" s="11"/>
      <c r="AK143" s="11"/>
      <c r="AL143" s="11"/>
    </row>
    <row r="144" spans="1:38" x14ac:dyDescent="0.25">
      <c r="A144" s="38">
        <f>+Données!A144</f>
        <v>5643</v>
      </c>
      <c r="B144" s="181" t="str">
        <f>+Données!B144</f>
        <v>Préverenges</v>
      </c>
      <c r="C144" s="170">
        <f>+Ecrêtage!C144</f>
        <v>249027.28047999999</v>
      </c>
      <c r="D144" s="168"/>
      <c r="E144" s="170">
        <f>Données!AF144+Données!AG144+Données!AH144</f>
        <v>0</v>
      </c>
      <c r="F144" s="168">
        <f t="shared" si="17"/>
        <v>1992218.2438399999</v>
      </c>
      <c r="G144" s="8">
        <f t="shared" si="18"/>
        <v>0</v>
      </c>
      <c r="H144" s="234">
        <f t="shared" si="19"/>
        <v>0</v>
      </c>
      <c r="J144" s="8">
        <f>Données!AN144</f>
        <v>0</v>
      </c>
      <c r="K144" s="152">
        <f t="shared" si="20"/>
        <v>249027.28047999999</v>
      </c>
      <c r="L144" s="12">
        <f t="shared" si="21"/>
        <v>0</v>
      </c>
      <c r="M144" s="234">
        <f t="shared" si="22"/>
        <v>0</v>
      </c>
      <c r="O144" s="42">
        <f t="shared" si="23"/>
        <v>0</v>
      </c>
      <c r="P144" s="196"/>
      <c r="Q144" s="162"/>
      <c r="R144" s="162"/>
      <c r="S144" s="162"/>
      <c r="T144" s="162"/>
      <c r="U144" s="162"/>
      <c r="AF144" s="11"/>
      <c r="AG144" s="11"/>
      <c r="AH144" s="11"/>
      <c r="AI144" s="11"/>
      <c r="AJ144" s="11"/>
      <c r="AK144" s="11"/>
      <c r="AL144" s="11"/>
    </row>
    <row r="145" spans="1:38" x14ac:dyDescent="0.25">
      <c r="A145" s="38">
        <f>+Données!A145</f>
        <v>5645</v>
      </c>
      <c r="B145" s="181" t="str">
        <f>+Données!B145</f>
        <v>Romanel-sur-Morges</v>
      </c>
      <c r="C145" s="170">
        <f>+Ecrêtage!C145</f>
        <v>27135.573571428577</v>
      </c>
      <c r="D145" s="168"/>
      <c r="E145" s="170">
        <f>Données!AF145+Données!AG145+Données!AH145</f>
        <v>0</v>
      </c>
      <c r="F145" s="168">
        <f t="shared" si="17"/>
        <v>217084.58857142861</v>
      </c>
      <c r="G145" s="8">
        <f t="shared" si="18"/>
        <v>0</v>
      </c>
      <c r="H145" s="234">
        <f t="shared" si="19"/>
        <v>0</v>
      </c>
      <c r="J145" s="8">
        <f>Données!AN145</f>
        <v>0</v>
      </c>
      <c r="K145" s="152">
        <f t="shared" si="20"/>
        <v>27135.573571428577</v>
      </c>
      <c r="L145" s="12">
        <f t="shared" si="21"/>
        <v>0</v>
      </c>
      <c r="M145" s="234">
        <f t="shared" si="22"/>
        <v>0</v>
      </c>
      <c r="O145" s="42">
        <f t="shared" si="23"/>
        <v>0</v>
      </c>
      <c r="P145" s="196"/>
      <c r="Q145" s="162"/>
      <c r="R145" s="162"/>
      <c r="S145" s="162"/>
      <c r="T145" s="162"/>
      <c r="U145" s="162"/>
      <c r="AF145" s="11"/>
      <c r="AG145" s="11"/>
      <c r="AH145" s="11"/>
      <c r="AI145" s="11"/>
      <c r="AJ145" s="11"/>
      <c r="AK145" s="11"/>
      <c r="AL145" s="11"/>
    </row>
    <row r="146" spans="1:38" x14ac:dyDescent="0.25">
      <c r="A146" s="38">
        <f>+Données!A146</f>
        <v>5646</v>
      </c>
      <c r="B146" s="181" t="str">
        <f>+Données!B146</f>
        <v>Saint-Prex</v>
      </c>
      <c r="C146" s="170">
        <f>+Ecrêtage!C146</f>
        <v>525095.71629943512</v>
      </c>
      <c r="D146" s="168"/>
      <c r="E146" s="170">
        <f>Données!AF146+Données!AG146+Données!AH146</f>
        <v>0</v>
      </c>
      <c r="F146" s="168">
        <f t="shared" si="17"/>
        <v>4200765.730395481</v>
      </c>
      <c r="G146" s="8">
        <f t="shared" si="18"/>
        <v>0</v>
      </c>
      <c r="H146" s="234">
        <f t="shared" si="19"/>
        <v>0</v>
      </c>
      <c r="J146" s="8">
        <f>Données!AN146</f>
        <v>0</v>
      </c>
      <c r="K146" s="152">
        <f t="shared" si="20"/>
        <v>525095.71629943512</v>
      </c>
      <c r="L146" s="12">
        <f t="shared" si="21"/>
        <v>0</v>
      </c>
      <c r="M146" s="234">
        <f t="shared" si="22"/>
        <v>0</v>
      </c>
      <c r="O146" s="42">
        <f t="shared" si="23"/>
        <v>0</v>
      </c>
      <c r="P146" s="196"/>
      <c r="Q146" s="162"/>
      <c r="R146" s="162"/>
      <c r="S146" s="162"/>
      <c r="T146" s="162"/>
      <c r="U146" s="162"/>
      <c r="AF146" s="11"/>
      <c r="AG146" s="11"/>
      <c r="AH146" s="11"/>
      <c r="AI146" s="11"/>
      <c r="AJ146" s="11"/>
      <c r="AK146" s="11"/>
      <c r="AL146" s="11"/>
    </row>
    <row r="147" spans="1:38" x14ac:dyDescent="0.25">
      <c r="A147" s="38">
        <f>+Données!A147</f>
        <v>5648</v>
      </c>
      <c r="B147" s="181" t="str">
        <f>+Données!B147</f>
        <v>Saint-Sulpice</v>
      </c>
      <c r="C147" s="170">
        <f>+Ecrêtage!C147</f>
        <v>396373.38209090912</v>
      </c>
      <c r="D147" s="168"/>
      <c r="E147" s="170">
        <f>Données!AF147+Données!AG147+Données!AH147</f>
        <v>0</v>
      </c>
      <c r="F147" s="168">
        <f t="shared" si="17"/>
        <v>3170987.0567272729</v>
      </c>
      <c r="G147" s="8">
        <f t="shared" si="18"/>
        <v>0</v>
      </c>
      <c r="H147" s="234">
        <f t="shared" si="19"/>
        <v>0</v>
      </c>
      <c r="J147" s="8">
        <f>Données!AN147</f>
        <v>0</v>
      </c>
      <c r="K147" s="152">
        <f t="shared" si="20"/>
        <v>396373.38209090912</v>
      </c>
      <c r="L147" s="12">
        <f t="shared" si="21"/>
        <v>0</v>
      </c>
      <c r="M147" s="234">
        <f t="shared" si="22"/>
        <v>0</v>
      </c>
      <c r="O147" s="42">
        <f t="shared" si="23"/>
        <v>0</v>
      </c>
      <c r="P147" s="196"/>
      <c r="Q147" s="162"/>
      <c r="R147" s="162"/>
      <c r="S147" s="162"/>
      <c r="T147" s="162"/>
      <c r="U147" s="162"/>
      <c r="AF147" s="11"/>
      <c r="AG147" s="11"/>
      <c r="AH147" s="11"/>
      <c r="AI147" s="11"/>
      <c r="AJ147" s="11"/>
      <c r="AK147" s="11"/>
      <c r="AL147" s="11"/>
    </row>
    <row r="148" spans="1:38" x14ac:dyDescent="0.25">
      <c r="A148" s="38">
        <f>+Données!A148</f>
        <v>5649</v>
      </c>
      <c r="B148" s="181" t="str">
        <f>+Données!B148</f>
        <v>Tolochenaz</v>
      </c>
      <c r="C148" s="170">
        <f>+Ecrêtage!C148</f>
        <v>281314.52828124992</v>
      </c>
      <c r="D148" s="168"/>
      <c r="E148" s="170">
        <f>Données!AF148+Données!AG148+Données!AH148</f>
        <v>0</v>
      </c>
      <c r="F148" s="168">
        <f t="shared" si="17"/>
        <v>2250516.2262499994</v>
      </c>
      <c r="G148" s="8">
        <f t="shared" si="18"/>
        <v>0</v>
      </c>
      <c r="H148" s="234">
        <f t="shared" si="19"/>
        <v>0</v>
      </c>
      <c r="J148" s="8">
        <f>Données!AN148</f>
        <v>0</v>
      </c>
      <c r="K148" s="152">
        <f t="shared" si="20"/>
        <v>281314.52828124992</v>
      </c>
      <c r="L148" s="12">
        <f t="shared" si="21"/>
        <v>0</v>
      </c>
      <c r="M148" s="234">
        <f t="shared" si="22"/>
        <v>0</v>
      </c>
      <c r="O148" s="42">
        <f t="shared" si="23"/>
        <v>0</v>
      </c>
      <c r="P148" s="196"/>
      <c r="Q148" s="162"/>
      <c r="R148" s="162"/>
      <c r="S148" s="162"/>
      <c r="T148" s="162"/>
      <c r="U148" s="162"/>
      <c r="AF148" s="11"/>
      <c r="AG148" s="11"/>
      <c r="AH148" s="11"/>
      <c r="AI148" s="11"/>
      <c r="AJ148" s="11"/>
      <c r="AK148" s="11"/>
      <c r="AL148" s="11"/>
    </row>
    <row r="149" spans="1:38" x14ac:dyDescent="0.25">
      <c r="A149" s="38">
        <f>+Données!A149</f>
        <v>5650</v>
      </c>
      <c r="B149" s="181" t="str">
        <f>+Données!B149</f>
        <v>Vaux-sur-Morges</v>
      </c>
      <c r="C149" s="170">
        <f>+Ecrêtage!C149</f>
        <v>96067.741964285728</v>
      </c>
      <c r="D149" s="168"/>
      <c r="E149" s="170">
        <f>Données!AF149+Données!AG149+Données!AH149</f>
        <v>0</v>
      </c>
      <c r="F149" s="168">
        <f t="shared" si="17"/>
        <v>768541.93571428582</v>
      </c>
      <c r="G149" s="8">
        <f t="shared" si="18"/>
        <v>0</v>
      </c>
      <c r="H149" s="234">
        <f t="shared" si="19"/>
        <v>0</v>
      </c>
      <c r="J149" s="8">
        <f>Données!AN149</f>
        <v>0</v>
      </c>
      <c r="K149" s="152">
        <f t="shared" si="20"/>
        <v>96067.741964285728</v>
      </c>
      <c r="L149" s="12">
        <f t="shared" si="21"/>
        <v>0</v>
      </c>
      <c r="M149" s="234">
        <f t="shared" si="22"/>
        <v>0</v>
      </c>
      <c r="O149" s="42">
        <f t="shared" si="23"/>
        <v>0</v>
      </c>
      <c r="P149" s="196"/>
      <c r="Q149" s="162"/>
      <c r="R149" s="162"/>
      <c r="S149" s="162"/>
      <c r="T149" s="162"/>
      <c r="U149" s="162"/>
      <c r="AF149" s="11"/>
      <c r="AG149" s="11"/>
      <c r="AH149" s="11"/>
      <c r="AI149" s="11"/>
      <c r="AJ149" s="11"/>
      <c r="AK149" s="11"/>
      <c r="AL149" s="11"/>
    </row>
    <row r="150" spans="1:38" x14ac:dyDescent="0.25">
      <c r="A150" s="38">
        <f>+Données!A150</f>
        <v>5651</v>
      </c>
      <c r="B150" s="181" t="str">
        <f>+Données!B150</f>
        <v>Villars-Sainte-Croix</v>
      </c>
      <c r="C150" s="170">
        <f>+Ecrêtage!C150</f>
        <v>61414.015041322302</v>
      </c>
      <c r="D150" s="168"/>
      <c r="E150" s="170">
        <f>Données!AF150+Données!AG150+Données!AH150</f>
        <v>0</v>
      </c>
      <c r="F150" s="168">
        <f t="shared" si="17"/>
        <v>491312.12033057841</v>
      </c>
      <c r="G150" s="8">
        <f t="shared" si="18"/>
        <v>0</v>
      </c>
      <c r="H150" s="234">
        <f t="shared" si="19"/>
        <v>0</v>
      </c>
      <c r="J150" s="8">
        <f>Données!AN150</f>
        <v>0</v>
      </c>
      <c r="K150" s="152">
        <f t="shared" si="20"/>
        <v>61414.015041322302</v>
      </c>
      <c r="L150" s="12">
        <f t="shared" si="21"/>
        <v>0</v>
      </c>
      <c r="M150" s="234">
        <f t="shared" si="22"/>
        <v>0</v>
      </c>
      <c r="O150" s="42">
        <f t="shared" si="23"/>
        <v>0</v>
      </c>
      <c r="P150" s="196"/>
      <c r="Q150" s="162"/>
      <c r="R150" s="162"/>
      <c r="S150" s="162"/>
      <c r="T150" s="162"/>
      <c r="U150" s="162"/>
      <c r="AF150" s="11"/>
      <c r="AG150" s="11"/>
      <c r="AH150" s="11"/>
      <c r="AI150" s="11"/>
      <c r="AJ150" s="11"/>
      <c r="AK150" s="11"/>
      <c r="AL150" s="11"/>
    </row>
    <row r="151" spans="1:38" x14ac:dyDescent="0.25">
      <c r="A151" s="38">
        <f>+Données!A151</f>
        <v>5652</v>
      </c>
      <c r="B151" s="181" t="str">
        <f>+Données!B151</f>
        <v>Villars-sous-Yens</v>
      </c>
      <c r="C151" s="170">
        <f>+Ecrêtage!C151</f>
        <v>29186.92625</v>
      </c>
      <c r="D151" s="168"/>
      <c r="E151" s="170">
        <f>Données!AF151+Données!AG151+Données!AH151</f>
        <v>0</v>
      </c>
      <c r="F151" s="168">
        <f t="shared" si="17"/>
        <v>233495.41</v>
      </c>
      <c r="G151" s="8">
        <f t="shared" si="18"/>
        <v>0</v>
      </c>
      <c r="H151" s="234">
        <f t="shared" si="19"/>
        <v>0</v>
      </c>
      <c r="J151" s="8">
        <f>Données!AN151</f>
        <v>0</v>
      </c>
      <c r="K151" s="152">
        <f t="shared" si="20"/>
        <v>29186.92625</v>
      </c>
      <c r="L151" s="12">
        <f t="shared" si="21"/>
        <v>0</v>
      </c>
      <c r="M151" s="234">
        <f t="shared" si="22"/>
        <v>0</v>
      </c>
      <c r="O151" s="42">
        <f t="shared" si="23"/>
        <v>0</v>
      </c>
      <c r="P151" s="196"/>
      <c r="Q151" s="162"/>
      <c r="R151" s="162"/>
      <c r="S151" s="162"/>
      <c r="T151" s="162"/>
      <c r="U151" s="162"/>
      <c r="AF151" s="11"/>
      <c r="AG151" s="11"/>
      <c r="AH151" s="11"/>
      <c r="AI151" s="11"/>
      <c r="AJ151" s="11"/>
      <c r="AK151" s="11"/>
      <c r="AL151" s="11"/>
    </row>
    <row r="152" spans="1:38" x14ac:dyDescent="0.25">
      <c r="A152" s="38">
        <f>+Données!A152</f>
        <v>5653</v>
      </c>
      <c r="B152" s="181" t="str">
        <f>+Données!B152</f>
        <v>Vufflens-le-Château</v>
      </c>
      <c r="C152" s="170">
        <f>+Ecrêtage!C152</f>
        <v>66751.135840000003</v>
      </c>
      <c r="D152" s="168"/>
      <c r="E152" s="170">
        <f>Données!AF152+Données!AG152+Données!AH152</f>
        <v>0</v>
      </c>
      <c r="F152" s="168">
        <f t="shared" si="17"/>
        <v>534009.08672000002</v>
      </c>
      <c r="G152" s="8">
        <f t="shared" si="18"/>
        <v>0</v>
      </c>
      <c r="H152" s="234">
        <f t="shared" si="19"/>
        <v>0</v>
      </c>
      <c r="J152" s="8">
        <f>Données!AN152</f>
        <v>0</v>
      </c>
      <c r="K152" s="152">
        <f t="shared" si="20"/>
        <v>66751.135840000003</v>
      </c>
      <c r="L152" s="12">
        <f t="shared" si="21"/>
        <v>0</v>
      </c>
      <c r="M152" s="234">
        <f t="shared" si="22"/>
        <v>0</v>
      </c>
      <c r="O152" s="42">
        <f t="shared" si="23"/>
        <v>0</v>
      </c>
      <c r="P152" s="196"/>
      <c r="Q152" s="162"/>
      <c r="R152" s="162"/>
      <c r="S152" s="162"/>
      <c r="T152" s="162"/>
      <c r="U152" s="162"/>
      <c r="AF152" s="11"/>
      <c r="AG152" s="11"/>
      <c r="AH152" s="11"/>
      <c r="AI152" s="11"/>
      <c r="AJ152" s="11"/>
      <c r="AK152" s="11"/>
      <c r="AL152" s="11"/>
    </row>
    <row r="153" spans="1:38" x14ac:dyDescent="0.25">
      <c r="A153" s="38">
        <f>+Données!A153</f>
        <v>5654</v>
      </c>
      <c r="B153" s="181" t="str">
        <f>+Données!B153</f>
        <v>Vullierens</v>
      </c>
      <c r="C153" s="170">
        <f>+Ecrêtage!C153</f>
        <v>21960.434210526313</v>
      </c>
      <c r="D153" s="168"/>
      <c r="E153" s="170">
        <f>Données!AF153+Données!AG153+Données!AH153</f>
        <v>0</v>
      </c>
      <c r="F153" s="168">
        <f t="shared" si="17"/>
        <v>175683.4736842105</v>
      </c>
      <c r="G153" s="8">
        <f t="shared" si="18"/>
        <v>0</v>
      </c>
      <c r="H153" s="234">
        <f t="shared" si="19"/>
        <v>0</v>
      </c>
      <c r="J153" s="8">
        <f>Données!AN153</f>
        <v>0</v>
      </c>
      <c r="K153" s="152">
        <f t="shared" si="20"/>
        <v>21960.434210526313</v>
      </c>
      <c r="L153" s="12">
        <f t="shared" si="21"/>
        <v>0</v>
      </c>
      <c r="M153" s="234">
        <f t="shared" si="22"/>
        <v>0</v>
      </c>
      <c r="O153" s="42">
        <f t="shared" si="23"/>
        <v>0</v>
      </c>
      <c r="P153" s="196"/>
      <c r="Q153" s="162"/>
      <c r="R153" s="162"/>
      <c r="S153" s="162"/>
      <c r="T153" s="162"/>
      <c r="U153" s="162"/>
      <c r="AF153" s="11"/>
      <c r="AG153" s="11"/>
      <c r="AH153" s="11"/>
      <c r="AI153" s="11"/>
      <c r="AJ153" s="11"/>
      <c r="AK153" s="11"/>
      <c r="AL153" s="11"/>
    </row>
    <row r="154" spans="1:38" x14ac:dyDescent="0.25">
      <c r="A154" s="38">
        <f>+Données!A154</f>
        <v>5655</v>
      </c>
      <c r="B154" s="181" t="str">
        <f>+Données!B154</f>
        <v>Yens</v>
      </c>
      <c r="C154" s="170">
        <f>+Ecrêtage!C154</f>
        <v>83347.731285714282</v>
      </c>
      <c r="D154" s="168"/>
      <c r="E154" s="170">
        <f>Données!AF154+Données!AG154+Données!AH154</f>
        <v>0</v>
      </c>
      <c r="F154" s="168">
        <f t="shared" si="17"/>
        <v>666781.85028571426</v>
      </c>
      <c r="G154" s="8">
        <f t="shared" si="18"/>
        <v>0</v>
      </c>
      <c r="H154" s="234">
        <f t="shared" si="19"/>
        <v>0</v>
      </c>
      <c r="J154" s="8">
        <f>Données!AN154</f>
        <v>0</v>
      </c>
      <c r="K154" s="152">
        <f t="shared" si="20"/>
        <v>83347.731285714282</v>
      </c>
      <c r="L154" s="12">
        <f t="shared" si="21"/>
        <v>0</v>
      </c>
      <c r="M154" s="234">
        <f t="shared" si="22"/>
        <v>0</v>
      </c>
      <c r="O154" s="42">
        <f t="shared" si="23"/>
        <v>0</v>
      </c>
      <c r="P154" s="196"/>
      <c r="Q154" s="162"/>
      <c r="R154" s="162"/>
      <c r="S154" s="162"/>
      <c r="T154" s="162"/>
      <c r="U154" s="162"/>
      <c r="AF154" s="11"/>
      <c r="AG154" s="11"/>
      <c r="AH154" s="11"/>
      <c r="AI154" s="11"/>
      <c r="AJ154" s="11"/>
      <c r="AK154" s="11"/>
      <c r="AL154" s="11"/>
    </row>
    <row r="155" spans="1:38" s="156" customFormat="1" x14ac:dyDescent="0.25">
      <c r="A155" s="38">
        <f>+Données!A155</f>
        <v>5656</v>
      </c>
      <c r="B155" s="181" t="str">
        <f>+Données!B155</f>
        <v>Hautemorges</v>
      </c>
      <c r="C155" s="170">
        <f>+Ecrêtage!C155</f>
        <v>167962.47422535214</v>
      </c>
      <c r="D155" s="168"/>
      <c r="E155" s="170">
        <f>Données!AF155+Données!AG155+Données!AH155</f>
        <v>0</v>
      </c>
      <c r="F155" s="168">
        <f t="shared" si="17"/>
        <v>1343699.7938028171</v>
      </c>
      <c r="G155" s="8">
        <f t="shared" si="18"/>
        <v>0</v>
      </c>
      <c r="H155" s="234">
        <f t="shared" si="19"/>
        <v>0</v>
      </c>
      <c r="I155" s="171"/>
      <c r="J155" s="8">
        <f>Données!AN155</f>
        <v>0</v>
      </c>
      <c r="K155" s="152">
        <f t="shared" si="20"/>
        <v>167962.47422535214</v>
      </c>
      <c r="L155" s="171">
        <f t="shared" si="21"/>
        <v>0</v>
      </c>
      <c r="M155" s="234">
        <f t="shared" si="22"/>
        <v>0</v>
      </c>
      <c r="N155" s="171"/>
      <c r="O155" s="42">
        <f t="shared" si="23"/>
        <v>0</v>
      </c>
      <c r="P155" s="196"/>
      <c r="Q155" s="162"/>
      <c r="R155" s="162"/>
      <c r="S155" s="162"/>
      <c r="T155" s="162"/>
      <c r="U155" s="162"/>
    </row>
    <row r="156" spans="1:38" x14ac:dyDescent="0.25">
      <c r="A156" s="38">
        <f>+Données!A156</f>
        <v>5661</v>
      </c>
      <c r="B156" s="181" t="str">
        <f>+Données!B156</f>
        <v>Boulens</v>
      </c>
      <c r="C156" s="170">
        <f>+Ecrêtage!C156</f>
        <v>10042.510349650349</v>
      </c>
      <c r="D156" s="168"/>
      <c r="E156" s="170">
        <f>Données!AF156+Données!AG156+Données!AH156</f>
        <v>0</v>
      </c>
      <c r="F156" s="168">
        <f t="shared" si="17"/>
        <v>80340.082797202791</v>
      </c>
      <c r="G156" s="8">
        <f t="shared" si="18"/>
        <v>0</v>
      </c>
      <c r="H156" s="234">
        <f t="shared" si="19"/>
        <v>0</v>
      </c>
      <c r="J156" s="8">
        <f>Données!AN156</f>
        <v>0</v>
      </c>
      <c r="K156" s="152">
        <f t="shared" si="20"/>
        <v>10042.510349650349</v>
      </c>
      <c r="L156" s="12">
        <f t="shared" si="21"/>
        <v>0</v>
      </c>
      <c r="M156" s="234">
        <f t="shared" si="22"/>
        <v>0</v>
      </c>
      <c r="O156" s="42">
        <f t="shared" si="23"/>
        <v>0</v>
      </c>
      <c r="P156" s="196"/>
      <c r="Q156" s="162"/>
      <c r="R156" s="162"/>
      <c r="S156" s="162"/>
      <c r="T156" s="162"/>
      <c r="U156" s="162"/>
      <c r="AF156" s="11"/>
      <c r="AG156" s="11"/>
      <c r="AH156" s="11"/>
      <c r="AI156" s="11"/>
      <c r="AJ156" s="11"/>
      <c r="AK156" s="11"/>
      <c r="AL156" s="11"/>
    </row>
    <row r="157" spans="1:38" x14ac:dyDescent="0.25">
      <c r="A157" s="38">
        <f>+Données!A157</f>
        <v>5663</v>
      </c>
      <c r="B157" s="181" t="str">
        <f>+Données!B157</f>
        <v>Bussy-sur-Moudon</v>
      </c>
      <c r="C157" s="170">
        <f>+Ecrêtage!C157</f>
        <v>7115.4099363057312</v>
      </c>
      <c r="D157" s="168"/>
      <c r="E157" s="170">
        <f>Données!AF157+Données!AG157+Données!AH157</f>
        <v>0</v>
      </c>
      <c r="F157" s="168">
        <f t="shared" si="17"/>
        <v>56923.27949044585</v>
      </c>
      <c r="G157" s="8">
        <f t="shared" si="18"/>
        <v>0</v>
      </c>
      <c r="H157" s="234">
        <f t="shared" si="19"/>
        <v>0</v>
      </c>
      <c r="J157" s="8">
        <f>Données!AN157</f>
        <v>0</v>
      </c>
      <c r="K157" s="152">
        <f t="shared" si="20"/>
        <v>7115.4099363057312</v>
      </c>
      <c r="L157" s="12">
        <f t="shared" si="21"/>
        <v>0</v>
      </c>
      <c r="M157" s="234">
        <f t="shared" si="22"/>
        <v>0</v>
      </c>
      <c r="O157" s="42">
        <f t="shared" si="23"/>
        <v>0</v>
      </c>
      <c r="P157" s="196"/>
      <c r="Q157" s="162"/>
      <c r="R157" s="162"/>
      <c r="S157" s="162"/>
      <c r="T157" s="162"/>
      <c r="U157" s="162"/>
      <c r="AF157" s="11"/>
      <c r="AG157" s="11"/>
      <c r="AH157" s="11"/>
      <c r="AI157" s="11"/>
      <c r="AJ157" s="11"/>
      <c r="AK157" s="11"/>
      <c r="AL157" s="11"/>
    </row>
    <row r="158" spans="1:38" x14ac:dyDescent="0.25">
      <c r="A158" s="38">
        <f>+Données!A158</f>
        <v>5665</v>
      </c>
      <c r="B158" s="181" t="str">
        <f>+Données!B158</f>
        <v>Chavannes-sur-Moudon</v>
      </c>
      <c r="C158" s="170">
        <f>+Ecrêtage!C158</f>
        <v>5907.4868571428569</v>
      </c>
      <c r="D158" s="168"/>
      <c r="E158" s="170">
        <f>Données!AF158+Données!AG158+Données!AH158</f>
        <v>0</v>
      </c>
      <c r="F158" s="168">
        <f t="shared" si="17"/>
        <v>47259.894857142855</v>
      </c>
      <c r="G158" s="8">
        <f t="shared" si="18"/>
        <v>0</v>
      </c>
      <c r="H158" s="234">
        <f t="shared" si="19"/>
        <v>0</v>
      </c>
      <c r="J158" s="8">
        <f>Données!AN158</f>
        <v>0</v>
      </c>
      <c r="K158" s="152">
        <f t="shared" si="20"/>
        <v>5907.4868571428569</v>
      </c>
      <c r="L158" s="12">
        <f t="shared" si="21"/>
        <v>0</v>
      </c>
      <c r="M158" s="234">
        <f t="shared" si="22"/>
        <v>0</v>
      </c>
      <c r="O158" s="42">
        <f t="shared" si="23"/>
        <v>0</v>
      </c>
      <c r="P158" s="196"/>
      <c r="Q158" s="162"/>
      <c r="R158" s="162"/>
      <c r="S158" s="162"/>
      <c r="T158" s="162"/>
      <c r="U158" s="162"/>
      <c r="AF158" s="11"/>
      <c r="AG158" s="11"/>
      <c r="AH158" s="11"/>
      <c r="AI158" s="11"/>
      <c r="AJ158" s="11"/>
      <c r="AK158" s="11"/>
      <c r="AL158" s="11"/>
    </row>
    <row r="159" spans="1:38" x14ac:dyDescent="0.25">
      <c r="A159" s="38">
        <f>+Données!A159</f>
        <v>5669</v>
      </c>
      <c r="B159" s="181" t="str">
        <f>+Données!B159</f>
        <v>Curtilles</v>
      </c>
      <c r="C159" s="170">
        <f>+Ecrêtage!C159</f>
        <v>9466.6579452054793</v>
      </c>
      <c r="D159" s="168"/>
      <c r="E159" s="170">
        <f>Données!AF159+Données!AG159+Données!AH159</f>
        <v>0</v>
      </c>
      <c r="F159" s="168">
        <f t="shared" si="17"/>
        <v>75733.263561643835</v>
      </c>
      <c r="G159" s="8">
        <f t="shared" si="18"/>
        <v>0</v>
      </c>
      <c r="H159" s="234">
        <f t="shared" si="19"/>
        <v>0</v>
      </c>
      <c r="J159" s="8">
        <f>Données!AN159</f>
        <v>0</v>
      </c>
      <c r="K159" s="152">
        <f t="shared" si="20"/>
        <v>9466.6579452054793</v>
      </c>
      <c r="L159" s="12">
        <f t="shared" si="21"/>
        <v>0</v>
      </c>
      <c r="M159" s="234">
        <f t="shared" si="22"/>
        <v>0</v>
      </c>
      <c r="O159" s="42">
        <f t="shared" si="23"/>
        <v>0</v>
      </c>
      <c r="P159" s="196"/>
      <c r="Q159" s="162"/>
      <c r="R159" s="162"/>
      <c r="S159" s="162"/>
      <c r="T159" s="162"/>
      <c r="U159" s="162"/>
      <c r="AF159" s="11"/>
      <c r="AG159" s="11"/>
      <c r="AH159" s="11"/>
      <c r="AI159" s="11"/>
      <c r="AJ159" s="11"/>
      <c r="AK159" s="11"/>
      <c r="AL159" s="11"/>
    </row>
    <row r="160" spans="1:38" x14ac:dyDescent="0.25">
      <c r="A160" s="38">
        <f>+Données!A160</f>
        <v>5671</v>
      </c>
      <c r="B160" s="181" t="str">
        <f>+Données!B160</f>
        <v>Dompierre</v>
      </c>
      <c r="C160" s="170">
        <f>+Ecrêtage!C160</f>
        <v>8071.3430769230772</v>
      </c>
      <c r="D160" s="168"/>
      <c r="E160" s="170">
        <f>Données!AF160+Données!AG160+Données!AH160</f>
        <v>0</v>
      </c>
      <c r="F160" s="168">
        <f t="shared" si="17"/>
        <v>64570.744615384618</v>
      </c>
      <c r="G160" s="8">
        <f t="shared" si="18"/>
        <v>0</v>
      </c>
      <c r="H160" s="234">
        <f t="shared" si="19"/>
        <v>0</v>
      </c>
      <c r="J160" s="8">
        <f>Données!AN160</f>
        <v>0</v>
      </c>
      <c r="K160" s="152">
        <f t="shared" si="20"/>
        <v>8071.3430769230772</v>
      </c>
      <c r="L160" s="12">
        <f t="shared" si="21"/>
        <v>0</v>
      </c>
      <c r="M160" s="234">
        <f t="shared" si="22"/>
        <v>0</v>
      </c>
      <c r="O160" s="42">
        <f t="shared" si="23"/>
        <v>0</v>
      </c>
      <c r="P160" s="196"/>
      <c r="Q160" s="162"/>
      <c r="R160" s="162"/>
      <c r="S160" s="162"/>
      <c r="T160" s="162"/>
      <c r="U160" s="162"/>
      <c r="AF160" s="11"/>
      <c r="AG160" s="11"/>
      <c r="AH160" s="11"/>
      <c r="AI160" s="11"/>
      <c r="AJ160" s="11"/>
      <c r="AK160" s="11"/>
      <c r="AL160" s="11"/>
    </row>
    <row r="161" spans="1:38" x14ac:dyDescent="0.25">
      <c r="A161" s="38">
        <f>+Données!A161</f>
        <v>5673</v>
      </c>
      <c r="B161" s="181" t="str">
        <f>+Données!B161</f>
        <v>Hermenches</v>
      </c>
      <c r="C161" s="170">
        <f>+Ecrêtage!C161</f>
        <v>11048.340272108846</v>
      </c>
      <c r="D161" s="168"/>
      <c r="E161" s="170">
        <f>Données!AF161+Données!AG161+Données!AH161</f>
        <v>0</v>
      </c>
      <c r="F161" s="168">
        <f t="shared" si="17"/>
        <v>88386.722176870768</v>
      </c>
      <c r="G161" s="8">
        <f t="shared" si="18"/>
        <v>0</v>
      </c>
      <c r="H161" s="234">
        <f t="shared" si="19"/>
        <v>0</v>
      </c>
      <c r="J161" s="8">
        <f>Données!AN161</f>
        <v>0</v>
      </c>
      <c r="K161" s="152">
        <f t="shared" si="20"/>
        <v>11048.340272108846</v>
      </c>
      <c r="L161" s="12">
        <f t="shared" si="21"/>
        <v>0</v>
      </c>
      <c r="M161" s="234">
        <f t="shared" si="22"/>
        <v>0</v>
      </c>
      <c r="O161" s="42">
        <f t="shared" si="23"/>
        <v>0</v>
      </c>
      <c r="P161" s="196"/>
      <c r="Q161" s="162"/>
      <c r="R161" s="162"/>
      <c r="S161" s="162"/>
      <c r="T161" s="162"/>
      <c r="U161" s="162"/>
      <c r="AF161" s="11"/>
      <c r="AG161" s="11"/>
      <c r="AH161" s="11"/>
      <c r="AI161" s="11"/>
      <c r="AJ161" s="11"/>
      <c r="AK161" s="11"/>
      <c r="AL161" s="11"/>
    </row>
    <row r="162" spans="1:38" x14ac:dyDescent="0.25">
      <c r="A162" s="38">
        <f>+Données!A162</f>
        <v>5674</v>
      </c>
      <c r="B162" s="181" t="str">
        <f>+Données!B162</f>
        <v>Lovatens</v>
      </c>
      <c r="C162" s="170">
        <f>+Ecrêtage!C162</f>
        <v>4104.2373333333326</v>
      </c>
      <c r="D162" s="168"/>
      <c r="E162" s="170">
        <f>Données!AF162+Données!AG162+Données!AH162</f>
        <v>0</v>
      </c>
      <c r="F162" s="168">
        <f t="shared" si="17"/>
        <v>32833.898666666661</v>
      </c>
      <c r="G162" s="8">
        <f t="shared" si="18"/>
        <v>0</v>
      </c>
      <c r="H162" s="234">
        <f t="shared" si="19"/>
        <v>0</v>
      </c>
      <c r="J162" s="8">
        <f>Données!AN162</f>
        <v>0</v>
      </c>
      <c r="K162" s="152">
        <f t="shared" si="20"/>
        <v>4104.2373333333326</v>
      </c>
      <c r="L162" s="12">
        <f t="shared" si="21"/>
        <v>0</v>
      </c>
      <c r="M162" s="234">
        <f t="shared" si="22"/>
        <v>0</v>
      </c>
      <c r="O162" s="42">
        <f t="shared" si="23"/>
        <v>0</v>
      </c>
      <c r="P162" s="196"/>
      <c r="Q162" s="162"/>
      <c r="R162" s="162"/>
      <c r="S162" s="162"/>
      <c r="T162" s="162"/>
      <c r="U162" s="162"/>
      <c r="AF162" s="11"/>
      <c r="AG162" s="11"/>
      <c r="AH162" s="11"/>
      <c r="AI162" s="11"/>
      <c r="AJ162" s="11"/>
      <c r="AK162" s="11"/>
      <c r="AL162" s="11"/>
    </row>
    <row r="163" spans="1:38" x14ac:dyDescent="0.25">
      <c r="A163" s="38">
        <f>+Données!A163</f>
        <v>5675</v>
      </c>
      <c r="B163" s="181" t="str">
        <f>+Données!B163</f>
        <v>Lucens</v>
      </c>
      <c r="C163" s="170">
        <f>+Ecrêtage!C163</f>
        <v>97920.060444735136</v>
      </c>
      <c r="D163" s="168"/>
      <c r="E163" s="170">
        <f>Données!AF163+Données!AG163+Données!AH163</f>
        <v>0</v>
      </c>
      <c r="F163" s="168">
        <f t="shared" si="17"/>
        <v>783360.48355788109</v>
      </c>
      <c r="G163" s="8">
        <f t="shared" si="18"/>
        <v>0</v>
      </c>
      <c r="H163" s="234">
        <f t="shared" si="19"/>
        <v>0</v>
      </c>
      <c r="J163" s="8">
        <f>Données!AN163</f>
        <v>0</v>
      </c>
      <c r="K163" s="152">
        <f t="shared" si="20"/>
        <v>97920.060444735136</v>
      </c>
      <c r="L163" s="12">
        <f t="shared" si="21"/>
        <v>0</v>
      </c>
      <c r="M163" s="234">
        <f t="shared" si="22"/>
        <v>0</v>
      </c>
      <c r="O163" s="42">
        <f t="shared" si="23"/>
        <v>0</v>
      </c>
      <c r="P163" s="196"/>
      <c r="Q163" s="162"/>
      <c r="R163" s="162"/>
      <c r="S163" s="162"/>
      <c r="T163" s="162"/>
      <c r="U163" s="162"/>
      <c r="AF163" s="11"/>
      <c r="AG163" s="11"/>
      <c r="AH163" s="11"/>
      <c r="AI163" s="11"/>
      <c r="AJ163" s="11"/>
      <c r="AK163" s="11"/>
      <c r="AL163" s="11"/>
    </row>
    <row r="164" spans="1:38" x14ac:dyDescent="0.25">
      <c r="A164" s="38">
        <f>+Données!A164</f>
        <v>5678</v>
      </c>
      <c r="B164" s="181" t="str">
        <f>+Données!B164</f>
        <v>Moudon</v>
      </c>
      <c r="C164" s="170">
        <f>+Ecrêtage!C164</f>
        <v>133786.12827586205</v>
      </c>
      <c r="D164" s="168"/>
      <c r="E164" s="170">
        <f>Données!AF164+Données!AG164+Données!AH164</f>
        <v>0</v>
      </c>
      <c r="F164" s="168">
        <f t="shared" si="17"/>
        <v>1070289.0262068964</v>
      </c>
      <c r="G164" s="8">
        <f t="shared" si="18"/>
        <v>0</v>
      </c>
      <c r="H164" s="234">
        <f t="shared" si="19"/>
        <v>0</v>
      </c>
      <c r="J164" s="8">
        <f>Données!AN164</f>
        <v>0</v>
      </c>
      <c r="K164" s="152">
        <f t="shared" si="20"/>
        <v>133786.12827586205</v>
      </c>
      <c r="L164" s="12">
        <f t="shared" si="21"/>
        <v>0</v>
      </c>
      <c r="M164" s="234">
        <f t="shared" si="22"/>
        <v>0</v>
      </c>
      <c r="O164" s="42">
        <f t="shared" si="23"/>
        <v>0</v>
      </c>
      <c r="P164" s="196"/>
      <c r="Q164" s="162"/>
      <c r="R164" s="162"/>
      <c r="S164" s="162"/>
      <c r="T164" s="162"/>
      <c r="U164" s="162"/>
      <c r="AF164" s="11"/>
      <c r="AG164" s="11"/>
      <c r="AH164" s="11"/>
      <c r="AI164" s="11"/>
      <c r="AJ164" s="11"/>
      <c r="AK164" s="11"/>
      <c r="AL164" s="11"/>
    </row>
    <row r="165" spans="1:38" x14ac:dyDescent="0.25">
      <c r="A165" s="38">
        <f>+Données!A165</f>
        <v>5680</v>
      </c>
      <c r="B165" s="181" t="str">
        <f>+Données!B165</f>
        <v>Ogens</v>
      </c>
      <c r="C165" s="170">
        <f>+Ecrêtage!C165</f>
        <v>7909.509316239315</v>
      </c>
      <c r="D165" s="168"/>
      <c r="E165" s="170">
        <f>Données!AF165+Données!AG165+Données!AH165</f>
        <v>0</v>
      </c>
      <c r="F165" s="168">
        <f t="shared" si="17"/>
        <v>63276.07452991452</v>
      </c>
      <c r="G165" s="8">
        <f t="shared" si="18"/>
        <v>0</v>
      </c>
      <c r="H165" s="234">
        <f t="shared" si="19"/>
        <v>0</v>
      </c>
      <c r="J165" s="8">
        <f>Données!AN165</f>
        <v>0</v>
      </c>
      <c r="K165" s="152">
        <f t="shared" si="20"/>
        <v>7909.509316239315</v>
      </c>
      <c r="L165" s="12">
        <f t="shared" si="21"/>
        <v>0</v>
      </c>
      <c r="M165" s="234">
        <f t="shared" si="22"/>
        <v>0</v>
      </c>
      <c r="O165" s="42">
        <f t="shared" si="23"/>
        <v>0</v>
      </c>
      <c r="P165" s="196"/>
      <c r="Q165" s="162"/>
      <c r="R165" s="162"/>
      <c r="S165" s="162"/>
      <c r="T165" s="162"/>
      <c r="U165" s="162"/>
      <c r="AF165" s="11"/>
      <c r="AG165" s="11"/>
      <c r="AH165" s="11"/>
      <c r="AI165" s="11"/>
      <c r="AJ165" s="11"/>
      <c r="AK165" s="11"/>
      <c r="AL165" s="11"/>
    </row>
    <row r="166" spans="1:38" x14ac:dyDescent="0.25">
      <c r="A166" s="38">
        <f>+Données!A166</f>
        <v>5683</v>
      </c>
      <c r="B166" s="181" t="str">
        <f>+Données!B166</f>
        <v>Prévonloup</v>
      </c>
      <c r="C166" s="170">
        <f>+Ecrêtage!C166</f>
        <v>6488.9761379310348</v>
      </c>
      <c r="D166" s="168"/>
      <c r="E166" s="170">
        <f>Données!AF166+Données!AG166+Données!AH166</f>
        <v>0</v>
      </c>
      <c r="F166" s="168">
        <f t="shared" si="17"/>
        <v>51911.809103448279</v>
      </c>
      <c r="G166" s="8">
        <f t="shared" si="18"/>
        <v>0</v>
      </c>
      <c r="H166" s="234">
        <f t="shared" si="19"/>
        <v>0</v>
      </c>
      <c r="J166" s="8">
        <f>Données!AN166</f>
        <v>0</v>
      </c>
      <c r="K166" s="152">
        <f t="shared" si="20"/>
        <v>6488.9761379310348</v>
      </c>
      <c r="L166" s="12">
        <f t="shared" si="21"/>
        <v>0</v>
      </c>
      <c r="M166" s="234">
        <f t="shared" si="22"/>
        <v>0</v>
      </c>
      <c r="O166" s="42">
        <f t="shared" si="23"/>
        <v>0</v>
      </c>
      <c r="P166" s="196"/>
      <c r="Q166" s="162"/>
      <c r="R166" s="162"/>
      <c r="S166" s="162"/>
      <c r="T166" s="162"/>
      <c r="U166" s="162"/>
      <c r="AF166" s="11"/>
      <c r="AG166" s="11"/>
      <c r="AH166" s="11"/>
      <c r="AI166" s="11"/>
      <c r="AJ166" s="11"/>
      <c r="AK166" s="11"/>
      <c r="AL166" s="11"/>
    </row>
    <row r="167" spans="1:38" x14ac:dyDescent="0.25">
      <c r="A167" s="38">
        <f>+Données!A167</f>
        <v>5684</v>
      </c>
      <c r="B167" s="181" t="str">
        <f>+Données!B167</f>
        <v>Rossenges</v>
      </c>
      <c r="C167" s="170">
        <f>+Ecrêtage!C167</f>
        <v>5023.6746428571432</v>
      </c>
      <c r="D167" s="168"/>
      <c r="E167" s="170">
        <f>Données!AF167+Données!AG167+Données!AH167</f>
        <v>0</v>
      </c>
      <c r="F167" s="168">
        <f t="shared" si="17"/>
        <v>40189.397142857146</v>
      </c>
      <c r="G167" s="8">
        <f t="shared" si="18"/>
        <v>0</v>
      </c>
      <c r="H167" s="234">
        <f t="shared" si="19"/>
        <v>0</v>
      </c>
      <c r="J167" s="8">
        <f>Données!AN167</f>
        <v>0</v>
      </c>
      <c r="K167" s="152">
        <f t="shared" si="20"/>
        <v>5023.6746428571432</v>
      </c>
      <c r="L167" s="12">
        <f t="shared" si="21"/>
        <v>0</v>
      </c>
      <c r="M167" s="234">
        <f t="shared" si="22"/>
        <v>0</v>
      </c>
      <c r="O167" s="42">
        <f t="shared" si="23"/>
        <v>0</v>
      </c>
      <c r="P167" s="196"/>
      <c r="Q167" s="162"/>
      <c r="R167" s="162"/>
      <c r="S167" s="162"/>
      <c r="T167" s="162"/>
      <c r="U167" s="162"/>
      <c r="AF167" s="11"/>
      <c r="AG167" s="11"/>
      <c r="AH167" s="11"/>
      <c r="AI167" s="11"/>
      <c r="AJ167" s="11"/>
      <c r="AK167" s="11"/>
      <c r="AL167" s="11"/>
    </row>
    <row r="168" spans="1:38" x14ac:dyDescent="0.25">
      <c r="A168" s="38">
        <f>+Données!A168</f>
        <v>5688</v>
      </c>
      <c r="B168" s="181" t="str">
        <f>+Données!B168</f>
        <v>Syens</v>
      </c>
      <c r="C168" s="170">
        <f>+Ecrêtage!C168</f>
        <v>5225.3353846153841</v>
      </c>
      <c r="D168" s="168"/>
      <c r="E168" s="170">
        <f>Données!AF168+Données!AG168+Données!AH168</f>
        <v>0</v>
      </c>
      <c r="F168" s="168">
        <f t="shared" si="17"/>
        <v>41802.683076923073</v>
      </c>
      <c r="G168" s="8">
        <f t="shared" si="18"/>
        <v>0</v>
      </c>
      <c r="H168" s="234">
        <f t="shared" si="19"/>
        <v>0</v>
      </c>
      <c r="J168" s="8">
        <f>Données!AN168</f>
        <v>0</v>
      </c>
      <c r="K168" s="152">
        <f t="shared" si="20"/>
        <v>5225.3353846153841</v>
      </c>
      <c r="L168" s="12">
        <f t="shared" si="21"/>
        <v>0</v>
      </c>
      <c r="M168" s="234">
        <f t="shared" si="22"/>
        <v>0</v>
      </c>
      <c r="O168" s="42">
        <f t="shared" si="23"/>
        <v>0</v>
      </c>
      <c r="P168" s="196"/>
      <c r="Q168" s="162"/>
      <c r="R168" s="162"/>
      <c r="S168" s="162"/>
      <c r="T168" s="162"/>
      <c r="U168" s="162"/>
      <c r="AF168" s="11"/>
      <c r="AG168" s="11"/>
      <c r="AH168" s="11"/>
      <c r="AI168" s="11"/>
      <c r="AJ168" s="11"/>
      <c r="AK168" s="11"/>
      <c r="AL168" s="11"/>
    </row>
    <row r="169" spans="1:38" x14ac:dyDescent="0.25">
      <c r="A169" s="38">
        <f>+Données!A169</f>
        <v>5690</v>
      </c>
      <c r="B169" s="181" t="str">
        <f>+Données!B169</f>
        <v>Villars-le-Comte</v>
      </c>
      <c r="C169" s="170">
        <f>+Ecrêtage!C169</f>
        <v>4383.2226470588239</v>
      </c>
      <c r="D169" s="168"/>
      <c r="E169" s="170">
        <f>Données!AF169+Données!AG169+Données!AH169</f>
        <v>0</v>
      </c>
      <c r="F169" s="168">
        <f t="shared" si="17"/>
        <v>35065.781176470591</v>
      </c>
      <c r="G169" s="8">
        <f t="shared" si="18"/>
        <v>0</v>
      </c>
      <c r="H169" s="234">
        <f t="shared" si="19"/>
        <v>0</v>
      </c>
      <c r="J169" s="8">
        <f>Données!AN169</f>
        <v>0</v>
      </c>
      <c r="K169" s="152">
        <f t="shared" si="20"/>
        <v>4383.2226470588239</v>
      </c>
      <c r="L169" s="12">
        <f t="shared" si="21"/>
        <v>0</v>
      </c>
      <c r="M169" s="234">
        <f t="shared" si="22"/>
        <v>0</v>
      </c>
      <c r="O169" s="42">
        <f t="shared" si="23"/>
        <v>0</v>
      </c>
      <c r="P169" s="196"/>
      <c r="Q169" s="162"/>
      <c r="R169" s="162"/>
      <c r="S169" s="162"/>
      <c r="T169" s="162"/>
      <c r="U169" s="162"/>
      <c r="AF169" s="11"/>
      <c r="AG169" s="11"/>
      <c r="AH169" s="11"/>
      <c r="AI169" s="11"/>
      <c r="AJ169" s="11"/>
      <c r="AK169" s="11"/>
      <c r="AL169" s="11"/>
    </row>
    <row r="170" spans="1:38" x14ac:dyDescent="0.25">
      <c r="A170" s="38">
        <f>+Données!A170</f>
        <v>5692</v>
      </c>
      <c r="B170" s="181" t="str">
        <f>+Données!B170</f>
        <v>Vucherens</v>
      </c>
      <c r="C170" s="170">
        <f>+Ecrêtage!C170</f>
        <v>18408.334805194805</v>
      </c>
      <c r="D170" s="168"/>
      <c r="E170" s="170">
        <f>Données!AF170+Données!AG170+Données!AH170</f>
        <v>0</v>
      </c>
      <c r="F170" s="168">
        <f t="shared" si="17"/>
        <v>147266.67844155844</v>
      </c>
      <c r="G170" s="8">
        <f t="shared" si="18"/>
        <v>0</v>
      </c>
      <c r="H170" s="234">
        <f t="shared" si="19"/>
        <v>0</v>
      </c>
      <c r="J170" s="8">
        <f>Données!AN170</f>
        <v>0</v>
      </c>
      <c r="K170" s="152">
        <f t="shared" si="20"/>
        <v>18408.334805194805</v>
      </c>
      <c r="L170" s="12">
        <f t="shared" si="21"/>
        <v>0</v>
      </c>
      <c r="M170" s="234">
        <f t="shared" si="22"/>
        <v>0</v>
      </c>
      <c r="O170" s="42">
        <f t="shared" si="23"/>
        <v>0</v>
      </c>
      <c r="P170" s="196"/>
      <c r="Q170" s="162"/>
      <c r="R170" s="162"/>
      <c r="S170" s="162"/>
      <c r="T170" s="162"/>
      <c r="U170" s="162"/>
      <c r="AF170" s="11"/>
      <c r="AG170" s="11"/>
      <c r="AH170" s="11"/>
      <c r="AI170" s="11"/>
      <c r="AJ170" s="11"/>
      <c r="AK170" s="11"/>
      <c r="AL170" s="11"/>
    </row>
    <row r="171" spans="1:38" x14ac:dyDescent="0.25">
      <c r="A171" s="38">
        <f>+Données!A171</f>
        <v>5693</v>
      </c>
      <c r="B171" s="181" t="str">
        <f>+Données!B171</f>
        <v>Montanaire</v>
      </c>
      <c r="C171" s="170">
        <f>+Ecrêtage!C171</f>
        <v>74596.156714285724</v>
      </c>
      <c r="D171" s="168"/>
      <c r="E171" s="170">
        <f>Données!AF171+Données!AG171+Données!AH171</f>
        <v>0</v>
      </c>
      <c r="F171" s="168">
        <f t="shared" si="17"/>
        <v>596769.25371428579</v>
      </c>
      <c r="G171" s="8">
        <f t="shared" si="18"/>
        <v>0</v>
      </c>
      <c r="H171" s="234">
        <f t="shared" si="19"/>
        <v>0</v>
      </c>
      <c r="J171" s="8">
        <f>Données!AN171</f>
        <v>0</v>
      </c>
      <c r="K171" s="152">
        <f t="shared" si="20"/>
        <v>74596.156714285724</v>
      </c>
      <c r="L171" s="12">
        <f t="shared" si="21"/>
        <v>0</v>
      </c>
      <c r="M171" s="234">
        <f t="shared" si="22"/>
        <v>0</v>
      </c>
      <c r="O171" s="42">
        <f t="shared" si="23"/>
        <v>0</v>
      </c>
      <c r="P171" s="196"/>
      <c r="Q171" s="162"/>
      <c r="R171" s="162"/>
      <c r="S171" s="162"/>
      <c r="T171" s="162"/>
      <c r="U171" s="162"/>
      <c r="AF171" s="11"/>
      <c r="AG171" s="11"/>
      <c r="AH171" s="11"/>
      <c r="AI171" s="11"/>
      <c r="AJ171" s="11"/>
      <c r="AK171" s="11"/>
      <c r="AL171" s="11"/>
    </row>
    <row r="172" spans="1:38" x14ac:dyDescent="0.25">
      <c r="A172" s="38">
        <f>+Données!A172</f>
        <v>5701</v>
      </c>
      <c r="B172" s="181" t="str">
        <f>+Données!B172</f>
        <v>Arnex-sur-Nyon</v>
      </c>
      <c r="C172" s="170">
        <f>+Ecrêtage!C172</f>
        <v>14428.628999999999</v>
      </c>
      <c r="D172" s="168"/>
      <c r="E172" s="170">
        <f>Données!AF172+Données!AG172+Données!AH172</f>
        <v>0</v>
      </c>
      <c r="F172" s="168">
        <f t="shared" si="17"/>
        <v>115429.03199999999</v>
      </c>
      <c r="G172" s="8">
        <f t="shared" si="18"/>
        <v>0</v>
      </c>
      <c r="H172" s="234">
        <f t="shared" si="19"/>
        <v>0</v>
      </c>
      <c r="J172" s="8">
        <f>Données!AN172</f>
        <v>0</v>
      </c>
      <c r="K172" s="152">
        <f t="shared" si="20"/>
        <v>14428.628999999999</v>
      </c>
      <c r="L172" s="12">
        <f t="shared" si="21"/>
        <v>0</v>
      </c>
      <c r="M172" s="234">
        <f t="shared" si="22"/>
        <v>0</v>
      </c>
      <c r="O172" s="42">
        <f t="shared" si="23"/>
        <v>0</v>
      </c>
      <c r="P172" s="196"/>
      <c r="Q172" s="162"/>
      <c r="R172" s="162"/>
      <c r="S172" s="162"/>
      <c r="T172" s="162"/>
      <c r="U172" s="162"/>
      <c r="AF172" s="11"/>
      <c r="AG172" s="11"/>
      <c r="AH172" s="11"/>
      <c r="AI172" s="11"/>
      <c r="AJ172" s="11"/>
      <c r="AK172" s="11"/>
      <c r="AL172" s="11"/>
    </row>
    <row r="173" spans="1:38" x14ac:dyDescent="0.25">
      <c r="A173" s="38">
        <f>+Données!A173</f>
        <v>5702</v>
      </c>
      <c r="B173" s="181" t="str">
        <f>+Données!B173</f>
        <v>Arzier-Le Muids</v>
      </c>
      <c r="C173" s="170">
        <f>+Ecrêtage!C173</f>
        <v>188642.38078125002</v>
      </c>
      <c r="D173" s="168"/>
      <c r="E173" s="170">
        <f>Données!AF173+Données!AG173+Données!AH173</f>
        <v>0</v>
      </c>
      <c r="F173" s="168">
        <f t="shared" si="17"/>
        <v>1509139.0462500001</v>
      </c>
      <c r="G173" s="8">
        <f t="shared" si="18"/>
        <v>0</v>
      </c>
      <c r="H173" s="234">
        <f t="shared" si="19"/>
        <v>0</v>
      </c>
      <c r="J173" s="8">
        <f>Données!AN173</f>
        <v>0</v>
      </c>
      <c r="K173" s="152">
        <f t="shared" si="20"/>
        <v>188642.38078125002</v>
      </c>
      <c r="L173" s="12">
        <f t="shared" si="21"/>
        <v>0</v>
      </c>
      <c r="M173" s="234">
        <f t="shared" si="22"/>
        <v>0</v>
      </c>
      <c r="O173" s="42">
        <f t="shared" si="23"/>
        <v>0</v>
      </c>
      <c r="P173" s="196"/>
      <c r="Q173" s="162"/>
      <c r="R173" s="162"/>
      <c r="S173" s="162"/>
      <c r="T173" s="162"/>
      <c r="U173" s="162"/>
      <c r="AF173" s="11"/>
      <c r="AG173" s="11"/>
      <c r="AH173" s="11"/>
      <c r="AI173" s="11"/>
      <c r="AJ173" s="11"/>
      <c r="AK173" s="11"/>
      <c r="AL173" s="11"/>
    </row>
    <row r="174" spans="1:38" x14ac:dyDescent="0.25">
      <c r="A174" s="38">
        <f>+Données!A174</f>
        <v>5703</v>
      </c>
      <c r="B174" s="181" t="str">
        <f>+Données!B174</f>
        <v>Bassins</v>
      </c>
      <c r="C174" s="170">
        <f>+Ecrêtage!C174</f>
        <v>66120.332571428575</v>
      </c>
      <c r="D174" s="168"/>
      <c r="E174" s="170">
        <f>Données!AF174+Données!AG174+Données!AH174</f>
        <v>0</v>
      </c>
      <c r="F174" s="168">
        <f t="shared" si="17"/>
        <v>528962.6605714286</v>
      </c>
      <c r="G174" s="8">
        <f t="shared" si="18"/>
        <v>0</v>
      </c>
      <c r="H174" s="234">
        <f t="shared" si="19"/>
        <v>0</v>
      </c>
      <c r="J174" s="8">
        <f>Données!AN174</f>
        <v>0</v>
      </c>
      <c r="K174" s="152">
        <f t="shared" si="20"/>
        <v>66120.332571428575</v>
      </c>
      <c r="L174" s="12">
        <f t="shared" si="21"/>
        <v>0</v>
      </c>
      <c r="M174" s="234">
        <f t="shared" si="22"/>
        <v>0</v>
      </c>
      <c r="O174" s="42">
        <f t="shared" si="23"/>
        <v>0</v>
      </c>
      <c r="P174" s="196"/>
      <c r="Q174" s="162"/>
      <c r="R174" s="162"/>
      <c r="S174" s="162"/>
      <c r="T174" s="162"/>
      <c r="U174" s="162"/>
      <c r="AF174" s="11"/>
      <c r="AG174" s="11"/>
      <c r="AH174" s="11"/>
      <c r="AI174" s="11"/>
      <c r="AJ174" s="11"/>
      <c r="AK174" s="11"/>
      <c r="AL174" s="11"/>
    </row>
    <row r="175" spans="1:38" x14ac:dyDescent="0.25">
      <c r="A175" s="38">
        <f>+Données!A175</f>
        <v>5704</v>
      </c>
      <c r="B175" s="181" t="str">
        <f>+Données!B175</f>
        <v>Begnins</v>
      </c>
      <c r="C175" s="170">
        <f>+Ecrêtage!C175</f>
        <v>140338.01370666668</v>
      </c>
      <c r="D175" s="168"/>
      <c r="E175" s="170">
        <f>Données!AF175+Données!AG175+Données!AH175</f>
        <v>0</v>
      </c>
      <c r="F175" s="168">
        <f t="shared" si="17"/>
        <v>1122704.1096533334</v>
      </c>
      <c r="G175" s="8">
        <f t="shared" si="18"/>
        <v>0</v>
      </c>
      <c r="H175" s="234">
        <f t="shared" si="19"/>
        <v>0</v>
      </c>
      <c r="J175" s="8">
        <f>Données!AN175</f>
        <v>0</v>
      </c>
      <c r="K175" s="152">
        <f t="shared" si="20"/>
        <v>140338.01370666668</v>
      </c>
      <c r="L175" s="12">
        <f t="shared" si="21"/>
        <v>0</v>
      </c>
      <c r="M175" s="234">
        <f t="shared" si="22"/>
        <v>0</v>
      </c>
      <c r="O175" s="42">
        <f t="shared" si="23"/>
        <v>0</v>
      </c>
      <c r="P175" s="196"/>
      <c r="Q175" s="162"/>
      <c r="R175" s="162"/>
      <c r="S175" s="162"/>
      <c r="T175" s="162"/>
      <c r="U175" s="162"/>
      <c r="AF175" s="11"/>
      <c r="AG175" s="11"/>
      <c r="AH175" s="11"/>
      <c r="AI175" s="11"/>
      <c r="AJ175" s="11"/>
      <c r="AK175" s="11"/>
      <c r="AL175" s="11"/>
    </row>
    <row r="176" spans="1:38" x14ac:dyDescent="0.25">
      <c r="A176" s="38">
        <f>+Données!A176</f>
        <v>5705</v>
      </c>
      <c r="B176" s="181" t="str">
        <f>+Données!B176</f>
        <v>Bogis-Bossey</v>
      </c>
      <c r="C176" s="170">
        <f>+Ecrêtage!C176</f>
        <v>55817.342916666668</v>
      </c>
      <c r="D176" s="168"/>
      <c r="E176" s="170">
        <f>Données!AF176+Données!AG176+Données!AH176</f>
        <v>0</v>
      </c>
      <c r="F176" s="168">
        <f t="shared" si="17"/>
        <v>446538.74333333335</v>
      </c>
      <c r="G176" s="8">
        <f t="shared" si="18"/>
        <v>0</v>
      </c>
      <c r="H176" s="234">
        <f t="shared" si="19"/>
        <v>0</v>
      </c>
      <c r="J176" s="8">
        <f>Données!AN176</f>
        <v>0</v>
      </c>
      <c r="K176" s="152">
        <f t="shared" si="20"/>
        <v>55817.342916666668</v>
      </c>
      <c r="L176" s="12">
        <f t="shared" si="21"/>
        <v>0</v>
      </c>
      <c r="M176" s="234">
        <f t="shared" si="22"/>
        <v>0</v>
      </c>
      <c r="O176" s="42">
        <f t="shared" si="23"/>
        <v>0</v>
      </c>
      <c r="P176" s="196"/>
      <c r="Q176" s="162"/>
      <c r="R176" s="162"/>
      <c r="S176" s="162"/>
      <c r="T176" s="162"/>
      <c r="U176" s="162"/>
      <c r="AF176" s="11"/>
      <c r="AG176" s="11"/>
      <c r="AH176" s="11"/>
      <c r="AI176" s="11"/>
      <c r="AJ176" s="11"/>
      <c r="AK176" s="11"/>
      <c r="AL176" s="11"/>
    </row>
    <row r="177" spans="1:38" x14ac:dyDescent="0.25">
      <c r="A177" s="38">
        <f>+Données!A177</f>
        <v>5706</v>
      </c>
      <c r="B177" s="181" t="str">
        <f>+Données!B177</f>
        <v>Borex</v>
      </c>
      <c r="C177" s="170">
        <f>+Ecrêtage!C177</f>
        <v>71534.631578947388</v>
      </c>
      <c r="D177" s="168"/>
      <c r="E177" s="170">
        <f>Données!AF177+Données!AG177+Données!AH177</f>
        <v>0</v>
      </c>
      <c r="F177" s="168">
        <f t="shared" si="17"/>
        <v>572277.05263157911</v>
      </c>
      <c r="G177" s="8">
        <f t="shared" si="18"/>
        <v>0</v>
      </c>
      <c r="H177" s="234">
        <f t="shared" si="19"/>
        <v>0</v>
      </c>
      <c r="J177" s="8">
        <f>Données!AN177</f>
        <v>0</v>
      </c>
      <c r="K177" s="152">
        <f t="shared" si="20"/>
        <v>71534.631578947388</v>
      </c>
      <c r="L177" s="12">
        <f t="shared" si="21"/>
        <v>0</v>
      </c>
      <c r="M177" s="234">
        <f t="shared" si="22"/>
        <v>0</v>
      </c>
      <c r="O177" s="42">
        <f t="shared" si="23"/>
        <v>0</v>
      </c>
      <c r="P177" s="196"/>
      <c r="Q177" s="162"/>
      <c r="R177" s="162"/>
      <c r="S177" s="162"/>
      <c r="T177" s="162"/>
      <c r="U177" s="162"/>
      <c r="AF177" s="11"/>
      <c r="AG177" s="11"/>
      <c r="AH177" s="11"/>
      <c r="AI177" s="11"/>
      <c r="AJ177" s="11"/>
      <c r="AK177" s="11"/>
      <c r="AL177" s="11"/>
    </row>
    <row r="178" spans="1:38" x14ac:dyDescent="0.25">
      <c r="A178" s="38">
        <f>+Données!A178</f>
        <v>5707</v>
      </c>
      <c r="B178" s="181" t="str">
        <f>+Données!B178</f>
        <v>Chavannes-de-Bogis</v>
      </c>
      <c r="C178" s="170">
        <f>+Ecrêtage!C178</f>
        <v>92416.422643678146</v>
      </c>
      <c r="D178" s="168"/>
      <c r="E178" s="170">
        <f>Données!AF178+Données!AG178+Données!AH178</f>
        <v>0</v>
      </c>
      <c r="F178" s="168">
        <f t="shared" si="17"/>
        <v>739331.38114942517</v>
      </c>
      <c r="G178" s="8">
        <f t="shared" si="18"/>
        <v>0</v>
      </c>
      <c r="H178" s="234">
        <f t="shared" si="19"/>
        <v>0</v>
      </c>
      <c r="J178" s="8">
        <f>Données!AN178</f>
        <v>0</v>
      </c>
      <c r="K178" s="152">
        <f t="shared" si="20"/>
        <v>92416.422643678146</v>
      </c>
      <c r="L178" s="12">
        <f t="shared" si="21"/>
        <v>0</v>
      </c>
      <c r="M178" s="234">
        <f t="shared" si="22"/>
        <v>0</v>
      </c>
      <c r="O178" s="42">
        <f t="shared" si="23"/>
        <v>0</v>
      </c>
      <c r="P178" s="196"/>
      <c r="Q178" s="162"/>
      <c r="R178" s="162"/>
      <c r="S178" s="162"/>
      <c r="T178" s="162"/>
      <c r="U178" s="162"/>
      <c r="AF178" s="11"/>
      <c r="AG178" s="11"/>
      <c r="AH178" s="11"/>
      <c r="AI178" s="11"/>
      <c r="AJ178" s="11"/>
      <c r="AK178" s="11"/>
      <c r="AL178" s="11"/>
    </row>
    <row r="179" spans="1:38" x14ac:dyDescent="0.25">
      <c r="A179" s="38">
        <f>+Données!A179</f>
        <v>5708</v>
      </c>
      <c r="B179" s="181" t="str">
        <f>+Données!B179</f>
        <v>Chavannes-des-Bois</v>
      </c>
      <c r="C179" s="170">
        <f>+Ecrêtage!C179</f>
        <v>78320.692500000005</v>
      </c>
      <c r="D179" s="168"/>
      <c r="E179" s="170">
        <f>Données!AF179+Données!AG179+Données!AH179</f>
        <v>0</v>
      </c>
      <c r="F179" s="168">
        <f t="shared" si="17"/>
        <v>626565.54</v>
      </c>
      <c r="G179" s="8">
        <f t="shared" si="18"/>
        <v>0</v>
      </c>
      <c r="H179" s="234">
        <f t="shared" si="19"/>
        <v>0</v>
      </c>
      <c r="J179" s="8">
        <f>Données!AN179</f>
        <v>0</v>
      </c>
      <c r="K179" s="152">
        <f t="shared" si="20"/>
        <v>78320.692500000005</v>
      </c>
      <c r="L179" s="12">
        <f t="shared" si="21"/>
        <v>0</v>
      </c>
      <c r="M179" s="234">
        <f t="shared" si="22"/>
        <v>0</v>
      </c>
      <c r="O179" s="42">
        <f t="shared" si="23"/>
        <v>0</v>
      </c>
      <c r="P179" s="196"/>
      <c r="Q179" s="162"/>
      <c r="R179" s="162"/>
      <c r="S179" s="162"/>
      <c r="T179" s="162"/>
      <c r="U179" s="162"/>
      <c r="AF179" s="11"/>
      <c r="AG179" s="11"/>
      <c r="AH179" s="11"/>
      <c r="AI179" s="11"/>
      <c r="AJ179" s="11"/>
      <c r="AK179" s="11"/>
      <c r="AL179" s="11"/>
    </row>
    <row r="180" spans="1:38" x14ac:dyDescent="0.25">
      <c r="A180" s="38">
        <f>+Données!A180</f>
        <v>5709</v>
      </c>
      <c r="B180" s="181" t="str">
        <f>+Données!B180</f>
        <v>Chéserex</v>
      </c>
      <c r="C180" s="170">
        <f>+Ecrêtage!C180</f>
        <v>110451.70315789471</v>
      </c>
      <c r="D180" s="168"/>
      <c r="E180" s="170">
        <f>Données!AF180+Données!AG180+Données!AH180</f>
        <v>0</v>
      </c>
      <c r="F180" s="168">
        <f t="shared" si="17"/>
        <v>883613.62526315765</v>
      </c>
      <c r="G180" s="8">
        <f t="shared" si="18"/>
        <v>0</v>
      </c>
      <c r="H180" s="234">
        <f t="shared" si="19"/>
        <v>0</v>
      </c>
      <c r="J180" s="8">
        <f>Données!AN180</f>
        <v>0</v>
      </c>
      <c r="K180" s="152">
        <f t="shared" si="20"/>
        <v>110451.70315789471</v>
      </c>
      <c r="L180" s="12">
        <f t="shared" si="21"/>
        <v>0</v>
      </c>
      <c r="M180" s="234">
        <f t="shared" si="22"/>
        <v>0</v>
      </c>
      <c r="O180" s="42">
        <f t="shared" si="23"/>
        <v>0</v>
      </c>
      <c r="P180" s="196"/>
      <c r="Q180" s="162"/>
      <c r="R180" s="162"/>
      <c r="S180" s="162"/>
      <c r="T180" s="162"/>
      <c r="U180" s="162"/>
      <c r="AF180" s="11"/>
      <c r="AG180" s="11"/>
      <c r="AH180" s="11"/>
      <c r="AI180" s="11"/>
      <c r="AJ180" s="11"/>
      <c r="AK180" s="11"/>
      <c r="AL180" s="11"/>
    </row>
    <row r="181" spans="1:38" x14ac:dyDescent="0.25">
      <c r="A181" s="38">
        <f>+Données!A181</f>
        <v>5710</v>
      </c>
      <c r="B181" s="181" t="str">
        <f>+Données!B181</f>
        <v>Coinsins</v>
      </c>
      <c r="C181" s="170">
        <f>+Ecrêtage!C181</f>
        <v>31247.070588235296</v>
      </c>
      <c r="D181" s="168"/>
      <c r="E181" s="170">
        <f>Données!AF181+Données!AG181+Données!AH181</f>
        <v>0</v>
      </c>
      <c r="F181" s="168">
        <f t="shared" si="17"/>
        <v>249976.56470588237</v>
      </c>
      <c r="G181" s="8">
        <f t="shared" si="18"/>
        <v>0</v>
      </c>
      <c r="H181" s="234">
        <f t="shared" si="19"/>
        <v>0</v>
      </c>
      <c r="J181" s="8">
        <f>Données!AN181</f>
        <v>0</v>
      </c>
      <c r="K181" s="152">
        <f t="shared" si="20"/>
        <v>31247.070588235296</v>
      </c>
      <c r="L181" s="12">
        <f t="shared" si="21"/>
        <v>0</v>
      </c>
      <c r="M181" s="234">
        <f t="shared" si="22"/>
        <v>0</v>
      </c>
      <c r="O181" s="42">
        <f t="shared" si="23"/>
        <v>0</v>
      </c>
      <c r="P181" s="196"/>
      <c r="Q181" s="162"/>
      <c r="R181" s="162"/>
      <c r="S181" s="162"/>
      <c r="T181" s="162"/>
      <c r="U181" s="162"/>
      <c r="AF181" s="11"/>
      <c r="AG181" s="11"/>
      <c r="AH181" s="11"/>
      <c r="AI181" s="11"/>
      <c r="AJ181" s="11"/>
      <c r="AK181" s="11"/>
      <c r="AL181" s="11"/>
    </row>
    <row r="182" spans="1:38" x14ac:dyDescent="0.25">
      <c r="A182" s="38">
        <f>+Données!A182</f>
        <v>5711</v>
      </c>
      <c r="B182" s="181" t="str">
        <f>+Données!B182</f>
        <v>Commugny</v>
      </c>
      <c r="C182" s="170">
        <f>+Ecrêtage!C182</f>
        <v>264202.11623481783</v>
      </c>
      <c r="D182" s="168"/>
      <c r="E182" s="170">
        <f>Données!AF182+Données!AG182+Données!AH182</f>
        <v>0</v>
      </c>
      <c r="F182" s="168">
        <f t="shared" si="17"/>
        <v>2113616.9298785427</v>
      </c>
      <c r="G182" s="8">
        <f t="shared" si="18"/>
        <v>0</v>
      </c>
      <c r="H182" s="234">
        <f t="shared" si="19"/>
        <v>0</v>
      </c>
      <c r="J182" s="8">
        <f>Données!AN182</f>
        <v>0</v>
      </c>
      <c r="K182" s="152">
        <f t="shared" si="20"/>
        <v>264202.11623481783</v>
      </c>
      <c r="L182" s="12">
        <f t="shared" si="21"/>
        <v>0</v>
      </c>
      <c r="M182" s="234">
        <f t="shared" si="22"/>
        <v>0</v>
      </c>
      <c r="O182" s="42">
        <f t="shared" si="23"/>
        <v>0</v>
      </c>
      <c r="P182" s="196"/>
      <c r="Q182" s="162"/>
      <c r="R182" s="162"/>
      <c r="S182" s="162"/>
      <c r="T182" s="162"/>
      <c r="U182" s="162"/>
      <c r="AF182" s="11"/>
      <c r="AG182" s="11"/>
      <c r="AH182" s="11"/>
      <c r="AI182" s="11"/>
      <c r="AJ182" s="11"/>
      <c r="AK182" s="11"/>
      <c r="AL182" s="11"/>
    </row>
    <row r="183" spans="1:38" x14ac:dyDescent="0.25">
      <c r="A183" s="38">
        <f>+Données!A183</f>
        <v>5712</v>
      </c>
      <c r="B183" s="181" t="str">
        <f>+Données!B183</f>
        <v>Coppet</v>
      </c>
      <c r="C183" s="170">
        <f>+Ecrêtage!C183</f>
        <v>381890.66242424241</v>
      </c>
      <c r="D183" s="168"/>
      <c r="E183" s="170">
        <f>Données!AF183+Données!AG183+Données!AH183</f>
        <v>0</v>
      </c>
      <c r="F183" s="168">
        <f t="shared" si="17"/>
        <v>3055125.2993939393</v>
      </c>
      <c r="G183" s="8">
        <f t="shared" si="18"/>
        <v>0</v>
      </c>
      <c r="H183" s="234">
        <f t="shared" si="19"/>
        <v>0</v>
      </c>
      <c r="J183" s="8">
        <f>Données!AN183</f>
        <v>0</v>
      </c>
      <c r="K183" s="152">
        <f t="shared" si="20"/>
        <v>381890.66242424241</v>
      </c>
      <c r="L183" s="12">
        <f t="shared" si="21"/>
        <v>0</v>
      </c>
      <c r="M183" s="234">
        <f t="shared" si="22"/>
        <v>0</v>
      </c>
      <c r="O183" s="42">
        <f t="shared" si="23"/>
        <v>0</v>
      </c>
      <c r="P183" s="196"/>
      <c r="Q183" s="162"/>
      <c r="R183" s="162"/>
      <c r="S183" s="162"/>
      <c r="T183" s="162"/>
      <c r="U183" s="162"/>
      <c r="AF183" s="11"/>
      <c r="AG183" s="11"/>
      <c r="AH183" s="11"/>
      <c r="AI183" s="11"/>
      <c r="AJ183" s="11"/>
      <c r="AK183" s="11"/>
      <c r="AL183" s="11"/>
    </row>
    <row r="184" spans="1:38" x14ac:dyDescent="0.25">
      <c r="A184" s="38">
        <f>+Données!A184</f>
        <v>5713</v>
      </c>
      <c r="B184" s="181" t="str">
        <f>+Données!B184</f>
        <v>Crans</v>
      </c>
      <c r="C184" s="170">
        <f>+Ecrêtage!C184</f>
        <v>303238.4722033898</v>
      </c>
      <c r="D184" s="168"/>
      <c r="E184" s="170">
        <f>Données!AF184+Données!AG184+Données!AH184</f>
        <v>0</v>
      </c>
      <c r="F184" s="168">
        <f t="shared" si="17"/>
        <v>2425907.7776271184</v>
      </c>
      <c r="G184" s="8">
        <f t="shared" si="18"/>
        <v>0</v>
      </c>
      <c r="H184" s="234">
        <f t="shared" si="19"/>
        <v>0</v>
      </c>
      <c r="J184" s="8">
        <f>Données!AN184</f>
        <v>0</v>
      </c>
      <c r="K184" s="152">
        <f t="shared" si="20"/>
        <v>303238.4722033898</v>
      </c>
      <c r="L184" s="12">
        <f t="shared" si="21"/>
        <v>0</v>
      </c>
      <c r="M184" s="234">
        <f t="shared" si="22"/>
        <v>0</v>
      </c>
      <c r="O184" s="42">
        <f t="shared" si="23"/>
        <v>0</v>
      </c>
      <c r="P184" s="196"/>
      <c r="Q184" s="162"/>
      <c r="R184" s="162"/>
      <c r="S184" s="162"/>
      <c r="T184" s="162"/>
      <c r="U184" s="162"/>
      <c r="AF184" s="11"/>
      <c r="AG184" s="11"/>
      <c r="AH184" s="11"/>
      <c r="AI184" s="11"/>
      <c r="AJ184" s="11"/>
      <c r="AK184" s="11"/>
      <c r="AL184" s="11"/>
    </row>
    <row r="185" spans="1:38" x14ac:dyDescent="0.25">
      <c r="A185" s="38">
        <f>+Données!A185</f>
        <v>5714</v>
      </c>
      <c r="B185" s="181" t="str">
        <f>+Données!B185</f>
        <v>Crassier</v>
      </c>
      <c r="C185" s="170">
        <f>+Ecrêtage!C185</f>
        <v>66120.939097744369</v>
      </c>
      <c r="D185" s="168"/>
      <c r="E185" s="170">
        <f>Données!AF185+Données!AG185+Données!AH185</f>
        <v>0</v>
      </c>
      <c r="F185" s="168">
        <f t="shared" si="17"/>
        <v>528967.51278195495</v>
      </c>
      <c r="G185" s="8">
        <f t="shared" si="18"/>
        <v>0</v>
      </c>
      <c r="H185" s="234">
        <f t="shared" si="19"/>
        <v>0</v>
      </c>
      <c r="J185" s="8">
        <f>Données!AN185</f>
        <v>0</v>
      </c>
      <c r="K185" s="152">
        <f t="shared" si="20"/>
        <v>66120.939097744369</v>
      </c>
      <c r="L185" s="12">
        <f t="shared" si="21"/>
        <v>0</v>
      </c>
      <c r="M185" s="234">
        <f t="shared" si="22"/>
        <v>0</v>
      </c>
      <c r="O185" s="42">
        <f t="shared" si="23"/>
        <v>0</v>
      </c>
      <c r="P185" s="196"/>
      <c r="Q185" s="162"/>
      <c r="R185" s="162"/>
      <c r="S185" s="162"/>
      <c r="T185" s="162"/>
      <c r="U185" s="162"/>
      <c r="AF185" s="11"/>
      <c r="AG185" s="11"/>
      <c r="AH185" s="11"/>
      <c r="AI185" s="11"/>
      <c r="AJ185" s="11"/>
      <c r="AK185" s="11"/>
      <c r="AL185" s="11"/>
    </row>
    <row r="186" spans="1:38" x14ac:dyDescent="0.25">
      <c r="A186" s="38">
        <f>+Données!A186</f>
        <v>5715</v>
      </c>
      <c r="B186" s="181" t="str">
        <f>+Données!B186</f>
        <v>Duillier</v>
      </c>
      <c r="C186" s="170">
        <f>+Ecrêtage!C186</f>
        <v>62085.974545454548</v>
      </c>
      <c r="D186" s="168"/>
      <c r="E186" s="170">
        <f>Données!AF186+Données!AG186+Données!AH186</f>
        <v>0</v>
      </c>
      <c r="F186" s="168">
        <f t="shared" si="17"/>
        <v>496687.79636363639</v>
      </c>
      <c r="G186" s="8">
        <f t="shared" si="18"/>
        <v>0</v>
      </c>
      <c r="H186" s="234">
        <f t="shared" si="19"/>
        <v>0</v>
      </c>
      <c r="J186" s="8">
        <f>Données!AN186</f>
        <v>0</v>
      </c>
      <c r="K186" s="152">
        <f t="shared" si="20"/>
        <v>62085.974545454548</v>
      </c>
      <c r="L186" s="12">
        <f t="shared" si="21"/>
        <v>0</v>
      </c>
      <c r="M186" s="234">
        <f t="shared" si="22"/>
        <v>0</v>
      </c>
      <c r="O186" s="42">
        <f t="shared" si="23"/>
        <v>0</v>
      </c>
      <c r="P186" s="196"/>
      <c r="Q186" s="162"/>
      <c r="R186" s="162"/>
      <c r="S186" s="162"/>
      <c r="T186" s="162"/>
      <c r="U186" s="162"/>
      <c r="AF186" s="11"/>
      <c r="AG186" s="11"/>
      <c r="AH186" s="11"/>
      <c r="AI186" s="11"/>
      <c r="AJ186" s="11"/>
      <c r="AK186" s="11"/>
      <c r="AL186" s="11"/>
    </row>
    <row r="187" spans="1:38" x14ac:dyDescent="0.25">
      <c r="A187" s="38">
        <f>+Données!A187</f>
        <v>5716</v>
      </c>
      <c r="B187" s="181" t="str">
        <f>+Données!B187</f>
        <v>Eysins</v>
      </c>
      <c r="C187" s="170">
        <f>+Ecrêtage!C187</f>
        <v>264344.77579831937</v>
      </c>
      <c r="D187" s="168"/>
      <c r="E187" s="170">
        <f>Données!AF187+Données!AG187+Données!AH187</f>
        <v>0</v>
      </c>
      <c r="F187" s="168">
        <f t="shared" si="17"/>
        <v>2114758.206386555</v>
      </c>
      <c r="G187" s="8">
        <f t="shared" si="18"/>
        <v>0</v>
      </c>
      <c r="H187" s="234">
        <f t="shared" si="19"/>
        <v>0</v>
      </c>
      <c r="J187" s="8">
        <f>Données!AN187</f>
        <v>0</v>
      </c>
      <c r="K187" s="152">
        <f t="shared" si="20"/>
        <v>264344.77579831937</v>
      </c>
      <c r="L187" s="12">
        <f t="shared" si="21"/>
        <v>0</v>
      </c>
      <c r="M187" s="234">
        <f t="shared" si="22"/>
        <v>0</v>
      </c>
      <c r="O187" s="42">
        <f t="shared" si="23"/>
        <v>0</v>
      </c>
      <c r="P187" s="196"/>
      <c r="Q187" s="162"/>
      <c r="R187" s="162"/>
      <c r="S187" s="162"/>
      <c r="T187" s="162"/>
      <c r="U187" s="162"/>
      <c r="AF187" s="11"/>
      <c r="AG187" s="11"/>
      <c r="AH187" s="11"/>
      <c r="AI187" s="11"/>
      <c r="AJ187" s="11"/>
      <c r="AK187" s="11"/>
      <c r="AL187" s="11"/>
    </row>
    <row r="188" spans="1:38" x14ac:dyDescent="0.25">
      <c r="A188" s="38">
        <f>+Données!A188</f>
        <v>5717</v>
      </c>
      <c r="B188" s="181" t="str">
        <f>+Données!B188</f>
        <v>Founex</v>
      </c>
      <c r="C188" s="170">
        <f>+Ecrêtage!C188</f>
        <v>391171.86561403517</v>
      </c>
      <c r="D188" s="168"/>
      <c r="E188" s="170">
        <f>Données!AF188+Données!AG188+Données!AH188</f>
        <v>0</v>
      </c>
      <c r="F188" s="168">
        <f t="shared" si="17"/>
        <v>3129374.9249122813</v>
      </c>
      <c r="G188" s="8">
        <f t="shared" si="18"/>
        <v>0</v>
      </c>
      <c r="H188" s="234">
        <f t="shared" si="19"/>
        <v>0</v>
      </c>
      <c r="J188" s="8">
        <f>Données!AN188</f>
        <v>0</v>
      </c>
      <c r="K188" s="152">
        <f t="shared" si="20"/>
        <v>391171.86561403517</v>
      </c>
      <c r="L188" s="12">
        <f t="shared" si="21"/>
        <v>0</v>
      </c>
      <c r="M188" s="234">
        <f t="shared" si="22"/>
        <v>0</v>
      </c>
      <c r="O188" s="42">
        <f t="shared" si="23"/>
        <v>0</v>
      </c>
      <c r="P188" s="196"/>
      <c r="Q188" s="162"/>
      <c r="R188" s="162"/>
      <c r="S188" s="162"/>
      <c r="T188" s="162"/>
      <c r="U188" s="162"/>
      <c r="AF188" s="11"/>
      <c r="AG188" s="11"/>
      <c r="AH188" s="11"/>
      <c r="AI188" s="11"/>
      <c r="AJ188" s="11"/>
      <c r="AK188" s="11"/>
      <c r="AL188" s="11"/>
    </row>
    <row r="189" spans="1:38" s="119" customFormat="1" x14ac:dyDescent="0.25">
      <c r="A189" s="38">
        <f>+Données!A189</f>
        <v>5718</v>
      </c>
      <c r="B189" s="181" t="str">
        <f>+Données!B189</f>
        <v>Genolier</v>
      </c>
      <c r="C189" s="170">
        <f>+Ecrêtage!C189</f>
        <v>199612.23730769227</v>
      </c>
      <c r="D189" s="168"/>
      <c r="E189" s="170">
        <f>Données!AF189+Données!AG189+Données!AH189</f>
        <v>0</v>
      </c>
      <c r="F189" s="168">
        <f t="shared" si="17"/>
        <v>1596897.8984615381</v>
      </c>
      <c r="G189" s="8">
        <f t="shared" si="18"/>
        <v>0</v>
      </c>
      <c r="H189" s="234">
        <f t="shared" si="19"/>
        <v>0</v>
      </c>
      <c r="I189" s="171"/>
      <c r="J189" s="8">
        <f>Données!AN189</f>
        <v>0</v>
      </c>
      <c r="K189" s="253">
        <f t="shared" si="20"/>
        <v>199612.23730769227</v>
      </c>
      <c r="L189" s="1">
        <f t="shared" si="21"/>
        <v>0</v>
      </c>
      <c r="M189" s="234">
        <f t="shared" si="22"/>
        <v>0</v>
      </c>
      <c r="N189" s="171"/>
      <c r="O189" s="42">
        <f t="shared" si="23"/>
        <v>0</v>
      </c>
      <c r="P189" s="196"/>
      <c r="Q189" s="162"/>
      <c r="R189" s="162"/>
      <c r="S189" s="162"/>
      <c r="T189" s="162"/>
      <c r="U189" s="162"/>
      <c r="V189" s="156"/>
      <c r="W189" s="156"/>
      <c r="X189" s="156"/>
      <c r="Y189" s="156"/>
      <c r="Z189" s="156"/>
      <c r="AA189" s="156"/>
      <c r="AB189" s="156"/>
      <c r="AC189" s="156"/>
      <c r="AD189" s="156"/>
      <c r="AE189" s="156"/>
    </row>
    <row r="190" spans="1:38" x14ac:dyDescent="0.25">
      <c r="A190" s="38">
        <f>+Données!A190</f>
        <v>5719</v>
      </c>
      <c r="B190" s="181" t="str">
        <f>+Données!B190</f>
        <v>Gingins</v>
      </c>
      <c r="C190" s="170">
        <f>+Ecrêtage!C190</f>
        <v>144024.32127777775</v>
      </c>
      <c r="D190" s="168"/>
      <c r="E190" s="170">
        <f>Données!AF190+Données!AG190+Données!AH190</f>
        <v>0</v>
      </c>
      <c r="F190" s="168">
        <f t="shared" si="17"/>
        <v>1152194.570222222</v>
      </c>
      <c r="G190" s="8">
        <f t="shared" si="18"/>
        <v>0</v>
      </c>
      <c r="H190" s="234">
        <f t="shared" si="19"/>
        <v>0</v>
      </c>
      <c r="J190" s="8">
        <f>Données!AN190</f>
        <v>0</v>
      </c>
      <c r="K190" s="152">
        <f t="shared" si="20"/>
        <v>144024.32127777775</v>
      </c>
      <c r="L190" s="12">
        <f t="shared" si="21"/>
        <v>0</v>
      </c>
      <c r="M190" s="234">
        <f t="shared" si="22"/>
        <v>0</v>
      </c>
      <c r="O190" s="42">
        <f t="shared" si="23"/>
        <v>0</v>
      </c>
      <c r="P190" s="196"/>
      <c r="Q190" s="162"/>
      <c r="R190" s="162"/>
      <c r="S190" s="162"/>
      <c r="T190" s="162"/>
      <c r="U190" s="162"/>
      <c r="AF190" s="11"/>
      <c r="AG190" s="11"/>
      <c r="AH190" s="11"/>
      <c r="AI190" s="11"/>
      <c r="AJ190" s="11"/>
      <c r="AK190" s="11"/>
      <c r="AL190" s="11"/>
    </row>
    <row r="191" spans="1:38" x14ac:dyDescent="0.25">
      <c r="A191" s="38">
        <f>+Données!A191</f>
        <v>5720</v>
      </c>
      <c r="B191" s="181" t="str">
        <f>+Données!B191</f>
        <v>Givrins</v>
      </c>
      <c r="C191" s="170">
        <f>+Ecrêtage!C191</f>
        <v>79448.9027363184</v>
      </c>
      <c r="D191" s="168"/>
      <c r="E191" s="170">
        <f>Données!AF191+Données!AG191+Données!AH191</f>
        <v>0</v>
      </c>
      <c r="F191" s="168">
        <f t="shared" si="17"/>
        <v>635591.2218905472</v>
      </c>
      <c r="G191" s="8">
        <f t="shared" si="18"/>
        <v>0</v>
      </c>
      <c r="H191" s="234">
        <f t="shared" si="19"/>
        <v>0</v>
      </c>
      <c r="J191" s="8">
        <f>Données!AN191</f>
        <v>0</v>
      </c>
      <c r="K191" s="152">
        <f t="shared" si="20"/>
        <v>79448.9027363184</v>
      </c>
      <c r="L191" s="12">
        <f t="shared" si="21"/>
        <v>0</v>
      </c>
      <c r="M191" s="234">
        <f t="shared" si="22"/>
        <v>0</v>
      </c>
      <c r="O191" s="42">
        <f t="shared" si="23"/>
        <v>0</v>
      </c>
      <c r="P191" s="196"/>
      <c r="Q191" s="162"/>
      <c r="R191" s="162"/>
      <c r="S191" s="162"/>
      <c r="T191" s="162"/>
      <c r="U191" s="162"/>
      <c r="AF191" s="11"/>
      <c r="AG191" s="11"/>
      <c r="AH191" s="11"/>
      <c r="AI191" s="11"/>
      <c r="AJ191" s="11"/>
      <c r="AK191" s="11"/>
      <c r="AL191" s="11"/>
    </row>
    <row r="192" spans="1:38" x14ac:dyDescent="0.25">
      <c r="A192" s="38">
        <f>+Données!A192</f>
        <v>5721</v>
      </c>
      <c r="B192" s="181" t="str">
        <f>+Données!B192</f>
        <v>Gland</v>
      </c>
      <c r="C192" s="170">
        <f>+Ecrêtage!C192</f>
        <v>729933.83950819669</v>
      </c>
      <c r="D192" s="168"/>
      <c r="E192" s="170">
        <f>Données!AF192+Données!AG192+Données!AH192</f>
        <v>0</v>
      </c>
      <c r="F192" s="168">
        <f t="shared" si="17"/>
        <v>5839470.7160655735</v>
      </c>
      <c r="G192" s="8">
        <f t="shared" si="18"/>
        <v>0</v>
      </c>
      <c r="H192" s="234">
        <f t="shared" si="19"/>
        <v>0</v>
      </c>
      <c r="J192" s="8">
        <f>Données!AN192</f>
        <v>0</v>
      </c>
      <c r="K192" s="152">
        <f t="shared" si="20"/>
        <v>729933.83950819669</v>
      </c>
      <c r="L192" s="12">
        <f t="shared" si="21"/>
        <v>0</v>
      </c>
      <c r="M192" s="234">
        <f t="shared" si="22"/>
        <v>0</v>
      </c>
      <c r="O192" s="42">
        <f t="shared" si="23"/>
        <v>0</v>
      </c>
      <c r="P192" s="196"/>
      <c r="Q192" s="162"/>
      <c r="R192" s="162"/>
      <c r="S192" s="162"/>
      <c r="T192" s="162"/>
      <c r="U192" s="162"/>
      <c r="AF192" s="11"/>
      <c r="AG192" s="11"/>
      <c r="AH192" s="11"/>
      <c r="AI192" s="11"/>
      <c r="AJ192" s="11"/>
      <c r="AK192" s="11"/>
      <c r="AL192" s="11"/>
    </row>
    <row r="193" spans="1:38" x14ac:dyDescent="0.25">
      <c r="A193" s="38">
        <f>+Données!A193</f>
        <v>5722</v>
      </c>
      <c r="B193" s="181" t="str">
        <f>+Données!B193</f>
        <v>Grens</v>
      </c>
      <c r="C193" s="170">
        <f>+Ecrêtage!C193</f>
        <v>21839.736451612909</v>
      </c>
      <c r="D193" s="168"/>
      <c r="E193" s="170">
        <f>Données!AF193+Données!AG193+Données!AH193</f>
        <v>0</v>
      </c>
      <c r="F193" s="168">
        <f t="shared" si="17"/>
        <v>174717.89161290327</v>
      </c>
      <c r="G193" s="8">
        <f t="shared" si="18"/>
        <v>0</v>
      </c>
      <c r="H193" s="234">
        <f t="shared" si="19"/>
        <v>0</v>
      </c>
      <c r="J193" s="8">
        <f>Données!AN193</f>
        <v>0</v>
      </c>
      <c r="K193" s="152">
        <f t="shared" si="20"/>
        <v>21839.736451612909</v>
      </c>
      <c r="L193" s="12">
        <f t="shared" si="21"/>
        <v>0</v>
      </c>
      <c r="M193" s="234">
        <f t="shared" si="22"/>
        <v>0</v>
      </c>
      <c r="O193" s="42">
        <f t="shared" si="23"/>
        <v>0</v>
      </c>
      <c r="P193" s="196"/>
      <c r="Q193" s="162"/>
      <c r="R193" s="162"/>
      <c r="S193" s="162"/>
      <c r="T193" s="162"/>
      <c r="U193" s="162"/>
      <c r="AF193" s="11"/>
      <c r="AG193" s="11"/>
      <c r="AH193" s="11"/>
      <c r="AI193" s="11"/>
      <c r="AJ193" s="11"/>
      <c r="AK193" s="11"/>
      <c r="AL193" s="11"/>
    </row>
    <row r="194" spans="1:38" x14ac:dyDescent="0.25">
      <c r="A194" s="38">
        <f>+Données!A194</f>
        <v>5723</v>
      </c>
      <c r="B194" s="181" t="str">
        <f>+Données!B194</f>
        <v>Mies</v>
      </c>
      <c r="C194" s="170">
        <f>+Ecrêtage!C194</f>
        <v>253199.57134615383</v>
      </c>
      <c r="D194" s="168"/>
      <c r="E194" s="170">
        <f>Données!AF194+Données!AG194+Données!AH194</f>
        <v>0</v>
      </c>
      <c r="F194" s="168">
        <f t="shared" si="17"/>
        <v>2025596.5707692306</v>
      </c>
      <c r="G194" s="8">
        <f t="shared" si="18"/>
        <v>0</v>
      </c>
      <c r="H194" s="234">
        <f t="shared" si="19"/>
        <v>0</v>
      </c>
      <c r="J194" s="8">
        <f>Données!AN194</f>
        <v>0</v>
      </c>
      <c r="K194" s="152">
        <f t="shared" si="20"/>
        <v>253199.57134615383</v>
      </c>
      <c r="L194" s="12">
        <f t="shared" si="21"/>
        <v>0</v>
      </c>
      <c r="M194" s="234">
        <f t="shared" si="22"/>
        <v>0</v>
      </c>
      <c r="O194" s="42">
        <f t="shared" si="23"/>
        <v>0</v>
      </c>
      <c r="P194" s="196"/>
      <c r="Q194" s="162"/>
      <c r="R194" s="162"/>
      <c r="S194" s="162"/>
      <c r="T194" s="162"/>
      <c r="U194" s="162"/>
      <c r="AF194" s="11"/>
      <c r="AG194" s="11"/>
      <c r="AH194" s="11"/>
      <c r="AI194" s="11"/>
      <c r="AJ194" s="11"/>
      <c r="AK194" s="11"/>
      <c r="AL194" s="11"/>
    </row>
    <row r="195" spans="1:38" x14ac:dyDescent="0.25">
      <c r="A195" s="38">
        <f>+Données!A195</f>
        <v>5724</v>
      </c>
      <c r="B195" s="181" t="str">
        <f>+Données!B195</f>
        <v>Nyon</v>
      </c>
      <c r="C195" s="170">
        <f>+Ecrêtage!C195</f>
        <v>1663090.0153005463</v>
      </c>
      <c r="D195" s="168"/>
      <c r="E195" s="170">
        <f>Données!AF195+Données!AG195+Données!AH195</f>
        <v>0</v>
      </c>
      <c r="F195" s="168">
        <f t="shared" si="17"/>
        <v>13304720.12240437</v>
      </c>
      <c r="G195" s="8">
        <f t="shared" si="18"/>
        <v>0</v>
      </c>
      <c r="H195" s="234">
        <f t="shared" si="19"/>
        <v>0</v>
      </c>
      <c r="J195" s="8">
        <f>Données!AN195</f>
        <v>0</v>
      </c>
      <c r="K195" s="152">
        <f t="shared" si="20"/>
        <v>1663090.0153005463</v>
      </c>
      <c r="L195" s="12">
        <f t="shared" si="21"/>
        <v>0</v>
      </c>
      <c r="M195" s="234">
        <f t="shared" si="22"/>
        <v>0</v>
      </c>
      <c r="O195" s="42">
        <f t="shared" si="23"/>
        <v>0</v>
      </c>
      <c r="P195" s="196"/>
      <c r="Q195" s="162"/>
      <c r="R195" s="162"/>
      <c r="S195" s="162"/>
      <c r="T195" s="162"/>
      <c r="U195" s="162"/>
      <c r="AF195" s="11"/>
      <c r="AG195" s="11"/>
      <c r="AH195" s="11"/>
      <c r="AI195" s="11"/>
      <c r="AJ195" s="11"/>
      <c r="AK195" s="11"/>
      <c r="AL195" s="11"/>
    </row>
    <row r="196" spans="1:38" x14ac:dyDescent="0.25">
      <c r="A196" s="38">
        <f>+Données!A196</f>
        <v>5725</v>
      </c>
      <c r="B196" s="181" t="str">
        <f>+Données!B196</f>
        <v>Prangins</v>
      </c>
      <c r="C196" s="170">
        <f>+Ecrêtage!C196</f>
        <v>341674.87389610388</v>
      </c>
      <c r="D196" s="168"/>
      <c r="E196" s="170">
        <f>Données!AF196+Données!AG196+Données!AH196</f>
        <v>0</v>
      </c>
      <c r="F196" s="168">
        <f t="shared" si="17"/>
        <v>2733398.991168831</v>
      </c>
      <c r="G196" s="8">
        <f t="shared" si="18"/>
        <v>0</v>
      </c>
      <c r="H196" s="234">
        <f t="shared" si="19"/>
        <v>0</v>
      </c>
      <c r="J196" s="8">
        <f>Données!AN196</f>
        <v>0</v>
      </c>
      <c r="K196" s="152">
        <f t="shared" si="20"/>
        <v>341674.87389610388</v>
      </c>
      <c r="L196" s="12">
        <f t="shared" si="21"/>
        <v>0</v>
      </c>
      <c r="M196" s="234">
        <f t="shared" si="22"/>
        <v>0</v>
      </c>
      <c r="O196" s="42">
        <f t="shared" si="23"/>
        <v>0</v>
      </c>
      <c r="P196" s="196"/>
      <c r="Q196" s="162"/>
      <c r="R196" s="162"/>
      <c r="S196" s="162"/>
      <c r="T196" s="162"/>
      <c r="U196" s="162"/>
      <c r="AF196" s="11"/>
      <c r="AG196" s="11"/>
      <c r="AH196" s="11"/>
      <c r="AI196" s="11"/>
      <c r="AJ196" s="11"/>
      <c r="AK196" s="11"/>
      <c r="AL196" s="11"/>
    </row>
    <row r="197" spans="1:38" x14ac:dyDescent="0.25">
      <c r="A197" s="38">
        <f>+Données!A197</f>
        <v>5726</v>
      </c>
      <c r="B197" s="181" t="str">
        <f>+Données!B197</f>
        <v>La Rippe</v>
      </c>
      <c r="C197" s="170">
        <f>+Ecrêtage!C197</f>
        <v>71131.071496062999</v>
      </c>
      <c r="D197" s="168"/>
      <c r="E197" s="170">
        <f>Données!AF197+Données!AG197+Données!AH197</f>
        <v>0</v>
      </c>
      <c r="F197" s="168">
        <f t="shared" si="17"/>
        <v>569048.57196850399</v>
      </c>
      <c r="G197" s="8">
        <f t="shared" si="18"/>
        <v>0</v>
      </c>
      <c r="H197" s="234">
        <f t="shared" si="19"/>
        <v>0</v>
      </c>
      <c r="J197" s="8">
        <f>Données!AN197</f>
        <v>0</v>
      </c>
      <c r="K197" s="152">
        <f t="shared" si="20"/>
        <v>71131.071496062999</v>
      </c>
      <c r="L197" s="12">
        <f t="shared" si="21"/>
        <v>0</v>
      </c>
      <c r="M197" s="234">
        <f t="shared" si="22"/>
        <v>0</v>
      </c>
      <c r="O197" s="42">
        <f t="shared" si="23"/>
        <v>0</v>
      </c>
      <c r="P197" s="196"/>
      <c r="Q197" s="162"/>
      <c r="R197" s="162"/>
      <c r="S197" s="162"/>
      <c r="T197" s="162"/>
      <c r="U197" s="162"/>
      <c r="AF197" s="11"/>
      <c r="AG197" s="11"/>
      <c r="AH197" s="11"/>
      <c r="AI197" s="11"/>
      <c r="AJ197" s="11"/>
      <c r="AK197" s="11"/>
      <c r="AL197" s="11"/>
    </row>
    <row r="198" spans="1:38" x14ac:dyDescent="0.25">
      <c r="A198" s="38">
        <f>+Données!A198</f>
        <v>5727</v>
      </c>
      <c r="B198" s="181" t="str">
        <f>+Données!B198</f>
        <v>Saint-Cergue</v>
      </c>
      <c r="C198" s="170">
        <f>+Ecrêtage!C198</f>
        <v>108766.91914141414</v>
      </c>
      <c r="D198" s="168"/>
      <c r="E198" s="170">
        <f>Données!AF198+Données!AG198+Données!AH198</f>
        <v>0</v>
      </c>
      <c r="F198" s="168">
        <f t="shared" si="17"/>
        <v>870135.35313131311</v>
      </c>
      <c r="G198" s="8">
        <f t="shared" si="18"/>
        <v>0</v>
      </c>
      <c r="H198" s="234">
        <f t="shared" si="19"/>
        <v>0</v>
      </c>
      <c r="J198" s="8">
        <f>Données!AN198</f>
        <v>0</v>
      </c>
      <c r="K198" s="152">
        <f t="shared" si="20"/>
        <v>108766.91914141414</v>
      </c>
      <c r="L198" s="12">
        <f t="shared" si="21"/>
        <v>0</v>
      </c>
      <c r="M198" s="234">
        <f t="shared" si="22"/>
        <v>0</v>
      </c>
      <c r="O198" s="42">
        <f t="shared" si="23"/>
        <v>0</v>
      </c>
      <c r="P198" s="196"/>
      <c r="Q198" s="162"/>
      <c r="R198" s="162"/>
      <c r="S198" s="162"/>
      <c r="T198" s="162"/>
      <c r="U198" s="162"/>
      <c r="AF198" s="11"/>
      <c r="AG198" s="11"/>
      <c r="AH198" s="11"/>
      <c r="AI198" s="11"/>
      <c r="AJ198" s="11"/>
      <c r="AK198" s="11"/>
      <c r="AL198" s="11"/>
    </row>
    <row r="199" spans="1:38" x14ac:dyDescent="0.25">
      <c r="A199" s="38">
        <f>+Données!A199</f>
        <v>5728</v>
      </c>
      <c r="B199" s="181" t="str">
        <f>+Données!B199</f>
        <v>Signy-Avenex</v>
      </c>
      <c r="C199" s="170">
        <f>+Ecrêtage!C199</f>
        <v>54935.229999999996</v>
      </c>
      <c r="D199" s="168"/>
      <c r="E199" s="170">
        <f>Données!AF199+Données!AG199+Données!AH199</f>
        <v>0</v>
      </c>
      <c r="F199" s="168">
        <f t="shared" ref="F199:F262" si="24">+C199*$G$5</f>
        <v>439481.83999999997</v>
      </c>
      <c r="G199" s="8">
        <f t="shared" ref="G199:G262" si="25">IF(E199&gt;F199,E199-F199,0)</f>
        <v>0</v>
      </c>
      <c r="H199" s="234">
        <f t="shared" ref="H199:H262" si="26">-G199*H$5</f>
        <v>0</v>
      </c>
      <c r="J199" s="8">
        <f>Données!AN199</f>
        <v>0</v>
      </c>
      <c r="K199" s="152">
        <f t="shared" ref="K199:K262" si="27">C199*L$5</f>
        <v>54935.229999999996</v>
      </c>
      <c r="L199" s="12">
        <f t="shared" ref="L199:L262" si="28">IF(J199&gt;K199,J199-K199,0)</f>
        <v>0</v>
      </c>
      <c r="M199" s="234">
        <f t="shared" ref="M199:M262" si="29">-L199*M$5</f>
        <v>0</v>
      </c>
      <c r="O199" s="42">
        <f t="shared" ref="O199:O262" si="30">M199+H199</f>
        <v>0</v>
      </c>
      <c r="P199" s="196"/>
      <c r="Q199" s="162"/>
      <c r="R199" s="162"/>
      <c r="S199" s="162"/>
      <c r="T199" s="162"/>
      <c r="U199" s="162"/>
      <c r="AF199" s="11"/>
      <c r="AG199" s="11"/>
      <c r="AH199" s="11"/>
      <c r="AI199" s="11"/>
      <c r="AJ199" s="11"/>
      <c r="AK199" s="11"/>
      <c r="AL199" s="11"/>
    </row>
    <row r="200" spans="1:38" x14ac:dyDescent="0.25">
      <c r="A200" s="38">
        <f>+Données!A200</f>
        <v>5729</v>
      </c>
      <c r="B200" s="181" t="str">
        <f>+Données!B200</f>
        <v>Tannay</v>
      </c>
      <c r="C200" s="170">
        <f>+Ecrêtage!C200</f>
        <v>200776.3305785124</v>
      </c>
      <c r="D200" s="168"/>
      <c r="E200" s="170">
        <f>Données!AF200+Données!AG200+Données!AH200</f>
        <v>0</v>
      </c>
      <c r="F200" s="168">
        <f t="shared" si="24"/>
        <v>1606210.6446280992</v>
      </c>
      <c r="G200" s="8">
        <f t="shared" si="25"/>
        <v>0</v>
      </c>
      <c r="H200" s="234">
        <f t="shared" si="26"/>
        <v>0</v>
      </c>
      <c r="J200" s="8">
        <f>Données!AN200</f>
        <v>0</v>
      </c>
      <c r="K200" s="152">
        <f t="shared" si="27"/>
        <v>200776.3305785124</v>
      </c>
      <c r="L200" s="12">
        <f t="shared" si="28"/>
        <v>0</v>
      </c>
      <c r="M200" s="234">
        <f t="shared" si="29"/>
        <v>0</v>
      </c>
      <c r="O200" s="42">
        <f t="shared" si="30"/>
        <v>0</v>
      </c>
      <c r="P200" s="196"/>
      <c r="Q200" s="162"/>
      <c r="R200" s="162"/>
      <c r="S200" s="162"/>
      <c r="T200" s="162"/>
      <c r="U200" s="162"/>
      <c r="AF200" s="11"/>
      <c r="AG200" s="11"/>
      <c r="AH200" s="11"/>
      <c r="AI200" s="11"/>
      <c r="AJ200" s="11"/>
      <c r="AK200" s="11"/>
      <c r="AL200" s="11"/>
    </row>
    <row r="201" spans="1:38" x14ac:dyDescent="0.25">
      <c r="A201" s="38">
        <f>+Données!A201</f>
        <v>5730</v>
      </c>
      <c r="B201" s="181" t="str">
        <f>+Données!B201</f>
        <v>Trélex</v>
      </c>
      <c r="C201" s="170">
        <f>+Ecrêtage!C201</f>
        <v>146462.65611611609</v>
      </c>
      <c r="D201" s="168"/>
      <c r="E201" s="170">
        <f>Données!AF201+Données!AG201+Données!AH201</f>
        <v>0</v>
      </c>
      <c r="F201" s="168">
        <f t="shared" si="24"/>
        <v>1171701.2489289287</v>
      </c>
      <c r="G201" s="8">
        <f t="shared" si="25"/>
        <v>0</v>
      </c>
      <c r="H201" s="234">
        <f t="shared" si="26"/>
        <v>0</v>
      </c>
      <c r="J201" s="8">
        <f>Données!AN201</f>
        <v>0</v>
      </c>
      <c r="K201" s="152">
        <f t="shared" si="27"/>
        <v>146462.65611611609</v>
      </c>
      <c r="L201" s="12">
        <f t="shared" si="28"/>
        <v>0</v>
      </c>
      <c r="M201" s="234">
        <f t="shared" si="29"/>
        <v>0</v>
      </c>
      <c r="O201" s="42">
        <f t="shared" si="30"/>
        <v>0</v>
      </c>
      <c r="P201" s="196"/>
      <c r="Q201" s="162"/>
      <c r="R201" s="162"/>
      <c r="S201" s="162"/>
      <c r="T201" s="162"/>
      <c r="U201" s="162"/>
      <c r="AF201" s="11"/>
      <c r="AG201" s="11"/>
      <c r="AH201" s="11"/>
      <c r="AI201" s="11"/>
      <c r="AJ201" s="11"/>
      <c r="AK201" s="11"/>
      <c r="AL201" s="11"/>
    </row>
    <row r="202" spans="1:38" x14ac:dyDescent="0.25">
      <c r="A202" s="38">
        <f>+Données!A202</f>
        <v>5731</v>
      </c>
      <c r="B202" s="181" t="str">
        <f>+Données!B202</f>
        <v>Le Vaud</v>
      </c>
      <c r="C202" s="170">
        <f>+Ecrêtage!C202</f>
        <v>70899.219223744294</v>
      </c>
      <c r="D202" s="168"/>
      <c r="E202" s="170">
        <f>Données!AF202+Données!AG202+Données!AH202</f>
        <v>0</v>
      </c>
      <c r="F202" s="168">
        <f t="shared" si="24"/>
        <v>567193.75378995435</v>
      </c>
      <c r="G202" s="8">
        <f t="shared" si="25"/>
        <v>0</v>
      </c>
      <c r="H202" s="234">
        <f t="shared" si="26"/>
        <v>0</v>
      </c>
      <c r="J202" s="8">
        <f>Données!AN202</f>
        <v>0</v>
      </c>
      <c r="K202" s="152">
        <f t="shared" si="27"/>
        <v>70899.219223744294</v>
      </c>
      <c r="L202" s="12">
        <f t="shared" si="28"/>
        <v>0</v>
      </c>
      <c r="M202" s="234">
        <f t="shared" si="29"/>
        <v>0</v>
      </c>
      <c r="O202" s="42">
        <f t="shared" si="30"/>
        <v>0</v>
      </c>
      <c r="P202" s="196"/>
      <c r="Q202" s="162"/>
      <c r="R202" s="162"/>
      <c r="S202" s="162"/>
      <c r="T202" s="162"/>
      <c r="U202" s="162"/>
      <c r="AF202" s="11"/>
      <c r="AG202" s="11"/>
      <c r="AH202" s="11"/>
      <c r="AI202" s="11"/>
      <c r="AJ202" s="11"/>
      <c r="AK202" s="11"/>
      <c r="AL202" s="11"/>
    </row>
    <row r="203" spans="1:38" x14ac:dyDescent="0.25">
      <c r="A203" s="38">
        <f>+Données!A203</f>
        <v>5732</v>
      </c>
      <c r="B203" s="181" t="str">
        <f>+Données!B203</f>
        <v>Vich</v>
      </c>
      <c r="C203" s="170">
        <f>+Ecrêtage!C203</f>
        <v>83913.803650793649</v>
      </c>
      <c r="D203" s="168"/>
      <c r="E203" s="170">
        <f>Données!AF203+Données!AG203+Données!AH203</f>
        <v>0</v>
      </c>
      <c r="F203" s="168">
        <f t="shared" si="24"/>
        <v>671310.42920634919</v>
      </c>
      <c r="G203" s="8">
        <f t="shared" si="25"/>
        <v>0</v>
      </c>
      <c r="H203" s="234">
        <f t="shared" si="26"/>
        <v>0</v>
      </c>
      <c r="J203" s="8">
        <f>Données!AN203</f>
        <v>0</v>
      </c>
      <c r="K203" s="152">
        <f t="shared" si="27"/>
        <v>83913.803650793649</v>
      </c>
      <c r="L203" s="12">
        <f t="shared" si="28"/>
        <v>0</v>
      </c>
      <c r="M203" s="234">
        <f t="shared" si="29"/>
        <v>0</v>
      </c>
      <c r="O203" s="42">
        <f t="shared" si="30"/>
        <v>0</v>
      </c>
      <c r="P203" s="196"/>
      <c r="Q203" s="162"/>
      <c r="R203" s="162"/>
      <c r="S203" s="162"/>
      <c r="T203" s="162"/>
      <c r="U203" s="162"/>
      <c r="AF203" s="11"/>
      <c r="AG203" s="11"/>
      <c r="AH203" s="11"/>
      <c r="AI203" s="11"/>
      <c r="AJ203" s="11"/>
      <c r="AK203" s="11"/>
      <c r="AL203" s="11"/>
    </row>
    <row r="204" spans="1:38" x14ac:dyDescent="0.25">
      <c r="A204" s="38">
        <f>+Données!A204</f>
        <v>5741</v>
      </c>
      <c r="B204" s="181" t="str">
        <f>+Données!B204</f>
        <v>L'Abergement</v>
      </c>
      <c r="C204" s="170">
        <f>+Ecrêtage!C204</f>
        <v>8275.7188124999993</v>
      </c>
      <c r="D204" s="168"/>
      <c r="E204" s="170">
        <f>Données!AF204+Données!AG204+Données!AH204</f>
        <v>0</v>
      </c>
      <c r="F204" s="168">
        <f t="shared" si="24"/>
        <v>66205.750499999995</v>
      </c>
      <c r="G204" s="8">
        <f t="shared" si="25"/>
        <v>0</v>
      </c>
      <c r="H204" s="234">
        <f t="shared" si="26"/>
        <v>0</v>
      </c>
      <c r="J204" s="8">
        <f>Données!AN204</f>
        <v>0</v>
      </c>
      <c r="K204" s="152">
        <f t="shared" si="27"/>
        <v>8275.7188124999993</v>
      </c>
      <c r="L204" s="12">
        <f t="shared" si="28"/>
        <v>0</v>
      </c>
      <c r="M204" s="234">
        <f t="shared" si="29"/>
        <v>0</v>
      </c>
      <c r="O204" s="42">
        <f t="shared" si="30"/>
        <v>0</v>
      </c>
      <c r="P204" s="196"/>
      <c r="Q204" s="162"/>
      <c r="R204" s="162"/>
      <c r="S204" s="162"/>
      <c r="T204" s="162"/>
      <c r="U204" s="162"/>
      <c r="AF204" s="11"/>
      <c r="AG204" s="11"/>
      <c r="AH204" s="11"/>
      <c r="AI204" s="11"/>
      <c r="AJ204" s="11"/>
      <c r="AK204" s="11"/>
      <c r="AL204" s="11"/>
    </row>
    <row r="205" spans="1:38" x14ac:dyDescent="0.25">
      <c r="A205" s="38">
        <f>+Données!A205</f>
        <v>5742</v>
      </c>
      <c r="B205" s="181" t="str">
        <f>+Données!B205</f>
        <v>Agiez</v>
      </c>
      <c r="C205" s="170">
        <f>+Ecrêtage!C205</f>
        <v>9208.6422368421081</v>
      </c>
      <c r="D205" s="168"/>
      <c r="E205" s="170">
        <f>Données!AF205+Données!AG205+Données!AH205</f>
        <v>0</v>
      </c>
      <c r="F205" s="168">
        <f t="shared" si="24"/>
        <v>73669.137894736865</v>
      </c>
      <c r="G205" s="8">
        <f t="shared" si="25"/>
        <v>0</v>
      </c>
      <c r="H205" s="234">
        <f t="shared" si="26"/>
        <v>0</v>
      </c>
      <c r="J205" s="8">
        <f>Données!AN205</f>
        <v>0</v>
      </c>
      <c r="K205" s="152">
        <f t="shared" si="27"/>
        <v>9208.6422368421081</v>
      </c>
      <c r="L205" s="12">
        <f t="shared" si="28"/>
        <v>0</v>
      </c>
      <c r="M205" s="234">
        <f t="shared" si="29"/>
        <v>0</v>
      </c>
      <c r="O205" s="42">
        <f t="shared" si="30"/>
        <v>0</v>
      </c>
      <c r="P205" s="196"/>
      <c r="Q205" s="162"/>
      <c r="R205" s="162"/>
      <c r="S205" s="162"/>
      <c r="T205" s="162"/>
      <c r="U205" s="162"/>
      <c r="AF205" s="11"/>
      <c r="AG205" s="11"/>
      <c r="AH205" s="11"/>
      <c r="AI205" s="11"/>
      <c r="AJ205" s="11"/>
      <c r="AK205" s="11"/>
      <c r="AL205" s="11"/>
    </row>
    <row r="206" spans="1:38" x14ac:dyDescent="0.25">
      <c r="A206" s="38">
        <f>+Données!A206</f>
        <v>5743</v>
      </c>
      <c r="B206" s="181" t="str">
        <f>+Données!B206</f>
        <v>Arnex-sur-Orbe</v>
      </c>
      <c r="C206" s="170">
        <f>+Ecrêtage!C206</f>
        <v>19122.067147887326</v>
      </c>
      <c r="D206" s="168"/>
      <c r="E206" s="170">
        <f>Données!AF206+Données!AG206+Données!AH206</f>
        <v>0</v>
      </c>
      <c r="F206" s="168">
        <f t="shared" si="24"/>
        <v>152976.53718309861</v>
      </c>
      <c r="G206" s="8">
        <f t="shared" si="25"/>
        <v>0</v>
      </c>
      <c r="H206" s="234">
        <f t="shared" si="26"/>
        <v>0</v>
      </c>
      <c r="J206" s="8">
        <f>Données!AN206</f>
        <v>0</v>
      </c>
      <c r="K206" s="152">
        <f t="shared" si="27"/>
        <v>19122.067147887326</v>
      </c>
      <c r="L206" s="12">
        <f t="shared" si="28"/>
        <v>0</v>
      </c>
      <c r="M206" s="234">
        <f t="shared" si="29"/>
        <v>0</v>
      </c>
      <c r="O206" s="42">
        <f t="shared" si="30"/>
        <v>0</v>
      </c>
      <c r="P206" s="196"/>
      <c r="Q206" s="162"/>
      <c r="R206" s="162"/>
      <c r="S206" s="162"/>
      <c r="T206" s="162"/>
      <c r="U206" s="162"/>
      <c r="AF206" s="11"/>
      <c r="AG206" s="11"/>
      <c r="AH206" s="11"/>
      <c r="AI206" s="11"/>
      <c r="AJ206" s="11"/>
      <c r="AK206" s="11"/>
      <c r="AL206" s="11"/>
    </row>
    <row r="207" spans="1:38" x14ac:dyDescent="0.25">
      <c r="A207" s="38">
        <f>+Données!A207</f>
        <v>5744</v>
      </c>
      <c r="B207" s="181" t="str">
        <f>+Données!B207</f>
        <v>Ballaigues</v>
      </c>
      <c r="C207" s="170">
        <f>+Ecrêtage!C207</f>
        <v>60998.783230769215</v>
      </c>
      <c r="D207" s="168"/>
      <c r="E207" s="170">
        <f>Données!AF207+Données!AG207+Données!AH207</f>
        <v>0</v>
      </c>
      <c r="F207" s="168">
        <f t="shared" si="24"/>
        <v>487990.26584615372</v>
      </c>
      <c r="G207" s="8">
        <f t="shared" si="25"/>
        <v>0</v>
      </c>
      <c r="H207" s="234">
        <f t="shared" si="26"/>
        <v>0</v>
      </c>
      <c r="J207" s="8">
        <f>Données!AN207</f>
        <v>0</v>
      </c>
      <c r="K207" s="152">
        <f t="shared" si="27"/>
        <v>60998.783230769215</v>
      </c>
      <c r="L207" s="12">
        <f t="shared" si="28"/>
        <v>0</v>
      </c>
      <c r="M207" s="234">
        <f t="shared" si="29"/>
        <v>0</v>
      </c>
      <c r="O207" s="42">
        <f t="shared" si="30"/>
        <v>0</v>
      </c>
      <c r="P207" s="196"/>
      <c r="Q207" s="162"/>
      <c r="R207" s="162"/>
      <c r="S207" s="162"/>
      <c r="T207" s="162"/>
      <c r="U207" s="162"/>
      <c r="AF207" s="11"/>
      <c r="AG207" s="11"/>
      <c r="AH207" s="11"/>
      <c r="AI207" s="11"/>
      <c r="AJ207" s="11"/>
      <c r="AK207" s="11"/>
      <c r="AL207" s="11"/>
    </row>
    <row r="208" spans="1:38" x14ac:dyDescent="0.25">
      <c r="A208" s="38">
        <f>+Données!A208</f>
        <v>5745</v>
      </c>
      <c r="B208" s="181" t="str">
        <f>+Données!B208</f>
        <v>Baulmes</v>
      </c>
      <c r="C208" s="170">
        <f>+Ecrêtage!C208</f>
        <v>29147.980130718955</v>
      </c>
      <c r="D208" s="168"/>
      <c r="E208" s="170">
        <f>Données!AF208+Données!AG208+Données!AH208</f>
        <v>0</v>
      </c>
      <c r="F208" s="168">
        <f t="shared" si="24"/>
        <v>233183.84104575164</v>
      </c>
      <c r="G208" s="8">
        <f t="shared" si="25"/>
        <v>0</v>
      </c>
      <c r="H208" s="234">
        <f t="shared" si="26"/>
        <v>0</v>
      </c>
      <c r="J208" s="8">
        <f>Données!AN208</f>
        <v>0</v>
      </c>
      <c r="K208" s="152">
        <f t="shared" si="27"/>
        <v>29147.980130718955</v>
      </c>
      <c r="L208" s="12">
        <f t="shared" si="28"/>
        <v>0</v>
      </c>
      <c r="M208" s="234">
        <f t="shared" si="29"/>
        <v>0</v>
      </c>
      <c r="O208" s="42">
        <f t="shared" si="30"/>
        <v>0</v>
      </c>
      <c r="P208" s="196"/>
      <c r="Q208" s="162"/>
      <c r="R208" s="162"/>
      <c r="S208" s="162"/>
      <c r="T208" s="162"/>
      <c r="U208" s="162"/>
      <c r="AF208" s="11"/>
      <c r="AG208" s="11"/>
      <c r="AH208" s="11"/>
      <c r="AI208" s="11"/>
      <c r="AJ208" s="11"/>
      <c r="AK208" s="11"/>
      <c r="AL208" s="11"/>
    </row>
    <row r="209" spans="1:38" x14ac:dyDescent="0.25">
      <c r="A209" s="38">
        <f>+Données!A209</f>
        <v>5746</v>
      </c>
      <c r="B209" s="181" t="str">
        <f>+Données!B209</f>
        <v>Bavois</v>
      </c>
      <c r="C209" s="170">
        <f>+Ecrêtage!C209</f>
        <v>33851.911712962959</v>
      </c>
      <c r="D209" s="168"/>
      <c r="E209" s="170">
        <f>Données!AF209+Données!AG209+Données!AH209</f>
        <v>0</v>
      </c>
      <c r="F209" s="168">
        <f t="shared" si="24"/>
        <v>270815.29370370368</v>
      </c>
      <c r="G209" s="8">
        <f t="shared" si="25"/>
        <v>0</v>
      </c>
      <c r="H209" s="234">
        <f t="shared" si="26"/>
        <v>0</v>
      </c>
      <c r="J209" s="8">
        <f>Données!AN209</f>
        <v>0</v>
      </c>
      <c r="K209" s="152">
        <f t="shared" si="27"/>
        <v>33851.911712962959</v>
      </c>
      <c r="L209" s="12">
        <f t="shared" si="28"/>
        <v>0</v>
      </c>
      <c r="M209" s="234">
        <f t="shared" si="29"/>
        <v>0</v>
      </c>
      <c r="O209" s="42">
        <f t="shared" si="30"/>
        <v>0</v>
      </c>
      <c r="P209" s="196"/>
      <c r="Q209" s="162"/>
      <c r="R209" s="162"/>
      <c r="S209" s="162"/>
      <c r="T209" s="162"/>
      <c r="U209" s="162"/>
      <c r="AF209" s="11"/>
      <c r="AG209" s="11"/>
      <c r="AH209" s="11"/>
      <c r="AI209" s="11"/>
      <c r="AJ209" s="11"/>
      <c r="AK209" s="11"/>
      <c r="AL209" s="11"/>
    </row>
    <row r="210" spans="1:38" x14ac:dyDescent="0.25">
      <c r="A210" s="38">
        <f>+Données!A210</f>
        <v>5747</v>
      </c>
      <c r="B210" s="181" t="str">
        <f>+Données!B210</f>
        <v>Bofflens</v>
      </c>
      <c r="C210" s="170">
        <f>+Ecrêtage!C210</f>
        <v>7065.5449275362316</v>
      </c>
      <c r="D210" s="168"/>
      <c r="E210" s="170">
        <f>Données!AF210+Données!AG210+Données!AH210</f>
        <v>0</v>
      </c>
      <c r="F210" s="168">
        <f t="shared" si="24"/>
        <v>56524.359420289853</v>
      </c>
      <c r="G210" s="8">
        <f t="shared" si="25"/>
        <v>0</v>
      </c>
      <c r="H210" s="234">
        <f t="shared" si="26"/>
        <v>0</v>
      </c>
      <c r="J210" s="8">
        <f>Données!AN210</f>
        <v>0</v>
      </c>
      <c r="K210" s="152">
        <f t="shared" si="27"/>
        <v>7065.5449275362316</v>
      </c>
      <c r="L210" s="12">
        <f t="shared" si="28"/>
        <v>0</v>
      </c>
      <c r="M210" s="234">
        <f t="shared" si="29"/>
        <v>0</v>
      </c>
      <c r="O210" s="42">
        <f t="shared" si="30"/>
        <v>0</v>
      </c>
      <c r="P210" s="196"/>
      <c r="Q210" s="162"/>
      <c r="R210" s="162"/>
      <c r="S210" s="162"/>
      <c r="T210" s="162"/>
      <c r="U210" s="162"/>
      <c r="AF210" s="11"/>
      <c r="AG210" s="11"/>
      <c r="AH210" s="11"/>
      <c r="AI210" s="11"/>
      <c r="AJ210" s="11"/>
      <c r="AK210" s="11"/>
      <c r="AL210" s="11"/>
    </row>
    <row r="211" spans="1:38" x14ac:dyDescent="0.25">
      <c r="A211" s="38">
        <f>+Données!A211</f>
        <v>5748</v>
      </c>
      <c r="B211" s="181" t="str">
        <f>+Données!B211</f>
        <v>Bretonnières</v>
      </c>
      <c r="C211" s="170">
        <f>+Ecrêtage!C211</f>
        <v>6864.9177304964542</v>
      </c>
      <c r="D211" s="168"/>
      <c r="E211" s="170">
        <f>Données!AF211+Données!AG211+Données!AH211</f>
        <v>0</v>
      </c>
      <c r="F211" s="168">
        <f t="shared" si="24"/>
        <v>54919.341843971633</v>
      </c>
      <c r="G211" s="8">
        <f t="shared" si="25"/>
        <v>0</v>
      </c>
      <c r="H211" s="234">
        <f t="shared" si="26"/>
        <v>0</v>
      </c>
      <c r="J211" s="8">
        <f>Données!AN211</f>
        <v>0</v>
      </c>
      <c r="K211" s="152">
        <f t="shared" si="27"/>
        <v>6864.9177304964542</v>
      </c>
      <c r="L211" s="12">
        <f t="shared" si="28"/>
        <v>0</v>
      </c>
      <c r="M211" s="234">
        <f t="shared" si="29"/>
        <v>0</v>
      </c>
      <c r="O211" s="42">
        <f t="shared" si="30"/>
        <v>0</v>
      </c>
      <c r="P211" s="196"/>
      <c r="Q211" s="162"/>
      <c r="R211" s="162"/>
      <c r="S211" s="162"/>
      <c r="T211" s="162"/>
      <c r="U211" s="162"/>
      <c r="AF211" s="11"/>
      <c r="AG211" s="11"/>
      <c r="AH211" s="11"/>
      <c r="AI211" s="11"/>
      <c r="AJ211" s="11"/>
      <c r="AK211" s="11"/>
      <c r="AL211" s="11"/>
    </row>
    <row r="212" spans="1:38" x14ac:dyDescent="0.25">
      <c r="A212" s="38">
        <f>+Données!A212</f>
        <v>5749</v>
      </c>
      <c r="B212" s="181" t="str">
        <f>+Données!B212</f>
        <v>Chavornay</v>
      </c>
      <c r="C212" s="170">
        <f>+Ecrêtage!C212</f>
        <v>149579.8465248227</v>
      </c>
      <c r="D212" s="168"/>
      <c r="E212" s="170">
        <f>Données!AF212+Données!AG212+Données!AH212</f>
        <v>0</v>
      </c>
      <c r="F212" s="168">
        <f t="shared" si="24"/>
        <v>1196638.7721985816</v>
      </c>
      <c r="G212" s="8">
        <f t="shared" si="25"/>
        <v>0</v>
      </c>
      <c r="H212" s="234">
        <f t="shared" si="26"/>
        <v>0</v>
      </c>
      <c r="J212" s="8">
        <f>Données!AN212</f>
        <v>0</v>
      </c>
      <c r="K212" s="152">
        <f t="shared" si="27"/>
        <v>149579.8465248227</v>
      </c>
      <c r="L212" s="12">
        <f t="shared" si="28"/>
        <v>0</v>
      </c>
      <c r="M212" s="234">
        <f t="shared" si="29"/>
        <v>0</v>
      </c>
      <c r="O212" s="42">
        <f t="shared" si="30"/>
        <v>0</v>
      </c>
      <c r="P212" s="196"/>
      <c r="Q212" s="162"/>
      <c r="R212" s="162"/>
      <c r="S212" s="162"/>
      <c r="T212" s="162"/>
      <c r="U212" s="162"/>
      <c r="AF212" s="11"/>
      <c r="AG212" s="11"/>
      <c r="AH212" s="11"/>
      <c r="AI212" s="11"/>
      <c r="AJ212" s="11"/>
      <c r="AK212" s="11"/>
      <c r="AL212" s="11"/>
    </row>
    <row r="213" spans="1:38" x14ac:dyDescent="0.25">
      <c r="A213" s="38">
        <f>+Données!A213</f>
        <v>5750</v>
      </c>
      <c r="B213" s="181" t="str">
        <f>+Données!B213</f>
        <v>Les Clées</v>
      </c>
      <c r="C213" s="170">
        <f>+Ecrêtage!C213</f>
        <v>5320.5294166666672</v>
      </c>
      <c r="D213" s="168"/>
      <c r="E213" s="170">
        <f>Données!AF213+Données!AG213+Données!AH213</f>
        <v>0</v>
      </c>
      <c r="F213" s="168">
        <f t="shared" si="24"/>
        <v>42564.235333333338</v>
      </c>
      <c r="G213" s="8">
        <f t="shared" si="25"/>
        <v>0</v>
      </c>
      <c r="H213" s="234">
        <f t="shared" si="26"/>
        <v>0</v>
      </c>
      <c r="J213" s="8">
        <f>Données!AN213</f>
        <v>0</v>
      </c>
      <c r="K213" s="152">
        <f t="shared" si="27"/>
        <v>5320.5294166666672</v>
      </c>
      <c r="L213" s="12">
        <f t="shared" si="28"/>
        <v>0</v>
      </c>
      <c r="M213" s="234">
        <f t="shared" si="29"/>
        <v>0</v>
      </c>
      <c r="O213" s="42">
        <f t="shared" si="30"/>
        <v>0</v>
      </c>
      <c r="P213" s="196"/>
      <c r="Q213" s="162"/>
      <c r="R213" s="162"/>
      <c r="S213" s="162"/>
      <c r="T213" s="162"/>
      <c r="U213" s="162"/>
      <c r="AF213" s="11"/>
      <c r="AG213" s="11"/>
      <c r="AH213" s="11"/>
      <c r="AI213" s="11"/>
      <c r="AJ213" s="11"/>
      <c r="AK213" s="11"/>
      <c r="AL213" s="11"/>
    </row>
    <row r="214" spans="1:38" x14ac:dyDescent="0.25">
      <c r="A214" s="38">
        <f>+Données!A214</f>
        <v>5752</v>
      </c>
      <c r="B214" s="181" t="str">
        <f>+Données!B214</f>
        <v>Croy</v>
      </c>
      <c r="C214" s="170">
        <f>+Ecrêtage!C214</f>
        <v>9858.3588996138969</v>
      </c>
      <c r="D214" s="168"/>
      <c r="E214" s="170">
        <f>Données!AF214+Données!AG214+Données!AH214</f>
        <v>0</v>
      </c>
      <c r="F214" s="168">
        <f t="shared" si="24"/>
        <v>78866.871196911176</v>
      </c>
      <c r="G214" s="8">
        <f t="shared" si="25"/>
        <v>0</v>
      </c>
      <c r="H214" s="234">
        <f t="shared" si="26"/>
        <v>0</v>
      </c>
      <c r="J214" s="8">
        <f>Données!AN214</f>
        <v>0</v>
      </c>
      <c r="K214" s="152">
        <f t="shared" si="27"/>
        <v>9858.3588996138969</v>
      </c>
      <c r="L214" s="12">
        <f t="shared" si="28"/>
        <v>0</v>
      </c>
      <c r="M214" s="234">
        <f t="shared" si="29"/>
        <v>0</v>
      </c>
      <c r="O214" s="42">
        <f t="shared" si="30"/>
        <v>0</v>
      </c>
      <c r="P214" s="196"/>
      <c r="Q214" s="162"/>
      <c r="R214" s="162"/>
      <c r="S214" s="162"/>
      <c r="T214" s="162"/>
      <c r="U214" s="162"/>
      <c r="AF214" s="11"/>
      <c r="AG214" s="11"/>
      <c r="AH214" s="11"/>
      <c r="AI214" s="11"/>
      <c r="AJ214" s="11"/>
      <c r="AK214" s="11"/>
      <c r="AL214" s="11"/>
    </row>
    <row r="215" spans="1:38" x14ac:dyDescent="0.25">
      <c r="A215" s="38">
        <f>+Données!A215</f>
        <v>5754</v>
      </c>
      <c r="B215" s="181" t="str">
        <f>+Données!B215</f>
        <v>Juriens</v>
      </c>
      <c r="C215" s="170">
        <f>+Ecrêtage!C215</f>
        <v>8812.2215189873423</v>
      </c>
      <c r="D215" s="168"/>
      <c r="E215" s="170">
        <f>Données!AF215+Données!AG215+Données!AH215</f>
        <v>0</v>
      </c>
      <c r="F215" s="168">
        <f t="shared" si="24"/>
        <v>70497.772151898738</v>
      </c>
      <c r="G215" s="8">
        <f t="shared" si="25"/>
        <v>0</v>
      </c>
      <c r="H215" s="234">
        <f t="shared" si="26"/>
        <v>0</v>
      </c>
      <c r="J215" s="8">
        <f>Données!AN215</f>
        <v>0</v>
      </c>
      <c r="K215" s="152">
        <f t="shared" si="27"/>
        <v>8812.2215189873423</v>
      </c>
      <c r="L215" s="12">
        <f t="shared" si="28"/>
        <v>0</v>
      </c>
      <c r="M215" s="234">
        <f t="shared" si="29"/>
        <v>0</v>
      </c>
      <c r="O215" s="42">
        <f t="shared" si="30"/>
        <v>0</v>
      </c>
      <c r="P215" s="196"/>
      <c r="Q215" s="162"/>
      <c r="R215" s="162"/>
      <c r="S215" s="162"/>
      <c r="T215" s="162"/>
      <c r="U215" s="162"/>
      <c r="AF215" s="11"/>
      <c r="AG215" s="11"/>
      <c r="AH215" s="11"/>
      <c r="AI215" s="11"/>
      <c r="AJ215" s="11"/>
      <c r="AK215" s="11"/>
      <c r="AL215" s="11"/>
    </row>
    <row r="216" spans="1:38" x14ac:dyDescent="0.25">
      <c r="A216" s="38">
        <f>+Données!A216</f>
        <v>5755</v>
      </c>
      <c r="B216" s="181" t="str">
        <f>+Données!B216</f>
        <v>Lignerolle</v>
      </c>
      <c r="C216" s="170">
        <f>+Ecrêtage!C216</f>
        <v>11116.576615104641</v>
      </c>
      <c r="D216" s="168"/>
      <c r="E216" s="170">
        <f>Données!AF216+Données!AG216+Données!AH216</f>
        <v>0</v>
      </c>
      <c r="F216" s="168">
        <f t="shared" si="24"/>
        <v>88932.612920837128</v>
      </c>
      <c r="G216" s="8">
        <f t="shared" si="25"/>
        <v>0</v>
      </c>
      <c r="H216" s="234">
        <f t="shared" si="26"/>
        <v>0</v>
      </c>
      <c r="J216" s="8">
        <f>Données!AN216</f>
        <v>0</v>
      </c>
      <c r="K216" s="152">
        <f t="shared" si="27"/>
        <v>11116.576615104641</v>
      </c>
      <c r="L216" s="12">
        <f t="shared" si="28"/>
        <v>0</v>
      </c>
      <c r="M216" s="234">
        <f t="shared" si="29"/>
        <v>0</v>
      </c>
      <c r="O216" s="42">
        <f t="shared" si="30"/>
        <v>0</v>
      </c>
      <c r="P216" s="196"/>
      <c r="Q216" s="162"/>
      <c r="R216" s="162"/>
      <c r="S216" s="162"/>
      <c r="T216" s="162"/>
      <c r="U216" s="162"/>
      <c r="AF216" s="11"/>
      <c r="AG216" s="11"/>
      <c r="AH216" s="11"/>
      <c r="AI216" s="11"/>
      <c r="AJ216" s="11"/>
      <c r="AK216" s="11"/>
      <c r="AL216" s="11"/>
    </row>
    <row r="217" spans="1:38" x14ac:dyDescent="0.25">
      <c r="A217" s="38">
        <f>+Données!A217</f>
        <v>5756</v>
      </c>
      <c r="B217" s="181" t="str">
        <f>+Données!B217</f>
        <v>Montcherand</v>
      </c>
      <c r="C217" s="170">
        <f>+Ecrêtage!C217</f>
        <v>20941.594027777777</v>
      </c>
      <c r="D217" s="168"/>
      <c r="E217" s="170">
        <f>Données!AF217+Données!AG217+Données!AH217</f>
        <v>0</v>
      </c>
      <c r="F217" s="168">
        <f t="shared" si="24"/>
        <v>167532.75222222222</v>
      </c>
      <c r="G217" s="8">
        <f t="shared" si="25"/>
        <v>0</v>
      </c>
      <c r="H217" s="234">
        <f t="shared" si="26"/>
        <v>0</v>
      </c>
      <c r="J217" s="8">
        <f>Données!AN217</f>
        <v>0</v>
      </c>
      <c r="K217" s="152">
        <f t="shared" si="27"/>
        <v>20941.594027777777</v>
      </c>
      <c r="L217" s="12">
        <f t="shared" si="28"/>
        <v>0</v>
      </c>
      <c r="M217" s="234">
        <f t="shared" si="29"/>
        <v>0</v>
      </c>
      <c r="O217" s="42">
        <f t="shared" si="30"/>
        <v>0</v>
      </c>
      <c r="P217" s="196"/>
      <c r="Q217" s="162"/>
      <c r="R217" s="162"/>
      <c r="S217" s="162"/>
      <c r="T217" s="162"/>
      <c r="U217" s="162"/>
      <c r="AF217" s="11"/>
      <c r="AG217" s="11"/>
      <c r="AH217" s="11"/>
      <c r="AI217" s="11"/>
      <c r="AJ217" s="11"/>
      <c r="AK217" s="11"/>
      <c r="AL217" s="11"/>
    </row>
    <row r="218" spans="1:38" x14ac:dyDescent="0.25">
      <c r="A218" s="38">
        <f>+Données!A218</f>
        <v>5757</v>
      </c>
      <c r="B218" s="181" t="str">
        <f>+Données!B218</f>
        <v>Orbe</v>
      </c>
      <c r="C218" s="170">
        <f>+Ecrêtage!C218</f>
        <v>226209.22728476822</v>
      </c>
      <c r="D218" s="168"/>
      <c r="E218" s="170">
        <f>Données!AF218+Données!AG218+Données!AH218</f>
        <v>0</v>
      </c>
      <c r="F218" s="168">
        <f t="shared" si="24"/>
        <v>1809673.8182781457</v>
      </c>
      <c r="G218" s="8">
        <f t="shared" si="25"/>
        <v>0</v>
      </c>
      <c r="H218" s="234">
        <f t="shared" si="26"/>
        <v>0</v>
      </c>
      <c r="J218" s="8">
        <f>Données!AN218</f>
        <v>0</v>
      </c>
      <c r="K218" s="152">
        <f t="shared" si="27"/>
        <v>226209.22728476822</v>
      </c>
      <c r="L218" s="12">
        <f t="shared" si="28"/>
        <v>0</v>
      </c>
      <c r="M218" s="234">
        <f t="shared" si="29"/>
        <v>0</v>
      </c>
      <c r="O218" s="42">
        <f t="shared" si="30"/>
        <v>0</v>
      </c>
      <c r="P218" s="196"/>
      <c r="Q218" s="162"/>
      <c r="R218" s="162"/>
      <c r="S218" s="162"/>
      <c r="T218" s="162"/>
      <c r="U218" s="162"/>
      <c r="AF218" s="11"/>
      <c r="AG218" s="11"/>
      <c r="AH218" s="11"/>
      <c r="AI218" s="11"/>
      <c r="AJ218" s="11"/>
      <c r="AK218" s="11"/>
      <c r="AL218" s="11"/>
    </row>
    <row r="219" spans="1:38" x14ac:dyDescent="0.25">
      <c r="A219" s="38">
        <f>+Données!A219</f>
        <v>5758</v>
      </c>
      <c r="B219" s="181" t="str">
        <f>+Données!B219</f>
        <v>La Praz</v>
      </c>
      <c r="C219" s="170">
        <f>+Ecrêtage!C219</f>
        <v>5593.0973493975916</v>
      </c>
      <c r="D219" s="168"/>
      <c r="E219" s="170">
        <f>Données!AF219+Données!AG219+Données!AH219</f>
        <v>0</v>
      </c>
      <c r="F219" s="168">
        <f t="shared" si="24"/>
        <v>44744.778795180733</v>
      </c>
      <c r="G219" s="8">
        <f t="shared" si="25"/>
        <v>0</v>
      </c>
      <c r="H219" s="234">
        <f t="shared" si="26"/>
        <v>0</v>
      </c>
      <c r="J219" s="8">
        <f>Données!AN219</f>
        <v>0</v>
      </c>
      <c r="K219" s="152">
        <f t="shared" si="27"/>
        <v>5593.0973493975916</v>
      </c>
      <c r="L219" s="12">
        <f t="shared" si="28"/>
        <v>0</v>
      </c>
      <c r="M219" s="234">
        <f t="shared" si="29"/>
        <v>0</v>
      </c>
      <c r="O219" s="42">
        <f t="shared" si="30"/>
        <v>0</v>
      </c>
      <c r="P219" s="196"/>
      <c r="Q219" s="162"/>
      <c r="R219" s="162"/>
      <c r="S219" s="162"/>
      <c r="T219" s="162"/>
      <c r="U219" s="162"/>
      <c r="AF219" s="11"/>
      <c r="AG219" s="11"/>
      <c r="AH219" s="11"/>
      <c r="AI219" s="11"/>
      <c r="AJ219" s="11"/>
      <c r="AK219" s="11"/>
      <c r="AL219" s="11"/>
    </row>
    <row r="220" spans="1:38" x14ac:dyDescent="0.25">
      <c r="A220" s="38">
        <f>+Données!A220</f>
        <v>5759</v>
      </c>
      <c r="B220" s="181" t="str">
        <f>+Données!B220</f>
        <v>Premier</v>
      </c>
      <c r="C220" s="170">
        <f>+Ecrêtage!C220</f>
        <v>5351.6616352201272</v>
      </c>
      <c r="D220" s="168"/>
      <c r="E220" s="170">
        <f>Données!AF220+Données!AG220+Données!AH220</f>
        <v>0</v>
      </c>
      <c r="F220" s="168">
        <f t="shared" si="24"/>
        <v>42813.293081761018</v>
      </c>
      <c r="G220" s="8">
        <f t="shared" si="25"/>
        <v>0</v>
      </c>
      <c r="H220" s="234">
        <f t="shared" si="26"/>
        <v>0</v>
      </c>
      <c r="J220" s="8">
        <f>Données!AN220</f>
        <v>0</v>
      </c>
      <c r="K220" s="152">
        <f t="shared" si="27"/>
        <v>5351.6616352201272</v>
      </c>
      <c r="L220" s="12">
        <f t="shared" si="28"/>
        <v>0</v>
      </c>
      <c r="M220" s="234">
        <f t="shared" si="29"/>
        <v>0</v>
      </c>
      <c r="O220" s="42">
        <f t="shared" si="30"/>
        <v>0</v>
      </c>
      <c r="P220" s="196"/>
      <c r="Q220" s="162"/>
      <c r="R220" s="162"/>
      <c r="S220" s="162"/>
      <c r="T220" s="162"/>
      <c r="U220" s="162"/>
      <c r="AF220" s="11"/>
      <c r="AG220" s="11"/>
      <c r="AH220" s="11"/>
      <c r="AI220" s="11"/>
      <c r="AJ220" s="11"/>
      <c r="AK220" s="11"/>
      <c r="AL220" s="11"/>
    </row>
    <row r="221" spans="1:38" x14ac:dyDescent="0.25">
      <c r="A221" s="38">
        <f>+Données!A221</f>
        <v>5760</v>
      </c>
      <c r="B221" s="181" t="str">
        <f>+Données!B221</f>
        <v>Rances</v>
      </c>
      <c r="C221" s="170">
        <f>+Ecrêtage!C221</f>
        <v>16377.081307189543</v>
      </c>
      <c r="D221" s="168"/>
      <c r="E221" s="170">
        <f>Données!AF221+Données!AG221+Données!AH221</f>
        <v>0</v>
      </c>
      <c r="F221" s="168">
        <f t="shared" si="24"/>
        <v>131016.65045751634</v>
      </c>
      <c r="G221" s="8">
        <f t="shared" si="25"/>
        <v>0</v>
      </c>
      <c r="H221" s="234">
        <f t="shared" si="26"/>
        <v>0</v>
      </c>
      <c r="J221" s="8">
        <f>Données!AN221</f>
        <v>0</v>
      </c>
      <c r="K221" s="152">
        <f t="shared" si="27"/>
        <v>16377.081307189543</v>
      </c>
      <c r="L221" s="12">
        <f t="shared" si="28"/>
        <v>0</v>
      </c>
      <c r="M221" s="234">
        <f t="shared" si="29"/>
        <v>0</v>
      </c>
      <c r="O221" s="42">
        <f t="shared" si="30"/>
        <v>0</v>
      </c>
      <c r="P221" s="196"/>
      <c r="Q221" s="162"/>
      <c r="R221" s="162"/>
      <c r="S221" s="162"/>
      <c r="T221" s="162"/>
      <c r="U221" s="162"/>
      <c r="AF221" s="11"/>
      <c r="AG221" s="11"/>
      <c r="AH221" s="11"/>
      <c r="AI221" s="11"/>
      <c r="AJ221" s="11"/>
      <c r="AK221" s="11"/>
      <c r="AL221" s="11"/>
    </row>
    <row r="222" spans="1:38" x14ac:dyDescent="0.25">
      <c r="A222" s="38">
        <f>+Données!A222</f>
        <v>5761</v>
      </c>
      <c r="B222" s="181" t="str">
        <f>+Données!B222</f>
        <v>Romainmôtier-Envy</v>
      </c>
      <c r="C222" s="170">
        <f>+Ecrêtage!C222</f>
        <v>13471.82785634119</v>
      </c>
      <c r="D222" s="168"/>
      <c r="E222" s="170">
        <f>Données!AF222+Données!AG222+Données!AH222</f>
        <v>0</v>
      </c>
      <c r="F222" s="168">
        <f t="shared" si="24"/>
        <v>107774.62285072952</v>
      </c>
      <c r="G222" s="8">
        <f t="shared" si="25"/>
        <v>0</v>
      </c>
      <c r="H222" s="234">
        <f t="shared" si="26"/>
        <v>0</v>
      </c>
      <c r="J222" s="8">
        <f>Données!AN222</f>
        <v>0</v>
      </c>
      <c r="K222" s="152">
        <f t="shared" si="27"/>
        <v>13471.82785634119</v>
      </c>
      <c r="L222" s="12">
        <f t="shared" si="28"/>
        <v>0</v>
      </c>
      <c r="M222" s="234">
        <f t="shared" si="29"/>
        <v>0</v>
      </c>
      <c r="O222" s="42">
        <f t="shared" si="30"/>
        <v>0</v>
      </c>
      <c r="P222" s="196"/>
      <c r="Q222" s="162"/>
      <c r="R222" s="162"/>
      <c r="S222" s="162"/>
      <c r="T222" s="162"/>
      <c r="U222" s="162"/>
      <c r="AF222" s="11"/>
      <c r="AG222" s="11"/>
      <c r="AH222" s="11"/>
      <c r="AI222" s="11"/>
      <c r="AJ222" s="11"/>
      <c r="AK222" s="11"/>
      <c r="AL222" s="11"/>
    </row>
    <row r="223" spans="1:38" x14ac:dyDescent="0.25">
      <c r="A223" s="38">
        <f>+Données!A223</f>
        <v>5762</v>
      </c>
      <c r="B223" s="181" t="str">
        <f>+Données!B223</f>
        <v>Sergey</v>
      </c>
      <c r="C223" s="170">
        <f>+Ecrêtage!C223</f>
        <v>3564.2302564102565</v>
      </c>
      <c r="D223" s="168"/>
      <c r="E223" s="170">
        <f>Données!AF223+Données!AG223+Données!AH223</f>
        <v>0</v>
      </c>
      <c r="F223" s="168">
        <f t="shared" si="24"/>
        <v>28513.842051282052</v>
      </c>
      <c r="G223" s="8">
        <f t="shared" si="25"/>
        <v>0</v>
      </c>
      <c r="H223" s="234">
        <f t="shared" si="26"/>
        <v>0</v>
      </c>
      <c r="J223" s="8">
        <f>Données!AN223</f>
        <v>0</v>
      </c>
      <c r="K223" s="152">
        <f t="shared" si="27"/>
        <v>3564.2302564102565</v>
      </c>
      <c r="L223" s="12">
        <f t="shared" si="28"/>
        <v>0</v>
      </c>
      <c r="M223" s="234">
        <f t="shared" si="29"/>
        <v>0</v>
      </c>
      <c r="O223" s="42">
        <f t="shared" si="30"/>
        <v>0</v>
      </c>
      <c r="P223" s="196"/>
      <c r="Q223" s="162"/>
      <c r="R223" s="162"/>
      <c r="S223" s="162"/>
      <c r="T223" s="162"/>
      <c r="U223" s="162"/>
      <c r="AF223" s="11"/>
      <c r="AG223" s="11"/>
      <c r="AH223" s="11"/>
      <c r="AI223" s="11"/>
      <c r="AJ223" s="11"/>
      <c r="AK223" s="11"/>
      <c r="AL223" s="11"/>
    </row>
    <row r="224" spans="1:38" x14ac:dyDescent="0.25">
      <c r="A224" s="38">
        <f>+Données!A224</f>
        <v>5763</v>
      </c>
      <c r="B224" s="181" t="str">
        <f>+Données!B224</f>
        <v>Valeyres-sous-Rances</v>
      </c>
      <c r="C224" s="170">
        <f>+Ecrêtage!C224</f>
        <v>21279.080140845068</v>
      </c>
      <c r="D224" s="168"/>
      <c r="E224" s="170">
        <f>Données!AF224+Données!AG224+Données!AH224</f>
        <v>0</v>
      </c>
      <c r="F224" s="168">
        <f t="shared" si="24"/>
        <v>170232.64112676054</v>
      </c>
      <c r="G224" s="8">
        <f t="shared" si="25"/>
        <v>0</v>
      </c>
      <c r="H224" s="234">
        <f t="shared" si="26"/>
        <v>0</v>
      </c>
      <c r="J224" s="8">
        <f>Données!AN224</f>
        <v>0</v>
      </c>
      <c r="K224" s="152">
        <f t="shared" si="27"/>
        <v>21279.080140845068</v>
      </c>
      <c r="L224" s="12">
        <f t="shared" si="28"/>
        <v>0</v>
      </c>
      <c r="M224" s="234">
        <f t="shared" si="29"/>
        <v>0</v>
      </c>
      <c r="O224" s="42">
        <f t="shared" si="30"/>
        <v>0</v>
      </c>
      <c r="P224" s="196"/>
      <c r="Q224" s="162"/>
      <c r="R224" s="162"/>
      <c r="S224" s="162"/>
      <c r="T224" s="162"/>
      <c r="U224" s="162"/>
      <c r="AF224" s="11"/>
      <c r="AG224" s="11"/>
      <c r="AH224" s="11"/>
      <c r="AI224" s="11"/>
      <c r="AJ224" s="11"/>
      <c r="AK224" s="11"/>
      <c r="AL224" s="11"/>
    </row>
    <row r="225" spans="1:38" x14ac:dyDescent="0.25">
      <c r="A225" s="38">
        <f>+Données!A225</f>
        <v>5764</v>
      </c>
      <c r="B225" s="181" t="str">
        <f>+Données!B225</f>
        <v>Vallorbe</v>
      </c>
      <c r="C225" s="170">
        <f>+Ecrêtage!C225</f>
        <v>94417.86909090908</v>
      </c>
      <c r="D225" s="168"/>
      <c r="E225" s="170">
        <f>Données!AF225+Données!AG225+Données!AH225</f>
        <v>0</v>
      </c>
      <c r="F225" s="168">
        <f t="shared" si="24"/>
        <v>755342.95272727264</v>
      </c>
      <c r="G225" s="8">
        <f t="shared" si="25"/>
        <v>0</v>
      </c>
      <c r="H225" s="234">
        <f t="shared" si="26"/>
        <v>0</v>
      </c>
      <c r="J225" s="8">
        <f>Données!AN225</f>
        <v>0</v>
      </c>
      <c r="K225" s="152">
        <f t="shared" si="27"/>
        <v>94417.86909090908</v>
      </c>
      <c r="L225" s="12">
        <f t="shared" si="28"/>
        <v>0</v>
      </c>
      <c r="M225" s="234">
        <f t="shared" si="29"/>
        <v>0</v>
      </c>
      <c r="O225" s="42">
        <f t="shared" si="30"/>
        <v>0</v>
      </c>
      <c r="P225" s="196"/>
      <c r="Q225" s="162"/>
      <c r="R225" s="162"/>
      <c r="S225" s="162"/>
      <c r="T225" s="162"/>
      <c r="U225" s="162"/>
      <c r="AF225" s="11"/>
      <c r="AG225" s="11"/>
      <c r="AH225" s="11"/>
      <c r="AI225" s="11"/>
      <c r="AJ225" s="11"/>
      <c r="AK225" s="11"/>
      <c r="AL225" s="11"/>
    </row>
    <row r="226" spans="1:38" x14ac:dyDescent="0.25">
      <c r="A226" s="38">
        <f>+Données!A226</f>
        <v>5765</v>
      </c>
      <c r="B226" s="181" t="str">
        <f>+Données!B226</f>
        <v>Vaulion</v>
      </c>
      <c r="C226" s="170">
        <f>+Ecrêtage!C226</f>
        <v>11559.011234567901</v>
      </c>
      <c r="D226" s="168"/>
      <c r="E226" s="170">
        <f>Données!AF226+Données!AG226+Données!AH226</f>
        <v>0</v>
      </c>
      <c r="F226" s="168">
        <f t="shared" si="24"/>
        <v>92472.089876543207</v>
      </c>
      <c r="G226" s="8">
        <f t="shared" si="25"/>
        <v>0</v>
      </c>
      <c r="H226" s="234">
        <f t="shared" si="26"/>
        <v>0</v>
      </c>
      <c r="J226" s="8">
        <f>Données!AN226</f>
        <v>0</v>
      </c>
      <c r="K226" s="152">
        <f t="shared" si="27"/>
        <v>11559.011234567901</v>
      </c>
      <c r="L226" s="12">
        <f t="shared" si="28"/>
        <v>0</v>
      </c>
      <c r="M226" s="234">
        <f t="shared" si="29"/>
        <v>0</v>
      </c>
      <c r="O226" s="42">
        <f t="shared" si="30"/>
        <v>0</v>
      </c>
      <c r="P226" s="196"/>
      <c r="Q226" s="162"/>
      <c r="R226" s="162"/>
      <c r="S226" s="162"/>
      <c r="T226" s="162"/>
      <c r="U226" s="162"/>
      <c r="AF226" s="11"/>
      <c r="AG226" s="11"/>
      <c r="AH226" s="11"/>
      <c r="AI226" s="11"/>
      <c r="AJ226" s="11"/>
      <c r="AK226" s="11"/>
      <c r="AL226" s="11"/>
    </row>
    <row r="227" spans="1:38" x14ac:dyDescent="0.25">
      <c r="A227" s="38">
        <f>+Données!A227</f>
        <v>5766</v>
      </c>
      <c r="B227" s="181" t="str">
        <f>+Données!B227</f>
        <v>Vuiteboeuf</v>
      </c>
      <c r="C227" s="170">
        <f>+Ecrêtage!C227</f>
        <v>14621.166361904759</v>
      </c>
      <c r="D227" s="168"/>
      <c r="E227" s="170">
        <f>Données!AF227+Données!AG227+Données!AH227</f>
        <v>0</v>
      </c>
      <c r="F227" s="168">
        <f t="shared" si="24"/>
        <v>116969.33089523808</v>
      </c>
      <c r="G227" s="8">
        <f t="shared" si="25"/>
        <v>0</v>
      </c>
      <c r="H227" s="234">
        <f t="shared" si="26"/>
        <v>0</v>
      </c>
      <c r="J227" s="8">
        <f>Données!AN227</f>
        <v>0</v>
      </c>
      <c r="K227" s="152">
        <f t="shared" si="27"/>
        <v>14621.166361904759</v>
      </c>
      <c r="L227" s="12">
        <f t="shared" si="28"/>
        <v>0</v>
      </c>
      <c r="M227" s="234">
        <f t="shared" si="29"/>
        <v>0</v>
      </c>
      <c r="O227" s="42">
        <f t="shared" si="30"/>
        <v>0</v>
      </c>
      <c r="P227" s="196"/>
      <c r="Q227" s="162"/>
      <c r="R227" s="162"/>
      <c r="S227" s="162"/>
      <c r="T227" s="162"/>
      <c r="U227" s="162"/>
      <c r="AF227" s="11"/>
      <c r="AG227" s="11"/>
      <c r="AH227" s="11"/>
      <c r="AI227" s="11"/>
      <c r="AJ227" s="11"/>
      <c r="AK227" s="11"/>
      <c r="AL227" s="11"/>
    </row>
    <row r="228" spans="1:38" x14ac:dyDescent="0.25">
      <c r="A228" s="38">
        <f>+Données!A228</f>
        <v>5785</v>
      </c>
      <c r="B228" s="181" t="str">
        <f>+Données!B228</f>
        <v>Corcelles-le-Jorat</v>
      </c>
      <c r="C228" s="170">
        <f>+Ecrêtage!C228</f>
        <v>17967.826266666671</v>
      </c>
      <c r="D228" s="168"/>
      <c r="E228" s="170">
        <f>Données!AF228+Données!AG228+Données!AH228</f>
        <v>0</v>
      </c>
      <c r="F228" s="168">
        <f t="shared" si="24"/>
        <v>143742.61013333336</v>
      </c>
      <c r="G228" s="8">
        <f t="shared" si="25"/>
        <v>0</v>
      </c>
      <c r="H228" s="234">
        <f t="shared" si="26"/>
        <v>0</v>
      </c>
      <c r="J228" s="8">
        <f>Données!AN228</f>
        <v>0</v>
      </c>
      <c r="K228" s="152">
        <f t="shared" si="27"/>
        <v>17967.826266666671</v>
      </c>
      <c r="L228" s="12">
        <f t="shared" si="28"/>
        <v>0</v>
      </c>
      <c r="M228" s="234">
        <f t="shared" si="29"/>
        <v>0</v>
      </c>
      <c r="O228" s="42">
        <f t="shared" si="30"/>
        <v>0</v>
      </c>
      <c r="P228" s="196"/>
      <c r="Q228" s="162"/>
      <c r="R228" s="162"/>
      <c r="S228" s="162"/>
      <c r="T228" s="162"/>
      <c r="U228" s="162"/>
      <c r="AF228" s="11"/>
      <c r="AG228" s="11"/>
      <c r="AH228" s="11"/>
      <c r="AI228" s="11"/>
      <c r="AJ228" s="11"/>
      <c r="AK228" s="11"/>
      <c r="AL228" s="11"/>
    </row>
    <row r="229" spans="1:38" x14ac:dyDescent="0.25">
      <c r="A229" s="38">
        <f>+Données!A229</f>
        <v>5790</v>
      </c>
      <c r="B229" s="181" t="str">
        <f>+Données!B229</f>
        <v>Maracon</v>
      </c>
      <c r="C229" s="170">
        <f>+Ecrêtage!C229</f>
        <v>17556.382281879196</v>
      </c>
      <c r="D229" s="168"/>
      <c r="E229" s="170">
        <f>Données!AF229+Données!AG229+Données!AH229</f>
        <v>0</v>
      </c>
      <c r="F229" s="168">
        <f t="shared" si="24"/>
        <v>140451.05825503357</v>
      </c>
      <c r="G229" s="8">
        <f t="shared" si="25"/>
        <v>0</v>
      </c>
      <c r="H229" s="234">
        <f t="shared" si="26"/>
        <v>0</v>
      </c>
      <c r="J229" s="8">
        <f>Données!AN229</f>
        <v>0</v>
      </c>
      <c r="K229" s="152">
        <f t="shared" si="27"/>
        <v>17556.382281879196</v>
      </c>
      <c r="L229" s="12">
        <f t="shared" si="28"/>
        <v>0</v>
      </c>
      <c r="M229" s="234">
        <f t="shared" si="29"/>
        <v>0</v>
      </c>
      <c r="O229" s="42">
        <f t="shared" si="30"/>
        <v>0</v>
      </c>
      <c r="P229" s="196"/>
      <c r="Q229" s="162"/>
      <c r="R229" s="162"/>
      <c r="S229" s="162"/>
      <c r="T229" s="162"/>
      <c r="U229" s="162"/>
      <c r="AF229" s="11"/>
      <c r="AG229" s="11"/>
      <c r="AH229" s="11"/>
      <c r="AI229" s="11"/>
      <c r="AJ229" s="11"/>
      <c r="AK229" s="11"/>
      <c r="AL229" s="11"/>
    </row>
    <row r="230" spans="1:38" x14ac:dyDescent="0.25">
      <c r="A230" s="38">
        <f>+Données!A230</f>
        <v>5792</v>
      </c>
      <c r="B230" s="181" t="str">
        <f>+Données!B230</f>
        <v>Montpreveyres</v>
      </c>
      <c r="C230" s="170">
        <f>+Ecrêtage!C230</f>
        <v>19503.116799999996</v>
      </c>
      <c r="D230" s="168"/>
      <c r="E230" s="170">
        <f>Données!AF230+Données!AG230+Données!AH230</f>
        <v>0</v>
      </c>
      <c r="F230" s="168">
        <f t="shared" si="24"/>
        <v>156024.93439999997</v>
      </c>
      <c r="G230" s="8">
        <f t="shared" si="25"/>
        <v>0</v>
      </c>
      <c r="H230" s="234">
        <f t="shared" si="26"/>
        <v>0</v>
      </c>
      <c r="J230" s="8">
        <f>Données!AN230</f>
        <v>0</v>
      </c>
      <c r="K230" s="152">
        <f t="shared" si="27"/>
        <v>19503.116799999996</v>
      </c>
      <c r="L230" s="12">
        <f t="shared" si="28"/>
        <v>0</v>
      </c>
      <c r="M230" s="234">
        <f t="shared" si="29"/>
        <v>0</v>
      </c>
      <c r="O230" s="42">
        <f t="shared" si="30"/>
        <v>0</v>
      </c>
      <c r="P230" s="196"/>
      <c r="Q230" s="162"/>
      <c r="R230" s="162"/>
      <c r="S230" s="162"/>
      <c r="T230" s="162"/>
      <c r="U230" s="162"/>
      <c r="AF230" s="11"/>
      <c r="AG230" s="11"/>
      <c r="AH230" s="11"/>
      <c r="AI230" s="11"/>
      <c r="AJ230" s="11"/>
      <c r="AK230" s="11"/>
      <c r="AL230" s="11"/>
    </row>
    <row r="231" spans="1:38" x14ac:dyDescent="0.25">
      <c r="A231" s="38">
        <f>+Données!A231</f>
        <v>5798</v>
      </c>
      <c r="B231" s="181" t="str">
        <f>+Données!B231</f>
        <v>Ropraz</v>
      </c>
      <c r="C231" s="170">
        <f>+Ecrêtage!C231</f>
        <v>16096.874193548387</v>
      </c>
      <c r="D231" s="168"/>
      <c r="E231" s="170">
        <f>Données!AF231+Données!AG231+Données!AH231</f>
        <v>0</v>
      </c>
      <c r="F231" s="168">
        <f t="shared" si="24"/>
        <v>128774.99354838709</v>
      </c>
      <c r="G231" s="8">
        <f t="shared" si="25"/>
        <v>0</v>
      </c>
      <c r="H231" s="234">
        <f t="shared" si="26"/>
        <v>0</v>
      </c>
      <c r="J231" s="8">
        <f>Données!AN231</f>
        <v>0</v>
      </c>
      <c r="K231" s="152">
        <f t="shared" si="27"/>
        <v>16096.874193548387</v>
      </c>
      <c r="L231" s="12">
        <f t="shared" si="28"/>
        <v>0</v>
      </c>
      <c r="M231" s="234">
        <f t="shared" si="29"/>
        <v>0</v>
      </c>
      <c r="O231" s="42">
        <f t="shared" si="30"/>
        <v>0</v>
      </c>
      <c r="P231" s="196"/>
      <c r="Q231" s="162"/>
      <c r="R231" s="162"/>
      <c r="S231" s="162"/>
      <c r="T231" s="162"/>
      <c r="U231" s="162"/>
      <c r="AF231" s="11"/>
      <c r="AG231" s="11"/>
      <c r="AH231" s="11"/>
      <c r="AI231" s="11"/>
      <c r="AJ231" s="11"/>
      <c r="AK231" s="11"/>
      <c r="AL231" s="11"/>
    </row>
    <row r="232" spans="1:38" x14ac:dyDescent="0.25">
      <c r="A232" s="38">
        <f>+Données!A232</f>
        <v>5799</v>
      </c>
      <c r="B232" s="181" t="str">
        <f>+Données!B232</f>
        <v>Servion</v>
      </c>
      <c r="C232" s="170">
        <f>+Ecrêtage!C232</f>
        <v>78403.185652173925</v>
      </c>
      <c r="D232" s="168"/>
      <c r="E232" s="170">
        <f>Données!AF232+Données!AG232+Données!AH232</f>
        <v>0</v>
      </c>
      <c r="F232" s="168">
        <f t="shared" si="24"/>
        <v>627225.4852173914</v>
      </c>
      <c r="G232" s="8">
        <f t="shared" si="25"/>
        <v>0</v>
      </c>
      <c r="H232" s="234">
        <f t="shared" si="26"/>
        <v>0</v>
      </c>
      <c r="J232" s="8">
        <f>Données!AN232</f>
        <v>0</v>
      </c>
      <c r="K232" s="152">
        <f t="shared" si="27"/>
        <v>78403.185652173925</v>
      </c>
      <c r="L232" s="12">
        <f t="shared" si="28"/>
        <v>0</v>
      </c>
      <c r="M232" s="234">
        <f t="shared" si="29"/>
        <v>0</v>
      </c>
      <c r="O232" s="42">
        <f t="shared" si="30"/>
        <v>0</v>
      </c>
      <c r="P232" s="196"/>
      <c r="Q232" s="162"/>
      <c r="R232" s="162"/>
      <c r="S232" s="162"/>
      <c r="T232" s="162"/>
      <c r="U232" s="162"/>
      <c r="AF232" s="11"/>
      <c r="AG232" s="11"/>
      <c r="AH232" s="11"/>
      <c r="AI232" s="11"/>
      <c r="AJ232" s="11"/>
      <c r="AK232" s="11"/>
      <c r="AL232" s="11"/>
    </row>
    <row r="233" spans="1:38" x14ac:dyDescent="0.25">
      <c r="A233" s="38">
        <f>+Données!A233</f>
        <v>5803</v>
      </c>
      <c r="B233" s="181" t="str">
        <f>+Données!B233</f>
        <v>Vulliens</v>
      </c>
      <c r="C233" s="170">
        <f>+Ecrêtage!C233</f>
        <v>18504.850945945949</v>
      </c>
      <c r="D233" s="168"/>
      <c r="E233" s="170">
        <f>Données!AF233+Données!AG233+Données!AH233</f>
        <v>0</v>
      </c>
      <c r="F233" s="168">
        <f t="shared" si="24"/>
        <v>148038.80756756759</v>
      </c>
      <c r="G233" s="8">
        <f t="shared" si="25"/>
        <v>0</v>
      </c>
      <c r="H233" s="234">
        <f t="shared" si="26"/>
        <v>0</v>
      </c>
      <c r="J233" s="8">
        <f>Données!AN233</f>
        <v>0</v>
      </c>
      <c r="K233" s="152">
        <f t="shared" si="27"/>
        <v>18504.850945945949</v>
      </c>
      <c r="L233" s="12">
        <f t="shared" si="28"/>
        <v>0</v>
      </c>
      <c r="M233" s="234">
        <f t="shared" si="29"/>
        <v>0</v>
      </c>
      <c r="O233" s="42">
        <f t="shared" si="30"/>
        <v>0</v>
      </c>
      <c r="P233" s="196"/>
      <c r="Q233" s="162"/>
      <c r="R233" s="162"/>
      <c r="S233" s="162"/>
      <c r="T233" s="162"/>
      <c r="U233" s="162"/>
      <c r="AF233" s="11"/>
      <c r="AG233" s="11"/>
      <c r="AH233" s="11"/>
      <c r="AI233" s="11"/>
      <c r="AJ233" s="11"/>
      <c r="AK233" s="11"/>
      <c r="AL233" s="11"/>
    </row>
    <row r="234" spans="1:38" x14ac:dyDescent="0.25">
      <c r="A234" s="38">
        <f>+Données!A234</f>
        <v>5804</v>
      </c>
      <c r="B234" s="181" t="str">
        <f>+Données!B234</f>
        <v>Jorat-Menthue</v>
      </c>
      <c r="C234" s="170">
        <f>+Ecrêtage!C234</f>
        <v>49008.353617021276</v>
      </c>
      <c r="D234" s="168"/>
      <c r="E234" s="170">
        <f>Données!AF234+Données!AG234+Données!AH234</f>
        <v>0</v>
      </c>
      <c r="F234" s="168">
        <f t="shared" si="24"/>
        <v>392066.8289361702</v>
      </c>
      <c r="G234" s="8">
        <f t="shared" si="25"/>
        <v>0</v>
      </c>
      <c r="H234" s="234">
        <f t="shared" si="26"/>
        <v>0</v>
      </c>
      <c r="J234" s="8">
        <f>Données!AN234</f>
        <v>0</v>
      </c>
      <c r="K234" s="152">
        <f t="shared" si="27"/>
        <v>49008.353617021276</v>
      </c>
      <c r="L234" s="12">
        <f t="shared" si="28"/>
        <v>0</v>
      </c>
      <c r="M234" s="234">
        <f t="shared" si="29"/>
        <v>0</v>
      </c>
      <c r="O234" s="42">
        <f t="shared" si="30"/>
        <v>0</v>
      </c>
      <c r="P234" s="196"/>
      <c r="Q234" s="162"/>
      <c r="R234" s="162"/>
      <c r="S234" s="162"/>
      <c r="T234" s="162"/>
      <c r="U234" s="162"/>
      <c r="AF234" s="11"/>
      <c r="AG234" s="11"/>
      <c r="AH234" s="11"/>
      <c r="AI234" s="11"/>
      <c r="AJ234" s="11"/>
      <c r="AK234" s="11"/>
      <c r="AL234" s="11"/>
    </row>
    <row r="235" spans="1:38" x14ac:dyDescent="0.25">
      <c r="A235" s="38">
        <f>+Données!A235</f>
        <v>5805</v>
      </c>
      <c r="B235" s="181" t="str">
        <f>+Données!B235</f>
        <v>Oron</v>
      </c>
      <c r="C235" s="170">
        <f>+Ecrêtage!C235</f>
        <v>177337.10588932806</v>
      </c>
      <c r="D235" s="168"/>
      <c r="E235" s="170">
        <f>Données!AF235+Données!AG235+Données!AH235</f>
        <v>0</v>
      </c>
      <c r="F235" s="168">
        <f t="shared" si="24"/>
        <v>1418696.8471146245</v>
      </c>
      <c r="G235" s="8">
        <f t="shared" si="25"/>
        <v>0</v>
      </c>
      <c r="H235" s="234">
        <f t="shared" si="26"/>
        <v>0</v>
      </c>
      <c r="J235" s="8">
        <f>Données!AN235</f>
        <v>0</v>
      </c>
      <c r="K235" s="152">
        <f t="shared" si="27"/>
        <v>177337.10588932806</v>
      </c>
      <c r="L235" s="12">
        <f t="shared" si="28"/>
        <v>0</v>
      </c>
      <c r="M235" s="234">
        <f t="shared" si="29"/>
        <v>0</v>
      </c>
      <c r="O235" s="42">
        <f t="shared" si="30"/>
        <v>0</v>
      </c>
      <c r="P235" s="196"/>
      <c r="Q235" s="162"/>
      <c r="R235" s="162"/>
      <c r="S235" s="162"/>
      <c r="T235" s="162"/>
      <c r="U235" s="162"/>
      <c r="AF235" s="11"/>
      <c r="AG235" s="11"/>
      <c r="AH235" s="11"/>
      <c r="AI235" s="11"/>
      <c r="AJ235" s="11"/>
      <c r="AK235" s="11"/>
      <c r="AL235" s="11"/>
    </row>
    <row r="236" spans="1:38" x14ac:dyDescent="0.25">
      <c r="A236" s="38">
        <f>+Données!A236</f>
        <v>5806</v>
      </c>
      <c r="B236" s="181" t="str">
        <f>+Données!B236</f>
        <v>Jorat-Mézières</v>
      </c>
      <c r="C236" s="170">
        <f>+Ecrêtage!C236</f>
        <v>98520.834794520561</v>
      </c>
      <c r="D236" s="168"/>
      <c r="E236" s="170">
        <f>Données!AF236+Données!AG236+Données!AH236</f>
        <v>0</v>
      </c>
      <c r="F236" s="168">
        <f t="shared" si="24"/>
        <v>788166.67835616448</v>
      </c>
      <c r="G236" s="8">
        <f t="shared" si="25"/>
        <v>0</v>
      </c>
      <c r="H236" s="234">
        <f t="shared" si="26"/>
        <v>0</v>
      </c>
      <c r="J236" s="8">
        <f>Données!AN236</f>
        <v>0</v>
      </c>
      <c r="K236" s="152">
        <f t="shared" si="27"/>
        <v>98520.834794520561</v>
      </c>
      <c r="L236" s="12">
        <f t="shared" si="28"/>
        <v>0</v>
      </c>
      <c r="M236" s="234">
        <f t="shared" si="29"/>
        <v>0</v>
      </c>
      <c r="O236" s="42">
        <f t="shared" si="30"/>
        <v>0</v>
      </c>
      <c r="P236" s="196"/>
      <c r="Q236" s="162"/>
      <c r="R236" s="162"/>
      <c r="S236" s="162"/>
      <c r="T236" s="162"/>
      <c r="U236" s="162"/>
      <c r="AF236" s="11"/>
      <c r="AG236" s="11"/>
      <c r="AH236" s="11"/>
      <c r="AI236" s="11"/>
      <c r="AJ236" s="11"/>
      <c r="AK236" s="11"/>
      <c r="AL236" s="11"/>
    </row>
    <row r="237" spans="1:38" x14ac:dyDescent="0.25">
      <c r="A237" s="38">
        <f>+Données!A237</f>
        <v>5812</v>
      </c>
      <c r="B237" s="181" t="str">
        <f>+Données!B237</f>
        <v>Champtauroz</v>
      </c>
      <c r="C237" s="170">
        <f>+Ecrêtage!C237</f>
        <v>3559.4911688311695</v>
      </c>
      <c r="D237" s="168"/>
      <c r="E237" s="170">
        <f>Données!AF237+Données!AG237+Données!AH237</f>
        <v>0</v>
      </c>
      <c r="F237" s="168">
        <f t="shared" si="24"/>
        <v>28475.929350649356</v>
      </c>
      <c r="G237" s="8">
        <f t="shared" si="25"/>
        <v>0</v>
      </c>
      <c r="H237" s="234">
        <f t="shared" si="26"/>
        <v>0</v>
      </c>
      <c r="J237" s="8">
        <f>Données!AN237</f>
        <v>0</v>
      </c>
      <c r="K237" s="152">
        <f t="shared" si="27"/>
        <v>3559.4911688311695</v>
      </c>
      <c r="L237" s="12">
        <f t="shared" si="28"/>
        <v>0</v>
      </c>
      <c r="M237" s="234">
        <f t="shared" si="29"/>
        <v>0</v>
      </c>
      <c r="O237" s="42">
        <f t="shared" si="30"/>
        <v>0</v>
      </c>
      <c r="P237" s="196"/>
      <c r="Q237" s="162"/>
      <c r="R237" s="162"/>
      <c r="S237" s="162"/>
      <c r="T237" s="162"/>
      <c r="U237" s="162"/>
      <c r="AF237" s="11"/>
      <c r="AG237" s="11"/>
      <c r="AH237" s="11"/>
      <c r="AI237" s="11"/>
      <c r="AJ237" s="11"/>
      <c r="AK237" s="11"/>
      <c r="AL237" s="11"/>
    </row>
    <row r="238" spans="1:38" x14ac:dyDescent="0.25">
      <c r="A238" s="38">
        <f>+Données!A238</f>
        <v>5813</v>
      </c>
      <c r="B238" s="181" t="str">
        <f>+Données!B238</f>
        <v>Chevroux</v>
      </c>
      <c r="C238" s="170">
        <f>+Ecrêtage!C238</f>
        <v>19217.847664233581</v>
      </c>
      <c r="D238" s="168"/>
      <c r="E238" s="170">
        <f>Données!AF238+Données!AG238+Données!AH238</f>
        <v>0</v>
      </c>
      <c r="F238" s="168">
        <f t="shared" si="24"/>
        <v>153742.78131386865</v>
      </c>
      <c r="G238" s="8">
        <f t="shared" si="25"/>
        <v>0</v>
      </c>
      <c r="H238" s="234">
        <f t="shared" si="26"/>
        <v>0</v>
      </c>
      <c r="J238" s="8">
        <f>Données!AN238</f>
        <v>0</v>
      </c>
      <c r="K238" s="152">
        <f t="shared" si="27"/>
        <v>19217.847664233581</v>
      </c>
      <c r="L238" s="12">
        <f t="shared" si="28"/>
        <v>0</v>
      </c>
      <c r="M238" s="234">
        <f t="shared" si="29"/>
        <v>0</v>
      </c>
      <c r="O238" s="42">
        <f t="shared" si="30"/>
        <v>0</v>
      </c>
      <c r="P238" s="196"/>
      <c r="Q238" s="162"/>
      <c r="R238" s="162"/>
      <c r="S238" s="162"/>
      <c r="T238" s="162"/>
      <c r="U238" s="162"/>
      <c r="AF238" s="11"/>
      <c r="AG238" s="11"/>
      <c r="AH238" s="11"/>
      <c r="AI238" s="11"/>
      <c r="AJ238" s="11"/>
      <c r="AK238" s="11"/>
      <c r="AL238" s="11"/>
    </row>
    <row r="239" spans="1:38" x14ac:dyDescent="0.25">
      <c r="A239" s="38">
        <f>+Données!A239</f>
        <v>5816</v>
      </c>
      <c r="B239" s="181" t="str">
        <f>+Données!B239</f>
        <v>Corcelles-près-Payerne</v>
      </c>
      <c r="C239" s="170">
        <f>+Ecrêtage!C239</f>
        <v>70362.963604395612</v>
      </c>
      <c r="D239" s="168"/>
      <c r="E239" s="170">
        <f>Données!AF239+Données!AG239+Données!AH239</f>
        <v>0</v>
      </c>
      <c r="F239" s="168">
        <f t="shared" si="24"/>
        <v>562903.7088351649</v>
      </c>
      <c r="G239" s="8">
        <f t="shared" si="25"/>
        <v>0</v>
      </c>
      <c r="H239" s="234">
        <f t="shared" si="26"/>
        <v>0</v>
      </c>
      <c r="J239" s="8">
        <f>Données!AN239</f>
        <v>0</v>
      </c>
      <c r="K239" s="152">
        <f t="shared" si="27"/>
        <v>70362.963604395612</v>
      </c>
      <c r="L239" s="12">
        <f t="shared" si="28"/>
        <v>0</v>
      </c>
      <c r="M239" s="234">
        <f t="shared" si="29"/>
        <v>0</v>
      </c>
      <c r="O239" s="42">
        <f t="shared" si="30"/>
        <v>0</v>
      </c>
      <c r="P239" s="196"/>
      <c r="Q239" s="162"/>
      <c r="R239" s="162"/>
      <c r="S239" s="162"/>
      <c r="T239" s="162"/>
      <c r="U239" s="162"/>
      <c r="AF239" s="11"/>
      <c r="AG239" s="11"/>
      <c r="AH239" s="11"/>
      <c r="AI239" s="11"/>
      <c r="AJ239" s="11"/>
      <c r="AK239" s="11"/>
      <c r="AL239" s="11"/>
    </row>
    <row r="240" spans="1:38" x14ac:dyDescent="0.25">
      <c r="A240" s="38">
        <f>+Données!A240</f>
        <v>5817</v>
      </c>
      <c r="B240" s="181" t="str">
        <f>+Données!B240</f>
        <v>Grandcour</v>
      </c>
      <c r="C240" s="170">
        <f>+Ecrêtage!C240</f>
        <v>25032.364353741497</v>
      </c>
      <c r="D240" s="168"/>
      <c r="E240" s="170">
        <f>Données!AF240+Données!AG240+Données!AH240</f>
        <v>0</v>
      </c>
      <c r="F240" s="168">
        <f t="shared" si="24"/>
        <v>200258.91482993198</v>
      </c>
      <c r="G240" s="8">
        <f t="shared" si="25"/>
        <v>0</v>
      </c>
      <c r="H240" s="234">
        <f t="shared" si="26"/>
        <v>0</v>
      </c>
      <c r="J240" s="8">
        <f>Données!AN240</f>
        <v>0</v>
      </c>
      <c r="K240" s="152">
        <f t="shared" si="27"/>
        <v>25032.364353741497</v>
      </c>
      <c r="L240" s="12">
        <f t="shared" si="28"/>
        <v>0</v>
      </c>
      <c r="M240" s="234">
        <f t="shared" si="29"/>
        <v>0</v>
      </c>
      <c r="O240" s="42">
        <f t="shared" si="30"/>
        <v>0</v>
      </c>
      <c r="P240" s="196"/>
      <c r="Q240" s="162"/>
      <c r="R240" s="162"/>
      <c r="S240" s="162"/>
      <c r="T240" s="162"/>
      <c r="U240" s="162"/>
      <c r="AF240" s="11"/>
      <c r="AG240" s="11"/>
      <c r="AH240" s="11"/>
      <c r="AI240" s="11"/>
      <c r="AJ240" s="11"/>
      <c r="AK240" s="11"/>
      <c r="AL240" s="11"/>
    </row>
    <row r="241" spans="1:38" x14ac:dyDescent="0.25">
      <c r="A241" s="38">
        <f>+Données!A241</f>
        <v>5819</v>
      </c>
      <c r="B241" s="181" t="str">
        <f>+Données!B241</f>
        <v>Henniez</v>
      </c>
      <c r="C241" s="170">
        <f>+Ecrêtage!C241</f>
        <v>17871.328115942026</v>
      </c>
      <c r="D241" s="168"/>
      <c r="E241" s="170">
        <f>Données!AF241+Données!AG241+Données!AH241</f>
        <v>0</v>
      </c>
      <c r="F241" s="168">
        <f t="shared" si="24"/>
        <v>142970.62492753621</v>
      </c>
      <c r="G241" s="8">
        <f t="shared" si="25"/>
        <v>0</v>
      </c>
      <c r="H241" s="234">
        <f t="shared" si="26"/>
        <v>0</v>
      </c>
      <c r="J241" s="8">
        <f>Données!AN241</f>
        <v>0</v>
      </c>
      <c r="K241" s="152">
        <f t="shared" si="27"/>
        <v>17871.328115942026</v>
      </c>
      <c r="L241" s="12">
        <f t="shared" si="28"/>
        <v>0</v>
      </c>
      <c r="M241" s="234">
        <f t="shared" si="29"/>
        <v>0</v>
      </c>
      <c r="O241" s="42">
        <f t="shared" si="30"/>
        <v>0</v>
      </c>
      <c r="P241" s="196"/>
      <c r="Q241" s="162"/>
      <c r="R241" s="162"/>
      <c r="S241" s="162"/>
      <c r="T241" s="162"/>
      <c r="U241" s="162"/>
      <c r="AF241" s="11"/>
      <c r="AG241" s="11"/>
      <c r="AH241" s="11"/>
      <c r="AI241" s="11"/>
      <c r="AJ241" s="11"/>
      <c r="AK241" s="11"/>
      <c r="AL241" s="11"/>
    </row>
    <row r="242" spans="1:38" x14ac:dyDescent="0.25">
      <c r="A242" s="38">
        <f>+Données!A242</f>
        <v>5821</v>
      </c>
      <c r="B242" s="181" t="str">
        <f>+Données!B242</f>
        <v>Missy</v>
      </c>
      <c r="C242" s="170">
        <f>+Ecrêtage!C242</f>
        <v>8690.2762499999972</v>
      </c>
      <c r="D242" s="168"/>
      <c r="E242" s="170">
        <f>Données!AF242+Données!AG242+Données!AH242</f>
        <v>0</v>
      </c>
      <c r="F242" s="168">
        <f t="shared" si="24"/>
        <v>69522.209999999977</v>
      </c>
      <c r="G242" s="8">
        <f t="shared" si="25"/>
        <v>0</v>
      </c>
      <c r="H242" s="234">
        <f t="shared" si="26"/>
        <v>0</v>
      </c>
      <c r="J242" s="8">
        <f>Données!AN242</f>
        <v>0</v>
      </c>
      <c r="K242" s="152">
        <f t="shared" si="27"/>
        <v>8690.2762499999972</v>
      </c>
      <c r="L242" s="12">
        <f t="shared" si="28"/>
        <v>0</v>
      </c>
      <c r="M242" s="234">
        <f t="shared" si="29"/>
        <v>0</v>
      </c>
      <c r="O242" s="42">
        <f t="shared" si="30"/>
        <v>0</v>
      </c>
      <c r="P242" s="196"/>
      <c r="Q242" s="162"/>
      <c r="R242" s="162"/>
      <c r="S242" s="162"/>
      <c r="T242" s="162"/>
      <c r="U242" s="162"/>
      <c r="AF242" s="11"/>
      <c r="AG242" s="11"/>
      <c r="AH242" s="11"/>
      <c r="AI242" s="11"/>
      <c r="AJ242" s="11"/>
      <c r="AK242" s="11"/>
      <c r="AL242" s="11"/>
    </row>
    <row r="243" spans="1:38" x14ac:dyDescent="0.25">
      <c r="A243" s="38">
        <f>+Données!A243</f>
        <v>5822</v>
      </c>
      <c r="B243" s="181" t="str">
        <f>+Données!B243</f>
        <v>Payerne</v>
      </c>
      <c r="C243" s="170">
        <f>+Ecrêtage!C243</f>
        <v>264097.39385714289</v>
      </c>
      <c r="D243" s="168"/>
      <c r="E243" s="170">
        <f>Données!AF243+Données!AG243+Données!AH243</f>
        <v>0</v>
      </c>
      <c r="F243" s="168">
        <f t="shared" si="24"/>
        <v>2112779.1508571431</v>
      </c>
      <c r="G243" s="8">
        <f t="shared" si="25"/>
        <v>0</v>
      </c>
      <c r="H243" s="234">
        <f t="shared" si="26"/>
        <v>0</v>
      </c>
      <c r="J243" s="8">
        <f>Données!AN243</f>
        <v>0</v>
      </c>
      <c r="K243" s="152">
        <f t="shared" si="27"/>
        <v>264097.39385714289</v>
      </c>
      <c r="L243" s="12">
        <f t="shared" si="28"/>
        <v>0</v>
      </c>
      <c r="M243" s="234">
        <f t="shared" si="29"/>
        <v>0</v>
      </c>
      <c r="O243" s="42">
        <f t="shared" si="30"/>
        <v>0</v>
      </c>
      <c r="P243" s="196"/>
      <c r="Q243" s="162"/>
      <c r="R243" s="162"/>
      <c r="S243" s="162"/>
      <c r="T243" s="162"/>
      <c r="U243" s="162"/>
      <c r="AF243" s="11"/>
      <c r="AG243" s="11"/>
      <c r="AH243" s="11"/>
      <c r="AI243" s="11"/>
      <c r="AJ243" s="11"/>
      <c r="AK243" s="11"/>
      <c r="AL243" s="11"/>
    </row>
    <row r="244" spans="1:38" x14ac:dyDescent="0.25">
      <c r="A244" s="38">
        <f>+Données!A244</f>
        <v>5827</v>
      </c>
      <c r="B244" s="181" t="str">
        <f>+Données!B244</f>
        <v>Trey</v>
      </c>
      <c r="C244" s="170">
        <f>+Ecrêtage!C244</f>
        <v>7673.6615384615379</v>
      </c>
      <c r="D244" s="168"/>
      <c r="E244" s="170">
        <f>Données!AF244+Données!AG244+Données!AH244</f>
        <v>0</v>
      </c>
      <c r="F244" s="168">
        <f t="shared" si="24"/>
        <v>61389.292307692303</v>
      </c>
      <c r="G244" s="8">
        <f t="shared" si="25"/>
        <v>0</v>
      </c>
      <c r="H244" s="234">
        <f t="shared" si="26"/>
        <v>0</v>
      </c>
      <c r="J244" s="8">
        <f>Données!AN244</f>
        <v>0</v>
      </c>
      <c r="K244" s="152">
        <f t="shared" si="27"/>
        <v>7673.6615384615379</v>
      </c>
      <c r="L244" s="12">
        <f t="shared" si="28"/>
        <v>0</v>
      </c>
      <c r="M244" s="234">
        <f t="shared" si="29"/>
        <v>0</v>
      </c>
      <c r="O244" s="42">
        <f t="shared" si="30"/>
        <v>0</v>
      </c>
      <c r="P244" s="196"/>
      <c r="Q244" s="162"/>
      <c r="R244" s="162"/>
      <c r="S244" s="162"/>
      <c r="T244" s="162"/>
      <c r="U244" s="162"/>
      <c r="AF244" s="11"/>
      <c r="AG244" s="11"/>
      <c r="AH244" s="11"/>
      <c r="AI244" s="11"/>
      <c r="AJ244" s="11"/>
      <c r="AK244" s="11"/>
      <c r="AL244" s="11"/>
    </row>
    <row r="245" spans="1:38" x14ac:dyDescent="0.25">
      <c r="A245" s="38">
        <f>+Données!A245</f>
        <v>5828</v>
      </c>
      <c r="B245" s="181" t="str">
        <f>+Données!B245</f>
        <v>Treytorrens (Payerne)</v>
      </c>
      <c r="C245" s="170">
        <f>+Ecrêtage!C245</f>
        <v>2724.637709611452</v>
      </c>
      <c r="D245" s="168"/>
      <c r="E245" s="170">
        <f>Données!AF245+Données!AG245+Données!AH245</f>
        <v>0</v>
      </c>
      <c r="F245" s="168">
        <f t="shared" si="24"/>
        <v>21797.101676891616</v>
      </c>
      <c r="G245" s="8">
        <f t="shared" si="25"/>
        <v>0</v>
      </c>
      <c r="H245" s="234">
        <f t="shared" si="26"/>
        <v>0</v>
      </c>
      <c r="J245" s="8">
        <f>Données!AN245</f>
        <v>0</v>
      </c>
      <c r="K245" s="152">
        <f t="shared" si="27"/>
        <v>2724.637709611452</v>
      </c>
      <c r="L245" s="12">
        <f t="shared" si="28"/>
        <v>0</v>
      </c>
      <c r="M245" s="234">
        <f t="shared" si="29"/>
        <v>0</v>
      </c>
      <c r="O245" s="42">
        <f t="shared" si="30"/>
        <v>0</v>
      </c>
      <c r="P245" s="196"/>
      <c r="Q245" s="162"/>
      <c r="R245" s="162"/>
      <c r="S245" s="162"/>
      <c r="T245" s="162"/>
      <c r="U245" s="162"/>
      <c r="AF245" s="11"/>
      <c r="AG245" s="11"/>
      <c r="AH245" s="11"/>
      <c r="AI245" s="11"/>
      <c r="AJ245" s="11"/>
      <c r="AK245" s="11"/>
      <c r="AL245" s="11"/>
    </row>
    <row r="246" spans="1:38" x14ac:dyDescent="0.25">
      <c r="A246" s="38">
        <f>+Données!A246</f>
        <v>5830</v>
      </c>
      <c r="B246" s="181" t="str">
        <f>+Données!B246</f>
        <v>Villarzel</v>
      </c>
      <c r="C246" s="170">
        <f>+Ecrêtage!C246</f>
        <v>12684.394533333332</v>
      </c>
      <c r="D246" s="168"/>
      <c r="E246" s="170">
        <f>Données!AF246+Données!AG246+Données!AH246</f>
        <v>0</v>
      </c>
      <c r="F246" s="168">
        <f t="shared" si="24"/>
        <v>101475.15626666666</v>
      </c>
      <c r="G246" s="8">
        <f t="shared" si="25"/>
        <v>0</v>
      </c>
      <c r="H246" s="234">
        <f t="shared" si="26"/>
        <v>0</v>
      </c>
      <c r="J246" s="8">
        <f>Données!AN246</f>
        <v>0</v>
      </c>
      <c r="K246" s="152">
        <f t="shared" si="27"/>
        <v>12684.394533333332</v>
      </c>
      <c r="L246" s="12">
        <f t="shared" si="28"/>
        <v>0</v>
      </c>
      <c r="M246" s="234">
        <f t="shared" si="29"/>
        <v>0</v>
      </c>
      <c r="O246" s="42">
        <f t="shared" si="30"/>
        <v>0</v>
      </c>
      <c r="P246" s="196"/>
      <c r="Q246" s="162"/>
      <c r="R246" s="162"/>
      <c r="S246" s="162"/>
      <c r="T246" s="162"/>
      <c r="U246" s="162"/>
      <c r="AF246" s="11"/>
      <c r="AG246" s="11"/>
      <c r="AH246" s="11"/>
      <c r="AI246" s="11"/>
      <c r="AJ246" s="11"/>
      <c r="AK246" s="11"/>
      <c r="AL246" s="11"/>
    </row>
    <row r="247" spans="1:38" x14ac:dyDescent="0.25">
      <c r="A247" s="38">
        <f>+Données!A247</f>
        <v>5831</v>
      </c>
      <c r="B247" s="181" t="str">
        <f>+Données!B247</f>
        <v>Valbroye</v>
      </c>
      <c r="C247" s="170">
        <f>+Ecrêtage!C247</f>
        <v>90997.957399527193</v>
      </c>
      <c r="D247" s="168"/>
      <c r="E247" s="170">
        <f>Données!AF247+Données!AG247+Données!AH247</f>
        <v>0</v>
      </c>
      <c r="F247" s="168">
        <f t="shared" si="24"/>
        <v>727983.65919621754</v>
      </c>
      <c r="G247" s="8">
        <f t="shared" si="25"/>
        <v>0</v>
      </c>
      <c r="H247" s="234">
        <f t="shared" si="26"/>
        <v>0</v>
      </c>
      <c r="J247" s="8">
        <f>Données!AN247</f>
        <v>0</v>
      </c>
      <c r="K247" s="152">
        <f t="shared" si="27"/>
        <v>90997.957399527193</v>
      </c>
      <c r="L247" s="12">
        <f t="shared" si="28"/>
        <v>0</v>
      </c>
      <c r="M247" s="234">
        <f t="shared" si="29"/>
        <v>0</v>
      </c>
      <c r="O247" s="42">
        <f t="shared" si="30"/>
        <v>0</v>
      </c>
      <c r="P247" s="196"/>
      <c r="Q247" s="162"/>
      <c r="R247" s="162"/>
      <c r="S247" s="162"/>
      <c r="T247" s="162"/>
      <c r="U247" s="162"/>
      <c r="AF247" s="11"/>
      <c r="AG247" s="11"/>
      <c r="AH247" s="11"/>
      <c r="AI247" s="11"/>
      <c r="AJ247" s="11"/>
      <c r="AK247" s="11"/>
      <c r="AL247" s="11"/>
    </row>
    <row r="248" spans="1:38" x14ac:dyDescent="0.25">
      <c r="A248" s="38">
        <f>+Données!A248</f>
        <v>5841</v>
      </c>
      <c r="B248" s="181" t="str">
        <f>+Données!B248</f>
        <v>Château-d'Oex</v>
      </c>
      <c r="C248" s="170">
        <f>+Ecrêtage!C248</f>
        <v>131854.94253578733</v>
      </c>
      <c r="D248" s="168"/>
      <c r="E248" s="170">
        <f>Données!AF248+Données!AG248+Données!AH248</f>
        <v>0</v>
      </c>
      <c r="F248" s="168">
        <f t="shared" si="24"/>
        <v>1054839.5402862986</v>
      </c>
      <c r="G248" s="8">
        <f t="shared" si="25"/>
        <v>0</v>
      </c>
      <c r="H248" s="234">
        <f t="shared" si="26"/>
        <v>0</v>
      </c>
      <c r="J248" s="8">
        <f>Données!AN248</f>
        <v>0</v>
      </c>
      <c r="K248" s="152">
        <f t="shared" si="27"/>
        <v>131854.94253578733</v>
      </c>
      <c r="L248" s="12">
        <f t="shared" si="28"/>
        <v>0</v>
      </c>
      <c r="M248" s="234">
        <f t="shared" si="29"/>
        <v>0</v>
      </c>
      <c r="O248" s="42">
        <f t="shared" si="30"/>
        <v>0</v>
      </c>
      <c r="P248" s="196"/>
      <c r="Q248" s="162"/>
      <c r="R248" s="162"/>
      <c r="S248" s="162"/>
      <c r="T248" s="162"/>
      <c r="U248" s="162"/>
      <c r="AF248" s="11"/>
      <c r="AG248" s="11"/>
      <c r="AH248" s="11"/>
      <c r="AI248" s="11"/>
      <c r="AJ248" s="11"/>
      <c r="AK248" s="11"/>
      <c r="AL248" s="11"/>
    </row>
    <row r="249" spans="1:38" x14ac:dyDescent="0.25">
      <c r="A249" s="38">
        <f>+Données!A249</f>
        <v>5842</v>
      </c>
      <c r="B249" s="181" t="str">
        <f>+Données!B249</f>
        <v>Rossinière</v>
      </c>
      <c r="C249" s="170">
        <f>+Ecrêtage!C249</f>
        <v>19719.391028806585</v>
      </c>
      <c r="D249" s="168"/>
      <c r="E249" s="170">
        <f>Données!AF249+Données!AG249+Données!AH249</f>
        <v>0</v>
      </c>
      <c r="F249" s="168">
        <f t="shared" si="24"/>
        <v>157755.12823045268</v>
      </c>
      <c r="G249" s="8">
        <f t="shared" si="25"/>
        <v>0</v>
      </c>
      <c r="H249" s="234">
        <f t="shared" si="26"/>
        <v>0</v>
      </c>
      <c r="J249" s="8">
        <f>Données!AN249</f>
        <v>0</v>
      </c>
      <c r="K249" s="152">
        <f t="shared" si="27"/>
        <v>19719.391028806585</v>
      </c>
      <c r="L249" s="12">
        <f t="shared" si="28"/>
        <v>0</v>
      </c>
      <c r="M249" s="234">
        <f t="shared" si="29"/>
        <v>0</v>
      </c>
      <c r="O249" s="42">
        <f t="shared" si="30"/>
        <v>0</v>
      </c>
      <c r="P249" s="196"/>
      <c r="Q249" s="162"/>
      <c r="R249" s="162"/>
      <c r="S249" s="162"/>
      <c r="T249" s="162"/>
      <c r="U249" s="162"/>
      <c r="AF249" s="11"/>
      <c r="AG249" s="11"/>
      <c r="AH249" s="11"/>
      <c r="AI249" s="11"/>
      <c r="AJ249" s="11"/>
      <c r="AK249" s="11"/>
      <c r="AL249" s="11"/>
    </row>
    <row r="250" spans="1:38" x14ac:dyDescent="0.25">
      <c r="A250" s="38">
        <f>+Données!A250</f>
        <v>5843</v>
      </c>
      <c r="B250" s="181" t="str">
        <f>+Données!B250</f>
        <v>Rougemont</v>
      </c>
      <c r="C250" s="170">
        <f>+Ecrêtage!C250</f>
        <v>88722.552616033761</v>
      </c>
      <c r="D250" s="168"/>
      <c r="E250" s="170">
        <f>Données!AF250+Données!AG250+Données!AH250</f>
        <v>0</v>
      </c>
      <c r="F250" s="168">
        <f t="shared" si="24"/>
        <v>709780.42092827009</v>
      </c>
      <c r="G250" s="8">
        <f t="shared" si="25"/>
        <v>0</v>
      </c>
      <c r="H250" s="234">
        <f t="shared" si="26"/>
        <v>0</v>
      </c>
      <c r="J250" s="8">
        <f>Données!AN250</f>
        <v>0</v>
      </c>
      <c r="K250" s="152">
        <f t="shared" si="27"/>
        <v>88722.552616033761</v>
      </c>
      <c r="L250" s="12">
        <f t="shared" si="28"/>
        <v>0</v>
      </c>
      <c r="M250" s="234">
        <f t="shared" si="29"/>
        <v>0</v>
      </c>
      <c r="O250" s="42">
        <f t="shared" si="30"/>
        <v>0</v>
      </c>
      <c r="P250" s="196"/>
      <c r="Q250" s="162"/>
      <c r="R250" s="162"/>
      <c r="S250" s="162"/>
      <c r="T250" s="162"/>
      <c r="U250" s="162"/>
      <c r="AF250" s="11"/>
      <c r="AG250" s="11"/>
      <c r="AH250" s="11"/>
      <c r="AI250" s="11"/>
      <c r="AJ250" s="11"/>
      <c r="AK250" s="11"/>
      <c r="AL250" s="11"/>
    </row>
    <row r="251" spans="1:38" x14ac:dyDescent="0.25">
      <c r="A251" s="38">
        <f>+Données!A251</f>
        <v>5851</v>
      </c>
      <c r="B251" s="181" t="str">
        <f>+Données!B251</f>
        <v>Allaman</v>
      </c>
      <c r="C251" s="170">
        <f>+Ecrêtage!C251</f>
        <v>22070.113025641029</v>
      </c>
      <c r="D251" s="168"/>
      <c r="E251" s="170">
        <f>Données!AF251+Données!AG251+Données!AH251</f>
        <v>0</v>
      </c>
      <c r="F251" s="168">
        <f t="shared" si="24"/>
        <v>176560.90420512823</v>
      </c>
      <c r="G251" s="8">
        <f t="shared" si="25"/>
        <v>0</v>
      </c>
      <c r="H251" s="234">
        <f t="shared" si="26"/>
        <v>0</v>
      </c>
      <c r="J251" s="8">
        <f>Données!AN251</f>
        <v>0</v>
      </c>
      <c r="K251" s="152">
        <f t="shared" si="27"/>
        <v>22070.113025641029</v>
      </c>
      <c r="L251" s="12">
        <f t="shared" si="28"/>
        <v>0</v>
      </c>
      <c r="M251" s="234">
        <f t="shared" si="29"/>
        <v>0</v>
      </c>
      <c r="O251" s="42">
        <f t="shared" si="30"/>
        <v>0</v>
      </c>
      <c r="P251" s="196"/>
      <c r="Q251" s="162"/>
      <c r="R251" s="162"/>
      <c r="S251" s="162"/>
      <c r="T251" s="162"/>
      <c r="U251" s="162"/>
      <c r="AF251" s="11"/>
      <c r="AG251" s="11"/>
      <c r="AH251" s="11"/>
      <c r="AI251" s="11"/>
      <c r="AJ251" s="11"/>
      <c r="AK251" s="11"/>
      <c r="AL251" s="11"/>
    </row>
    <row r="252" spans="1:38" x14ac:dyDescent="0.25">
      <c r="A252" s="38">
        <f>+Données!A252</f>
        <v>5852</v>
      </c>
      <c r="B252" s="181" t="str">
        <f>+Données!B252</f>
        <v>Bursinel</v>
      </c>
      <c r="C252" s="170">
        <f>+Ecrêtage!C252</f>
        <v>36549.131935483871</v>
      </c>
      <c r="D252" s="168"/>
      <c r="E252" s="170">
        <f>Données!AF252+Données!AG252+Données!AH252</f>
        <v>0</v>
      </c>
      <c r="F252" s="168">
        <f t="shared" si="24"/>
        <v>292393.05548387096</v>
      </c>
      <c r="G252" s="8">
        <f t="shared" si="25"/>
        <v>0</v>
      </c>
      <c r="H252" s="234">
        <f t="shared" si="26"/>
        <v>0</v>
      </c>
      <c r="J252" s="8">
        <f>Données!AN252</f>
        <v>0</v>
      </c>
      <c r="K252" s="152">
        <f t="shared" si="27"/>
        <v>36549.131935483871</v>
      </c>
      <c r="L252" s="12">
        <f t="shared" si="28"/>
        <v>0</v>
      </c>
      <c r="M252" s="234">
        <f t="shared" si="29"/>
        <v>0</v>
      </c>
      <c r="O252" s="42">
        <f t="shared" si="30"/>
        <v>0</v>
      </c>
      <c r="P252" s="196"/>
      <c r="Q252" s="162"/>
      <c r="R252" s="162"/>
      <c r="S252" s="162"/>
      <c r="T252" s="162"/>
      <c r="U252" s="162"/>
      <c r="AF252" s="11"/>
      <c r="AG252" s="11"/>
      <c r="AH252" s="11"/>
      <c r="AI252" s="11"/>
      <c r="AJ252" s="11"/>
      <c r="AK252" s="11"/>
      <c r="AL252" s="11"/>
    </row>
    <row r="253" spans="1:38" x14ac:dyDescent="0.25">
      <c r="A253" s="38">
        <f>+Données!A253</f>
        <v>5853</v>
      </c>
      <c r="B253" s="181" t="str">
        <f>+Données!B253</f>
        <v>Bursins</v>
      </c>
      <c r="C253" s="170">
        <f>+Ecrêtage!C253</f>
        <v>43710.813239436618</v>
      </c>
      <c r="D253" s="168"/>
      <c r="E253" s="170">
        <f>Données!AF253+Données!AG253+Données!AH253</f>
        <v>0</v>
      </c>
      <c r="F253" s="168">
        <f t="shared" si="24"/>
        <v>349686.50591549295</v>
      </c>
      <c r="G253" s="8">
        <f t="shared" si="25"/>
        <v>0</v>
      </c>
      <c r="H253" s="234">
        <f t="shared" si="26"/>
        <v>0</v>
      </c>
      <c r="J253" s="8">
        <f>Données!AN253</f>
        <v>0</v>
      </c>
      <c r="K253" s="152">
        <f t="shared" si="27"/>
        <v>43710.813239436618</v>
      </c>
      <c r="L253" s="12">
        <f t="shared" si="28"/>
        <v>0</v>
      </c>
      <c r="M253" s="234">
        <f t="shared" si="29"/>
        <v>0</v>
      </c>
      <c r="O253" s="42">
        <f t="shared" si="30"/>
        <v>0</v>
      </c>
      <c r="P253" s="196"/>
      <c r="Q253" s="162"/>
      <c r="R253" s="162"/>
      <c r="S253" s="162"/>
      <c r="T253" s="162"/>
      <c r="U253" s="162"/>
      <c r="AF253" s="11"/>
      <c r="AG253" s="11"/>
      <c r="AH253" s="11"/>
      <c r="AI253" s="11"/>
      <c r="AJ253" s="11"/>
      <c r="AK253" s="11"/>
      <c r="AL253" s="11"/>
    </row>
    <row r="254" spans="1:38" x14ac:dyDescent="0.25">
      <c r="A254" s="38">
        <f>+Données!A254</f>
        <v>5854</v>
      </c>
      <c r="B254" s="181" t="str">
        <f>+Données!B254</f>
        <v>Burtigny</v>
      </c>
      <c r="C254" s="170">
        <f>+Ecrêtage!C254</f>
        <v>16984.704925690025</v>
      </c>
      <c r="D254" s="168"/>
      <c r="E254" s="170">
        <f>Données!AF254+Données!AG254+Données!AH254</f>
        <v>0</v>
      </c>
      <c r="F254" s="168">
        <f t="shared" si="24"/>
        <v>135877.6394055202</v>
      </c>
      <c r="G254" s="8">
        <f t="shared" si="25"/>
        <v>0</v>
      </c>
      <c r="H254" s="234">
        <f t="shared" si="26"/>
        <v>0</v>
      </c>
      <c r="J254" s="8">
        <f>Données!AN254</f>
        <v>0</v>
      </c>
      <c r="K254" s="152">
        <f t="shared" si="27"/>
        <v>16984.704925690025</v>
      </c>
      <c r="L254" s="12">
        <f t="shared" si="28"/>
        <v>0</v>
      </c>
      <c r="M254" s="234">
        <f t="shared" si="29"/>
        <v>0</v>
      </c>
      <c r="O254" s="42">
        <f t="shared" si="30"/>
        <v>0</v>
      </c>
      <c r="P254" s="196"/>
      <c r="Q254" s="162"/>
      <c r="R254" s="162"/>
      <c r="S254" s="162"/>
      <c r="T254" s="162"/>
      <c r="U254" s="162"/>
      <c r="AF254" s="11"/>
      <c r="AG254" s="11"/>
      <c r="AH254" s="11"/>
      <c r="AI254" s="11"/>
      <c r="AJ254" s="11"/>
      <c r="AK254" s="11"/>
      <c r="AL254" s="11"/>
    </row>
    <row r="255" spans="1:38" x14ac:dyDescent="0.25">
      <c r="A255" s="38">
        <f>+Données!A255</f>
        <v>5855</v>
      </c>
      <c r="B255" s="181" t="str">
        <f>+Données!B255</f>
        <v>Dully</v>
      </c>
      <c r="C255" s="170">
        <f>+Ecrêtage!C255</f>
        <v>80639.677735849051</v>
      </c>
      <c r="D255" s="168"/>
      <c r="E255" s="170">
        <f>Données!AF255+Données!AG255+Données!AH255</f>
        <v>0</v>
      </c>
      <c r="F255" s="168">
        <f t="shared" si="24"/>
        <v>645117.42188679241</v>
      </c>
      <c r="G255" s="8">
        <f t="shared" si="25"/>
        <v>0</v>
      </c>
      <c r="H255" s="234">
        <f t="shared" si="26"/>
        <v>0</v>
      </c>
      <c r="J255" s="8">
        <f>Données!AN255</f>
        <v>0</v>
      </c>
      <c r="K255" s="152">
        <f t="shared" si="27"/>
        <v>80639.677735849051</v>
      </c>
      <c r="L255" s="12">
        <f t="shared" si="28"/>
        <v>0</v>
      </c>
      <c r="M255" s="234">
        <f t="shared" si="29"/>
        <v>0</v>
      </c>
      <c r="O255" s="42">
        <f t="shared" si="30"/>
        <v>0</v>
      </c>
      <c r="P255" s="196"/>
      <c r="Q255" s="162"/>
      <c r="R255" s="162"/>
      <c r="S255" s="162"/>
      <c r="T255" s="162"/>
      <c r="U255" s="162"/>
      <c r="AF255" s="11"/>
      <c r="AG255" s="11"/>
      <c r="AH255" s="11"/>
      <c r="AI255" s="11"/>
      <c r="AJ255" s="11"/>
      <c r="AK255" s="11"/>
      <c r="AL255" s="11"/>
    </row>
    <row r="256" spans="1:38" x14ac:dyDescent="0.25">
      <c r="A256" s="38">
        <f>+Données!A256</f>
        <v>5856</v>
      </c>
      <c r="B256" s="181" t="str">
        <f>+Données!B256</f>
        <v>Essertines-sur-Rolle</v>
      </c>
      <c r="C256" s="170">
        <f>+Ecrêtage!C256</f>
        <v>40086.564661654142</v>
      </c>
      <c r="D256" s="168"/>
      <c r="E256" s="170">
        <f>Données!AF256+Données!AG256+Données!AH256</f>
        <v>0</v>
      </c>
      <c r="F256" s="168">
        <f t="shared" si="24"/>
        <v>320692.51729323313</v>
      </c>
      <c r="G256" s="8">
        <f t="shared" si="25"/>
        <v>0</v>
      </c>
      <c r="H256" s="234">
        <f t="shared" si="26"/>
        <v>0</v>
      </c>
      <c r="J256" s="8">
        <f>Données!AN256</f>
        <v>0</v>
      </c>
      <c r="K256" s="152">
        <f t="shared" si="27"/>
        <v>40086.564661654142</v>
      </c>
      <c r="L256" s="12">
        <f t="shared" si="28"/>
        <v>0</v>
      </c>
      <c r="M256" s="234">
        <f t="shared" si="29"/>
        <v>0</v>
      </c>
      <c r="O256" s="42">
        <f t="shared" si="30"/>
        <v>0</v>
      </c>
      <c r="P256" s="196"/>
      <c r="Q256" s="162"/>
      <c r="R256" s="162"/>
      <c r="S256" s="162"/>
      <c r="T256" s="162"/>
      <c r="U256" s="162"/>
      <c r="AF256" s="11"/>
      <c r="AG256" s="11"/>
      <c r="AH256" s="11"/>
      <c r="AI256" s="11"/>
      <c r="AJ256" s="11"/>
      <c r="AK256" s="11"/>
      <c r="AL256" s="11"/>
    </row>
    <row r="257" spans="1:38" x14ac:dyDescent="0.25">
      <c r="A257" s="38">
        <f>+Données!A257</f>
        <v>5857</v>
      </c>
      <c r="B257" s="181" t="str">
        <f>+Données!B257</f>
        <v>Gilly</v>
      </c>
      <c r="C257" s="170">
        <f>+Ecrêtage!C257</f>
        <v>92966.463565891449</v>
      </c>
      <c r="D257" s="168"/>
      <c r="E257" s="170">
        <f>Données!AF257+Données!AG257+Données!AH257</f>
        <v>0</v>
      </c>
      <c r="F257" s="168">
        <f t="shared" si="24"/>
        <v>743731.70852713159</v>
      </c>
      <c r="G257" s="8">
        <f t="shared" si="25"/>
        <v>0</v>
      </c>
      <c r="H257" s="234">
        <f t="shared" si="26"/>
        <v>0</v>
      </c>
      <c r="J257" s="8">
        <f>Données!AN257</f>
        <v>0</v>
      </c>
      <c r="K257" s="152">
        <f t="shared" si="27"/>
        <v>92966.463565891449</v>
      </c>
      <c r="L257" s="12">
        <f t="shared" si="28"/>
        <v>0</v>
      </c>
      <c r="M257" s="234">
        <f t="shared" si="29"/>
        <v>0</v>
      </c>
      <c r="O257" s="42">
        <f t="shared" si="30"/>
        <v>0</v>
      </c>
      <c r="P257" s="196"/>
      <c r="Q257" s="162"/>
      <c r="R257" s="162"/>
      <c r="S257" s="162"/>
      <c r="T257" s="162"/>
      <c r="U257" s="162"/>
      <c r="AF257" s="11"/>
      <c r="AG257" s="11"/>
      <c r="AH257" s="11"/>
      <c r="AI257" s="11"/>
      <c r="AJ257" s="11"/>
      <c r="AK257" s="11"/>
      <c r="AL257" s="11"/>
    </row>
    <row r="258" spans="1:38" x14ac:dyDescent="0.25">
      <c r="A258" s="38">
        <f>+Données!A258</f>
        <v>5858</v>
      </c>
      <c r="B258" s="181" t="str">
        <f>+Données!B258</f>
        <v>Luins</v>
      </c>
      <c r="C258" s="170">
        <f>+Ecrêtage!C258</f>
        <v>34472.230883190881</v>
      </c>
      <c r="D258" s="168"/>
      <c r="E258" s="170">
        <f>Données!AF258+Données!AG258+Données!AH258</f>
        <v>0</v>
      </c>
      <c r="F258" s="168">
        <f t="shared" si="24"/>
        <v>275777.84706552705</v>
      </c>
      <c r="G258" s="8">
        <f t="shared" si="25"/>
        <v>0</v>
      </c>
      <c r="H258" s="234">
        <f t="shared" si="26"/>
        <v>0</v>
      </c>
      <c r="J258" s="8">
        <f>Données!AN258</f>
        <v>0</v>
      </c>
      <c r="K258" s="152">
        <f t="shared" si="27"/>
        <v>34472.230883190881</v>
      </c>
      <c r="L258" s="12">
        <f t="shared" si="28"/>
        <v>0</v>
      </c>
      <c r="M258" s="234">
        <f t="shared" si="29"/>
        <v>0</v>
      </c>
      <c r="O258" s="42">
        <f t="shared" si="30"/>
        <v>0</v>
      </c>
      <c r="P258" s="196"/>
      <c r="Q258" s="162"/>
      <c r="R258" s="162"/>
      <c r="S258" s="162"/>
      <c r="T258" s="162"/>
      <c r="U258" s="162"/>
      <c r="AF258" s="11"/>
      <c r="AG258" s="11"/>
      <c r="AH258" s="11"/>
      <c r="AI258" s="11"/>
      <c r="AJ258" s="11"/>
      <c r="AK258" s="11"/>
      <c r="AL258" s="11"/>
    </row>
    <row r="259" spans="1:38" x14ac:dyDescent="0.25">
      <c r="A259" s="38">
        <f>+Données!A259</f>
        <v>5859</v>
      </c>
      <c r="B259" s="181" t="str">
        <f>+Données!B259</f>
        <v>Mont-sur-Rolle</v>
      </c>
      <c r="C259" s="170">
        <f>+Ecrêtage!C259</f>
        <v>184009.52141732289</v>
      </c>
      <c r="D259" s="168"/>
      <c r="E259" s="170">
        <f>Données!AF259+Données!AG259+Données!AH259</f>
        <v>0</v>
      </c>
      <c r="F259" s="168">
        <f t="shared" si="24"/>
        <v>1472076.1713385831</v>
      </c>
      <c r="G259" s="8">
        <f t="shared" si="25"/>
        <v>0</v>
      </c>
      <c r="H259" s="234">
        <f t="shared" si="26"/>
        <v>0</v>
      </c>
      <c r="J259" s="8">
        <f>Données!AN259</f>
        <v>0</v>
      </c>
      <c r="K259" s="152">
        <f t="shared" si="27"/>
        <v>184009.52141732289</v>
      </c>
      <c r="L259" s="12">
        <f t="shared" si="28"/>
        <v>0</v>
      </c>
      <c r="M259" s="234">
        <f t="shared" si="29"/>
        <v>0</v>
      </c>
      <c r="O259" s="42">
        <f t="shared" si="30"/>
        <v>0</v>
      </c>
      <c r="P259" s="196"/>
      <c r="Q259" s="162"/>
      <c r="R259" s="162"/>
      <c r="S259" s="162"/>
      <c r="T259" s="162"/>
      <c r="U259" s="162"/>
      <c r="AF259" s="11"/>
      <c r="AG259" s="11"/>
      <c r="AH259" s="11"/>
      <c r="AI259" s="11"/>
      <c r="AJ259" s="11"/>
      <c r="AK259" s="11"/>
      <c r="AL259" s="11"/>
    </row>
    <row r="260" spans="1:38" x14ac:dyDescent="0.25">
      <c r="A260" s="38">
        <f>+Données!A260</f>
        <v>5860</v>
      </c>
      <c r="B260" s="181" t="str">
        <f>+Données!B260</f>
        <v>Perroy</v>
      </c>
      <c r="C260" s="170">
        <f>+Ecrêtage!C260</f>
        <v>115014.47146614069</v>
      </c>
      <c r="D260" s="168"/>
      <c r="E260" s="170">
        <f>Données!AF260+Données!AG260+Données!AH260</f>
        <v>0</v>
      </c>
      <c r="F260" s="168">
        <f t="shared" si="24"/>
        <v>920115.77172912552</v>
      </c>
      <c r="G260" s="8">
        <f t="shared" si="25"/>
        <v>0</v>
      </c>
      <c r="H260" s="234">
        <f t="shared" si="26"/>
        <v>0</v>
      </c>
      <c r="J260" s="8">
        <f>Données!AN260</f>
        <v>0</v>
      </c>
      <c r="K260" s="152">
        <f t="shared" si="27"/>
        <v>115014.47146614069</v>
      </c>
      <c r="L260" s="12">
        <f t="shared" si="28"/>
        <v>0</v>
      </c>
      <c r="M260" s="234">
        <f t="shared" si="29"/>
        <v>0</v>
      </c>
      <c r="O260" s="42">
        <f t="shared" si="30"/>
        <v>0</v>
      </c>
      <c r="P260" s="196"/>
      <c r="Q260" s="162"/>
      <c r="R260" s="162"/>
      <c r="S260" s="162"/>
      <c r="T260" s="162"/>
      <c r="U260" s="162"/>
      <c r="AF260" s="11"/>
      <c r="AG260" s="11"/>
      <c r="AH260" s="11"/>
      <c r="AI260" s="11"/>
      <c r="AJ260" s="11"/>
      <c r="AK260" s="11"/>
      <c r="AL260" s="11"/>
    </row>
    <row r="261" spans="1:38" x14ac:dyDescent="0.25">
      <c r="A261" s="38">
        <f>+Données!A261</f>
        <v>5861</v>
      </c>
      <c r="B261" s="181" t="str">
        <f>+Données!B261</f>
        <v>Rolle</v>
      </c>
      <c r="C261" s="170">
        <f>+Ecrêtage!C261</f>
        <v>1018783.8085714284</v>
      </c>
      <c r="D261" s="168"/>
      <c r="E261" s="170">
        <f>Données!AF261+Données!AG261+Données!AH261</f>
        <v>0</v>
      </c>
      <c r="F261" s="168">
        <f t="shared" si="24"/>
        <v>8150270.4685714273</v>
      </c>
      <c r="G261" s="8">
        <f t="shared" si="25"/>
        <v>0</v>
      </c>
      <c r="H261" s="234">
        <f t="shared" si="26"/>
        <v>0</v>
      </c>
      <c r="J261" s="8">
        <f>Données!AN261</f>
        <v>0</v>
      </c>
      <c r="K261" s="152">
        <f t="shared" si="27"/>
        <v>1018783.8085714284</v>
      </c>
      <c r="L261" s="12">
        <f t="shared" si="28"/>
        <v>0</v>
      </c>
      <c r="M261" s="234">
        <f t="shared" si="29"/>
        <v>0</v>
      </c>
      <c r="O261" s="42">
        <f t="shared" si="30"/>
        <v>0</v>
      </c>
      <c r="P261" s="196"/>
      <c r="Q261" s="162"/>
      <c r="R261" s="162"/>
      <c r="S261" s="162"/>
      <c r="T261" s="162"/>
      <c r="U261" s="162"/>
      <c r="AF261" s="11"/>
      <c r="AG261" s="11"/>
      <c r="AH261" s="11"/>
      <c r="AI261" s="11"/>
      <c r="AJ261" s="11"/>
      <c r="AK261" s="11"/>
      <c r="AL261" s="11"/>
    </row>
    <row r="262" spans="1:38" x14ac:dyDescent="0.25">
      <c r="A262" s="38">
        <f>+Données!A262</f>
        <v>5862</v>
      </c>
      <c r="B262" s="181" t="str">
        <f>+Données!B262</f>
        <v>Tartegnin</v>
      </c>
      <c r="C262" s="170">
        <f>+Ecrêtage!C262</f>
        <v>11391.445316455696</v>
      </c>
      <c r="D262" s="168"/>
      <c r="E262" s="170">
        <f>Données!AF262+Données!AG262+Données!AH262</f>
        <v>0</v>
      </c>
      <c r="F262" s="168">
        <f t="shared" si="24"/>
        <v>91131.56253164557</v>
      </c>
      <c r="G262" s="8">
        <f t="shared" si="25"/>
        <v>0</v>
      </c>
      <c r="H262" s="234">
        <f t="shared" si="26"/>
        <v>0</v>
      </c>
      <c r="J262" s="8">
        <f>Données!AN262</f>
        <v>0</v>
      </c>
      <c r="K262" s="152">
        <f t="shared" si="27"/>
        <v>11391.445316455696</v>
      </c>
      <c r="L262" s="12">
        <f t="shared" si="28"/>
        <v>0</v>
      </c>
      <c r="M262" s="234">
        <f t="shared" si="29"/>
        <v>0</v>
      </c>
      <c r="O262" s="42">
        <f t="shared" si="30"/>
        <v>0</v>
      </c>
      <c r="P262" s="196"/>
      <c r="Q262" s="162"/>
      <c r="R262" s="162"/>
      <c r="S262" s="162"/>
      <c r="T262" s="162"/>
      <c r="U262" s="162"/>
      <c r="AF262" s="11"/>
      <c r="AG262" s="11"/>
      <c r="AH262" s="11"/>
      <c r="AI262" s="11"/>
      <c r="AJ262" s="11"/>
      <c r="AK262" s="11"/>
      <c r="AL262" s="11"/>
    </row>
    <row r="263" spans="1:38" x14ac:dyDescent="0.25">
      <c r="A263" s="38">
        <f>+Données!A263</f>
        <v>5863</v>
      </c>
      <c r="B263" s="181" t="str">
        <f>+Données!B263</f>
        <v>Vinzel</v>
      </c>
      <c r="C263" s="170">
        <f>+Ecrêtage!C263</f>
        <v>22595.272461538461</v>
      </c>
      <c r="D263" s="168"/>
      <c r="E263" s="170">
        <f>Données!AF263+Données!AG263+Données!AH263</f>
        <v>0</v>
      </c>
      <c r="F263" s="168">
        <f t="shared" ref="F263:F305" si="31">+C263*$G$5</f>
        <v>180762.17969230769</v>
      </c>
      <c r="G263" s="8">
        <f t="shared" ref="G263:G305" si="32">IF(E263&gt;F263,E263-F263,0)</f>
        <v>0</v>
      </c>
      <c r="H263" s="234">
        <f t="shared" ref="H263:H305" si="33">-G263*H$5</f>
        <v>0</v>
      </c>
      <c r="J263" s="8">
        <f>Données!AN263</f>
        <v>0</v>
      </c>
      <c r="K263" s="152">
        <f t="shared" ref="K263:K305" si="34">C263*L$5</f>
        <v>22595.272461538461</v>
      </c>
      <c r="L263" s="12">
        <f t="shared" ref="L263:L305" si="35">IF(J263&gt;K263,J263-K263,0)</f>
        <v>0</v>
      </c>
      <c r="M263" s="234">
        <f t="shared" ref="M263:M305" si="36">-L263*M$5</f>
        <v>0</v>
      </c>
      <c r="O263" s="42">
        <f t="shared" ref="O263:O305" si="37">M263+H263</f>
        <v>0</v>
      </c>
      <c r="P263" s="196"/>
      <c r="Q263" s="162"/>
      <c r="R263" s="162"/>
      <c r="S263" s="162"/>
      <c r="T263" s="162"/>
      <c r="U263" s="162"/>
      <c r="AF263" s="11"/>
      <c r="AG263" s="11"/>
      <c r="AH263" s="11"/>
      <c r="AI263" s="11"/>
      <c r="AJ263" s="11"/>
      <c r="AK263" s="11"/>
      <c r="AL263" s="11"/>
    </row>
    <row r="264" spans="1:38" x14ac:dyDescent="0.25">
      <c r="A264" s="38">
        <f>+Données!A264</f>
        <v>5871</v>
      </c>
      <c r="B264" s="181" t="str">
        <f>+Données!B264</f>
        <v>L'Abbaye</v>
      </c>
      <c r="C264" s="170">
        <f>+Ecrêtage!C264</f>
        <v>50382.809788942126</v>
      </c>
      <c r="D264" s="168"/>
      <c r="E264" s="170">
        <f>Données!AF264+Données!AG264+Données!AH264</f>
        <v>0</v>
      </c>
      <c r="F264" s="168">
        <f t="shared" si="31"/>
        <v>403062.47831153701</v>
      </c>
      <c r="G264" s="8">
        <f t="shared" si="32"/>
        <v>0</v>
      </c>
      <c r="H264" s="234">
        <f t="shared" si="33"/>
        <v>0</v>
      </c>
      <c r="J264" s="8">
        <f>Données!AN264</f>
        <v>0</v>
      </c>
      <c r="K264" s="152">
        <f t="shared" si="34"/>
        <v>50382.809788942126</v>
      </c>
      <c r="L264" s="12">
        <f t="shared" si="35"/>
        <v>0</v>
      </c>
      <c r="M264" s="234">
        <f t="shared" si="36"/>
        <v>0</v>
      </c>
      <c r="O264" s="42">
        <f t="shared" si="37"/>
        <v>0</v>
      </c>
      <c r="P264" s="196"/>
      <c r="Q264" s="162"/>
      <c r="R264" s="162"/>
      <c r="S264" s="162"/>
      <c r="T264" s="162"/>
      <c r="U264" s="162"/>
      <c r="AF264" s="11"/>
      <c r="AG264" s="11"/>
      <c r="AH264" s="11"/>
      <c r="AI264" s="11"/>
      <c r="AJ264" s="11"/>
      <c r="AK264" s="11"/>
      <c r="AL264" s="11"/>
    </row>
    <row r="265" spans="1:38" x14ac:dyDescent="0.25">
      <c r="A265" s="38">
        <f>+Données!A265</f>
        <v>5872</v>
      </c>
      <c r="B265" s="181" t="str">
        <f>+Données!B265</f>
        <v>Le Chenit</v>
      </c>
      <c r="C265" s="170">
        <f>+Ecrêtage!C265</f>
        <v>317388.40065632458</v>
      </c>
      <c r="D265" s="168"/>
      <c r="E265" s="170">
        <f>Données!AF265+Données!AG265+Données!AH265</f>
        <v>0</v>
      </c>
      <c r="F265" s="168">
        <f t="shared" si="31"/>
        <v>2539107.2052505966</v>
      </c>
      <c r="G265" s="8">
        <f t="shared" si="32"/>
        <v>0</v>
      </c>
      <c r="H265" s="234">
        <f t="shared" si="33"/>
        <v>0</v>
      </c>
      <c r="J265" s="8">
        <f>Données!AN265</f>
        <v>0</v>
      </c>
      <c r="K265" s="152">
        <f t="shared" si="34"/>
        <v>317388.40065632458</v>
      </c>
      <c r="L265" s="12">
        <f t="shared" si="35"/>
        <v>0</v>
      </c>
      <c r="M265" s="234">
        <f t="shared" si="36"/>
        <v>0</v>
      </c>
      <c r="O265" s="42">
        <f t="shared" si="37"/>
        <v>0</v>
      </c>
      <c r="P265" s="196"/>
      <c r="Q265" s="162"/>
      <c r="R265" s="162"/>
      <c r="S265" s="162"/>
      <c r="T265" s="162"/>
      <c r="U265" s="162"/>
      <c r="AF265" s="11"/>
      <c r="AG265" s="11"/>
      <c r="AH265" s="11"/>
      <c r="AI265" s="11"/>
      <c r="AJ265" s="11"/>
      <c r="AK265" s="11"/>
      <c r="AL265" s="11"/>
    </row>
    <row r="266" spans="1:38" x14ac:dyDescent="0.25">
      <c r="A266" s="38">
        <f>+Données!A266</f>
        <v>5873</v>
      </c>
      <c r="B266" s="181" t="str">
        <f>+Données!B266</f>
        <v>Le Lieu</v>
      </c>
      <c r="C266" s="170">
        <f>+Ecrêtage!C266</f>
        <v>32064.674107142859</v>
      </c>
      <c r="D266" s="168"/>
      <c r="E266" s="170">
        <f>Données!AF266+Données!AG266+Données!AH266</f>
        <v>0</v>
      </c>
      <c r="F266" s="168">
        <f t="shared" si="31"/>
        <v>256517.39285714287</v>
      </c>
      <c r="G266" s="8">
        <f t="shared" si="32"/>
        <v>0</v>
      </c>
      <c r="H266" s="234">
        <f t="shared" si="33"/>
        <v>0</v>
      </c>
      <c r="J266" s="8">
        <f>Données!AN266</f>
        <v>0</v>
      </c>
      <c r="K266" s="152">
        <f t="shared" si="34"/>
        <v>32064.674107142859</v>
      </c>
      <c r="L266" s="12">
        <f t="shared" si="35"/>
        <v>0</v>
      </c>
      <c r="M266" s="234">
        <f t="shared" si="36"/>
        <v>0</v>
      </c>
      <c r="O266" s="42">
        <f t="shared" si="37"/>
        <v>0</v>
      </c>
      <c r="P266" s="196"/>
      <c r="Q266" s="162"/>
      <c r="R266" s="162"/>
      <c r="S266" s="162"/>
      <c r="T266" s="162"/>
      <c r="U266" s="162"/>
      <c r="AF266" s="11"/>
      <c r="AG266" s="11"/>
      <c r="AH266" s="11"/>
      <c r="AI266" s="11"/>
      <c r="AJ266" s="11"/>
      <c r="AK266" s="11"/>
      <c r="AL266" s="11"/>
    </row>
    <row r="267" spans="1:38" x14ac:dyDescent="0.25">
      <c r="A267" s="38">
        <f>+Données!A267</f>
        <v>5882</v>
      </c>
      <c r="B267" s="181" t="str">
        <f>+Données!B267</f>
        <v>Chardonne</v>
      </c>
      <c r="C267" s="170">
        <f>+Ecrêtage!C267</f>
        <v>191105.75352941177</v>
      </c>
      <c r="D267" s="168"/>
      <c r="E267" s="170">
        <f>Données!AF267+Données!AG267+Données!AH267</f>
        <v>0</v>
      </c>
      <c r="F267" s="168">
        <f t="shared" si="31"/>
        <v>1528846.0282352942</v>
      </c>
      <c r="G267" s="8">
        <f t="shared" si="32"/>
        <v>0</v>
      </c>
      <c r="H267" s="234">
        <f t="shared" si="33"/>
        <v>0</v>
      </c>
      <c r="J267" s="8">
        <f>Données!AN267</f>
        <v>0</v>
      </c>
      <c r="K267" s="152">
        <f t="shared" si="34"/>
        <v>191105.75352941177</v>
      </c>
      <c r="L267" s="12">
        <f t="shared" si="35"/>
        <v>0</v>
      </c>
      <c r="M267" s="234">
        <f t="shared" si="36"/>
        <v>0</v>
      </c>
      <c r="O267" s="42">
        <f t="shared" si="37"/>
        <v>0</v>
      </c>
      <c r="P267" s="196"/>
      <c r="Q267" s="162"/>
      <c r="R267" s="162"/>
      <c r="S267" s="162"/>
      <c r="T267" s="162"/>
      <c r="U267" s="162"/>
      <c r="AF267" s="11"/>
      <c r="AG267" s="11"/>
      <c r="AH267" s="11"/>
      <c r="AI267" s="11"/>
      <c r="AJ267" s="11"/>
      <c r="AK267" s="11"/>
      <c r="AL267" s="11"/>
    </row>
    <row r="268" spans="1:38" x14ac:dyDescent="0.25">
      <c r="A268" s="38">
        <f>+Données!A268</f>
        <v>5883</v>
      </c>
      <c r="B268" s="181" t="str">
        <f>+Données!B268</f>
        <v>Corseaux</v>
      </c>
      <c r="C268" s="170">
        <f>+Ecrêtage!C268</f>
        <v>170880.8057777778</v>
      </c>
      <c r="D268" s="168"/>
      <c r="E268" s="170">
        <f>Données!AF268+Données!AG268+Données!AH268</f>
        <v>0</v>
      </c>
      <c r="F268" s="168">
        <f t="shared" si="31"/>
        <v>1367046.4462222224</v>
      </c>
      <c r="G268" s="8">
        <f t="shared" si="32"/>
        <v>0</v>
      </c>
      <c r="H268" s="234">
        <f t="shared" si="33"/>
        <v>0</v>
      </c>
      <c r="J268" s="8">
        <f>Données!AN268</f>
        <v>0</v>
      </c>
      <c r="K268" s="152">
        <f t="shared" si="34"/>
        <v>170880.8057777778</v>
      </c>
      <c r="L268" s="12">
        <f t="shared" si="35"/>
        <v>0</v>
      </c>
      <c r="M268" s="234">
        <f t="shared" si="36"/>
        <v>0</v>
      </c>
      <c r="O268" s="42">
        <f t="shared" si="37"/>
        <v>0</v>
      </c>
      <c r="P268" s="196"/>
      <c r="Q268" s="162"/>
      <c r="R268" s="162"/>
      <c r="S268" s="162"/>
      <c r="T268" s="162"/>
      <c r="U268" s="162"/>
      <c r="AF268" s="11"/>
      <c r="AG268" s="11"/>
      <c r="AH268" s="11"/>
      <c r="AI268" s="11"/>
      <c r="AJ268" s="11"/>
      <c r="AK268" s="11"/>
      <c r="AL268" s="11"/>
    </row>
    <row r="269" spans="1:38" x14ac:dyDescent="0.25">
      <c r="A269" s="38">
        <f>+Données!A269</f>
        <v>5884</v>
      </c>
      <c r="B269" s="181" t="str">
        <f>+Données!B269</f>
        <v>Corsier-sur-Vevey</v>
      </c>
      <c r="C269" s="170">
        <f>+Ecrêtage!C269</f>
        <v>147926.61447028426</v>
      </c>
      <c r="D269" s="168"/>
      <c r="E269" s="170">
        <f>Données!AF269+Données!AG269+Données!AH269</f>
        <v>0</v>
      </c>
      <c r="F269" s="168">
        <f t="shared" si="31"/>
        <v>1183412.9157622741</v>
      </c>
      <c r="G269" s="8">
        <f t="shared" si="32"/>
        <v>0</v>
      </c>
      <c r="H269" s="234">
        <f t="shared" si="33"/>
        <v>0</v>
      </c>
      <c r="J269" s="8">
        <f>Données!AN269</f>
        <v>0</v>
      </c>
      <c r="K269" s="152">
        <f t="shared" si="34"/>
        <v>147926.61447028426</v>
      </c>
      <c r="L269" s="12">
        <f t="shared" si="35"/>
        <v>0</v>
      </c>
      <c r="M269" s="234">
        <f t="shared" si="36"/>
        <v>0</v>
      </c>
      <c r="O269" s="42">
        <f t="shared" si="37"/>
        <v>0</v>
      </c>
      <c r="P269" s="196"/>
      <c r="Q269" s="162"/>
      <c r="R269" s="162"/>
      <c r="S269" s="162"/>
      <c r="T269" s="162"/>
      <c r="U269" s="162"/>
      <c r="AF269" s="11"/>
      <c r="AG269" s="11"/>
      <c r="AH269" s="11"/>
      <c r="AI269" s="11"/>
      <c r="AJ269" s="11"/>
      <c r="AK269" s="11"/>
      <c r="AL269" s="11"/>
    </row>
    <row r="270" spans="1:38" x14ac:dyDescent="0.25">
      <c r="A270" s="38">
        <f>+Données!A270</f>
        <v>5885</v>
      </c>
      <c r="B270" s="181" t="str">
        <f>+Données!B270</f>
        <v>Jongny</v>
      </c>
      <c r="C270" s="170">
        <f>+Ecrêtage!C270</f>
        <v>97976.001630695435</v>
      </c>
      <c r="D270" s="168"/>
      <c r="E270" s="170">
        <f>Données!AF270+Données!AG270+Données!AH270</f>
        <v>0</v>
      </c>
      <c r="F270" s="168">
        <f t="shared" si="31"/>
        <v>783808.01304556348</v>
      </c>
      <c r="G270" s="8">
        <f t="shared" si="32"/>
        <v>0</v>
      </c>
      <c r="H270" s="234">
        <f t="shared" si="33"/>
        <v>0</v>
      </c>
      <c r="J270" s="8">
        <f>Données!AN270</f>
        <v>0</v>
      </c>
      <c r="K270" s="152">
        <f t="shared" si="34"/>
        <v>97976.001630695435</v>
      </c>
      <c r="L270" s="12">
        <f t="shared" si="35"/>
        <v>0</v>
      </c>
      <c r="M270" s="234">
        <f t="shared" si="36"/>
        <v>0</v>
      </c>
      <c r="O270" s="42">
        <f t="shared" si="37"/>
        <v>0</v>
      </c>
      <c r="P270" s="196"/>
      <c r="Q270" s="162"/>
      <c r="R270" s="162"/>
      <c r="S270" s="162"/>
      <c r="T270" s="162"/>
      <c r="U270" s="162"/>
      <c r="AF270" s="11"/>
      <c r="AG270" s="11"/>
      <c r="AH270" s="11"/>
      <c r="AI270" s="11"/>
      <c r="AJ270" s="11"/>
      <c r="AK270" s="11"/>
      <c r="AL270" s="11"/>
    </row>
    <row r="271" spans="1:38" x14ac:dyDescent="0.25">
      <c r="A271" s="38">
        <f>+Données!A271</f>
        <v>5886</v>
      </c>
      <c r="B271" s="181" t="str">
        <f>+Données!B271</f>
        <v>Montreux</v>
      </c>
      <c r="C271" s="170">
        <f>+Ecrêtage!C271</f>
        <v>1169621.0326666667</v>
      </c>
      <c r="D271" s="168"/>
      <c r="E271" s="170">
        <f>Données!AF271+Données!AG271+Données!AH271</f>
        <v>0</v>
      </c>
      <c r="F271" s="168">
        <f t="shared" si="31"/>
        <v>9356968.2613333333</v>
      </c>
      <c r="G271" s="8">
        <f t="shared" si="32"/>
        <v>0</v>
      </c>
      <c r="H271" s="234">
        <f t="shared" si="33"/>
        <v>0</v>
      </c>
      <c r="J271" s="8">
        <f>Données!AN271</f>
        <v>0</v>
      </c>
      <c r="K271" s="152">
        <f t="shared" si="34"/>
        <v>1169621.0326666667</v>
      </c>
      <c r="L271" s="12">
        <f t="shared" si="35"/>
        <v>0</v>
      </c>
      <c r="M271" s="234">
        <f t="shared" si="36"/>
        <v>0</v>
      </c>
      <c r="O271" s="42">
        <f t="shared" si="37"/>
        <v>0</v>
      </c>
      <c r="P271" s="196"/>
      <c r="Q271" s="162"/>
      <c r="R271" s="162"/>
      <c r="S271" s="162"/>
      <c r="T271" s="162"/>
      <c r="U271" s="162"/>
      <c r="AF271" s="11"/>
      <c r="AG271" s="11"/>
      <c r="AH271" s="11"/>
      <c r="AI271" s="11"/>
      <c r="AJ271" s="11"/>
      <c r="AK271" s="11"/>
      <c r="AL271" s="11"/>
    </row>
    <row r="272" spans="1:38" x14ac:dyDescent="0.25">
      <c r="A272" s="38">
        <f>+Données!A272</f>
        <v>5889</v>
      </c>
      <c r="B272" s="181" t="str">
        <f>+Données!B272</f>
        <v>La Tour-de-Peilz</v>
      </c>
      <c r="C272" s="170">
        <f>+Ecrêtage!C272</f>
        <v>779203.88627604162</v>
      </c>
      <c r="D272" s="168"/>
      <c r="E272" s="170">
        <f>Données!AF272+Données!AG272+Données!AH272</f>
        <v>0</v>
      </c>
      <c r="F272" s="168">
        <f t="shared" si="31"/>
        <v>6233631.090208333</v>
      </c>
      <c r="G272" s="8">
        <f t="shared" si="32"/>
        <v>0</v>
      </c>
      <c r="H272" s="234">
        <f t="shared" si="33"/>
        <v>0</v>
      </c>
      <c r="J272" s="8">
        <f>Données!AN272</f>
        <v>0</v>
      </c>
      <c r="K272" s="152">
        <f t="shared" si="34"/>
        <v>779203.88627604162</v>
      </c>
      <c r="L272" s="12">
        <f t="shared" si="35"/>
        <v>0</v>
      </c>
      <c r="M272" s="234">
        <f t="shared" si="36"/>
        <v>0</v>
      </c>
      <c r="O272" s="42">
        <f t="shared" si="37"/>
        <v>0</v>
      </c>
      <c r="P272" s="196"/>
      <c r="Q272" s="162"/>
      <c r="R272" s="162"/>
      <c r="S272" s="162"/>
      <c r="T272" s="162"/>
      <c r="U272" s="162"/>
      <c r="AF272" s="11"/>
      <c r="AG272" s="11"/>
      <c r="AH272" s="11"/>
      <c r="AI272" s="11"/>
      <c r="AJ272" s="11"/>
      <c r="AK272" s="11"/>
      <c r="AL272" s="11"/>
    </row>
    <row r="273" spans="1:38" x14ac:dyDescent="0.25">
      <c r="A273" s="38">
        <f>+Données!A273</f>
        <v>5890</v>
      </c>
      <c r="B273" s="181" t="str">
        <f>+Données!B273</f>
        <v>Vevey</v>
      </c>
      <c r="C273" s="170">
        <f>+Ecrêtage!C273</f>
        <v>1034326.0486800894</v>
      </c>
      <c r="D273" s="168"/>
      <c r="E273" s="170">
        <f>Données!AF273+Données!AG273+Données!AH273</f>
        <v>0</v>
      </c>
      <c r="F273" s="168">
        <f t="shared" si="31"/>
        <v>8274608.3894407153</v>
      </c>
      <c r="G273" s="8">
        <f t="shared" si="32"/>
        <v>0</v>
      </c>
      <c r="H273" s="234">
        <f t="shared" si="33"/>
        <v>0</v>
      </c>
      <c r="J273" s="8">
        <f>Données!AN273</f>
        <v>0</v>
      </c>
      <c r="K273" s="152">
        <f t="shared" si="34"/>
        <v>1034326.0486800894</v>
      </c>
      <c r="L273" s="12">
        <f t="shared" si="35"/>
        <v>0</v>
      </c>
      <c r="M273" s="234">
        <f t="shared" si="36"/>
        <v>0</v>
      </c>
      <c r="O273" s="42">
        <f t="shared" si="37"/>
        <v>0</v>
      </c>
      <c r="P273" s="196"/>
      <c r="Q273" s="162"/>
      <c r="R273" s="162"/>
      <c r="S273" s="162"/>
      <c r="T273" s="162"/>
      <c r="U273" s="162"/>
      <c r="AF273" s="11"/>
      <c r="AG273" s="11"/>
      <c r="AH273" s="11"/>
      <c r="AI273" s="11"/>
      <c r="AJ273" s="11"/>
      <c r="AK273" s="11"/>
      <c r="AL273" s="11"/>
    </row>
    <row r="274" spans="1:38" x14ac:dyDescent="0.25">
      <c r="A274" s="38">
        <f>+Données!A274</f>
        <v>5891</v>
      </c>
      <c r="B274" s="181" t="str">
        <f>+Données!B274</f>
        <v>Veytaux</v>
      </c>
      <c r="C274" s="170">
        <f>+Ecrêtage!C274</f>
        <v>45647.230320987655</v>
      </c>
      <c r="D274" s="168"/>
      <c r="E274" s="170">
        <f>Données!AF274+Données!AG274+Données!AH274</f>
        <v>0</v>
      </c>
      <c r="F274" s="168">
        <f t="shared" si="31"/>
        <v>365177.84256790124</v>
      </c>
      <c r="G274" s="8">
        <f t="shared" si="32"/>
        <v>0</v>
      </c>
      <c r="H274" s="234">
        <f t="shared" si="33"/>
        <v>0</v>
      </c>
      <c r="J274" s="8">
        <f>Données!AN274</f>
        <v>0</v>
      </c>
      <c r="K274" s="152">
        <f t="shared" si="34"/>
        <v>45647.230320987655</v>
      </c>
      <c r="L274" s="12">
        <f t="shared" si="35"/>
        <v>0</v>
      </c>
      <c r="M274" s="234">
        <f t="shared" si="36"/>
        <v>0</v>
      </c>
      <c r="O274" s="42">
        <f t="shared" si="37"/>
        <v>0</v>
      </c>
      <c r="P274" s="196"/>
      <c r="Q274" s="162"/>
      <c r="R274" s="162"/>
      <c r="S274" s="162"/>
      <c r="T274" s="162"/>
      <c r="U274" s="162"/>
      <c r="AF274" s="11"/>
      <c r="AG274" s="11"/>
      <c r="AH274" s="11"/>
      <c r="AI274" s="11"/>
      <c r="AJ274" s="11"/>
      <c r="AK274" s="11"/>
      <c r="AL274" s="11"/>
    </row>
    <row r="275" spans="1:38" s="156" customFormat="1" x14ac:dyDescent="0.25">
      <c r="A275" s="38">
        <f>+Données!A275</f>
        <v>5892</v>
      </c>
      <c r="B275" s="181" t="str">
        <f>+Données!B275</f>
        <v>Blonay - Saint-Légier</v>
      </c>
      <c r="C275" s="170">
        <f>+Ecrêtage!C275</f>
        <v>720090.13459854003</v>
      </c>
      <c r="D275" s="168"/>
      <c r="E275" s="170">
        <f>Données!AF275+Données!AG275+Données!AH275</f>
        <v>0</v>
      </c>
      <c r="F275" s="168">
        <f t="shared" si="31"/>
        <v>5760721.0767883202</v>
      </c>
      <c r="G275" s="8">
        <f t="shared" si="32"/>
        <v>0</v>
      </c>
      <c r="H275" s="234">
        <f t="shared" si="33"/>
        <v>0</v>
      </c>
      <c r="I275" s="171"/>
      <c r="J275" s="8">
        <f>Données!AN275</f>
        <v>0</v>
      </c>
      <c r="K275" s="152">
        <f t="shared" si="34"/>
        <v>720090.13459854003</v>
      </c>
      <c r="L275" s="171">
        <f t="shared" si="35"/>
        <v>0</v>
      </c>
      <c r="M275" s="234">
        <f t="shared" si="36"/>
        <v>0</v>
      </c>
      <c r="N275" s="171"/>
      <c r="O275" s="42">
        <f t="shared" si="37"/>
        <v>0</v>
      </c>
      <c r="P275" s="196"/>
      <c r="Q275" s="162"/>
      <c r="R275" s="162"/>
      <c r="S275" s="162"/>
      <c r="T275" s="162"/>
      <c r="U275" s="162"/>
    </row>
    <row r="276" spans="1:38" x14ac:dyDescent="0.25">
      <c r="A276" s="38">
        <f>+Données!A276</f>
        <v>5902</v>
      </c>
      <c r="B276" s="181" t="str">
        <f>+Données!B276</f>
        <v>Belmont-sur-Yverdon</v>
      </c>
      <c r="C276" s="170">
        <f>+Ecrêtage!C276</f>
        <v>13428.751285714286</v>
      </c>
      <c r="D276" s="168"/>
      <c r="E276" s="170">
        <f>Données!AF276+Données!AG276+Données!AH276</f>
        <v>0</v>
      </c>
      <c r="F276" s="168">
        <f t="shared" si="31"/>
        <v>107430.01028571429</v>
      </c>
      <c r="G276" s="8">
        <f t="shared" si="32"/>
        <v>0</v>
      </c>
      <c r="H276" s="234">
        <f t="shared" si="33"/>
        <v>0</v>
      </c>
      <c r="J276" s="8">
        <f>Données!AN276</f>
        <v>0</v>
      </c>
      <c r="K276" s="152">
        <f t="shared" si="34"/>
        <v>13428.751285714286</v>
      </c>
      <c r="L276" s="12">
        <f t="shared" si="35"/>
        <v>0</v>
      </c>
      <c r="M276" s="234">
        <f t="shared" si="36"/>
        <v>0</v>
      </c>
      <c r="O276" s="42">
        <f t="shared" si="37"/>
        <v>0</v>
      </c>
      <c r="P276" s="196"/>
      <c r="Q276" s="162"/>
      <c r="R276" s="162"/>
      <c r="S276" s="162"/>
      <c r="T276" s="162"/>
      <c r="U276" s="162"/>
      <c r="AF276" s="11"/>
      <c r="AG276" s="11"/>
      <c r="AH276" s="11"/>
      <c r="AI276" s="11"/>
      <c r="AJ276" s="11"/>
      <c r="AK276" s="11"/>
      <c r="AL276" s="11"/>
    </row>
    <row r="277" spans="1:38" x14ac:dyDescent="0.25">
      <c r="A277" s="38">
        <f>+Données!A277</f>
        <v>5903</v>
      </c>
      <c r="B277" s="181" t="str">
        <f>+Données!B277</f>
        <v>Bioley-Magnoux</v>
      </c>
      <c r="C277" s="170">
        <f>+Ecrêtage!C277</f>
        <v>6278.7138690476195</v>
      </c>
      <c r="D277" s="168"/>
      <c r="E277" s="170">
        <f>Données!AF277+Données!AG277+Données!AH277</f>
        <v>0</v>
      </c>
      <c r="F277" s="168">
        <f t="shared" si="31"/>
        <v>50229.710952380956</v>
      </c>
      <c r="G277" s="8">
        <f t="shared" si="32"/>
        <v>0</v>
      </c>
      <c r="H277" s="234">
        <f t="shared" si="33"/>
        <v>0</v>
      </c>
      <c r="J277" s="8">
        <f>Données!AN277</f>
        <v>0</v>
      </c>
      <c r="K277" s="152">
        <f t="shared" si="34"/>
        <v>6278.7138690476195</v>
      </c>
      <c r="L277" s="12">
        <f t="shared" si="35"/>
        <v>0</v>
      </c>
      <c r="M277" s="234">
        <f t="shared" si="36"/>
        <v>0</v>
      </c>
      <c r="O277" s="42">
        <f t="shared" si="37"/>
        <v>0</v>
      </c>
      <c r="P277" s="196"/>
      <c r="Q277" s="162"/>
      <c r="R277" s="162"/>
      <c r="S277" s="162"/>
      <c r="T277" s="162"/>
      <c r="U277" s="162"/>
      <c r="AF277" s="11"/>
      <c r="AG277" s="11"/>
      <c r="AH277" s="11"/>
      <c r="AI277" s="11"/>
      <c r="AJ277" s="11"/>
      <c r="AK277" s="11"/>
      <c r="AL277" s="11"/>
    </row>
    <row r="278" spans="1:38" x14ac:dyDescent="0.25">
      <c r="A278" s="38">
        <f>+Données!A278</f>
        <v>5904</v>
      </c>
      <c r="B278" s="181" t="str">
        <f>+Données!B278</f>
        <v>Chamblon</v>
      </c>
      <c r="C278" s="170">
        <f>+Ecrêtage!C278</f>
        <v>18164.59121212121</v>
      </c>
      <c r="D278" s="168"/>
      <c r="E278" s="170">
        <f>Données!AF278+Données!AG278+Données!AH278</f>
        <v>0</v>
      </c>
      <c r="F278" s="168">
        <f t="shared" si="31"/>
        <v>145316.72969696968</v>
      </c>
      <c r="G278" s="8">
        <f t="shared" si="32"/>
        <v>0</v>
      </c>
      <c r="H278" s="234">
        <f t="shared" si="33"/>
        <v>0</v>
      </c>
      <c r="J278" s="8">
        <f>Données!AN278</f>
        <v>0</v>
      </c>
      <c r="K278" s="152">
        <f t="shared" si="34"/>
        <v>18164.59121212121</v>
      </c>
      <c r="L278" s="12">
        <f t="shared" si="35"/>
        <v>0</v>
      </c>
      <c r="M278" s="234">
        <f t="shared" si="36"/>
        <v>0</v>
      </c>
      <c r="O278" s="42">
        <f t="shared" si="37"/>
        <v>0</v>
      </c>
      <c r="P278" s="196"/>
      <c r="Q278" s="162"/>
      <c r="R278" s="162"/>
      <c r="S278" s="162"/>
      <c r="T278" s="162"/>
      <c r="U278" s="162"/>
      <c r="AF278" s="11"/>
      <c r="AG278" s="11"/>
      <c r="AH278" s="11"/>
      <c r="AI278" s="11"/>
      <c r="AJ278" s="11"/>
      <c r="AK278" s="11"/>
      <c r="AL278" s="11"/>
    </row>
    <row r="279" spans="1:38" x14ac:dyDescent="0.25">
      <c r="A279" s="38">
        <f>+Données!A279</f>
        <v>5905</v>
      </c>
      <c r="B279" s="181" t="str">
        <f>+Données!B279</f>
        <v>Champvent</v>
      </c>
      <c r="C279" s="170">
        <f>+Ecrêtage!C279</f>
        <v>22259.587285714286</v>
      </c>
      <c r="D279" s="168"/>
      <c r="E279" s="170">
        <f>Données!AF279+Données!AG279+Données!AH279</f>
        <v>0</v>
      </c>
      <c r="F279" s="168">
        <f t="shared" si="31"/>
        <v>178076.69828571429</v>
      </c>
      <c r="G279" s="8">
        <f t="shared" si="32"/>
        <v>0</v>
      </c>
      <c r="H279" s="234">
        <f t="shared" si="33"/>
        <v>0</v>
      </c>
      <c r="J279" s="8">
        <f>Données!AN279</f>
        <v>0</v>
      </c>
      <c r="K279" s="152">
        <f t="shared" si="34"/>
        <v>22259.587285714286</v>
      </c>
      <c r="L279" s="12">
        <f t="shared" si="35"/>
        <v>0</v>
      </c>
      <c r="M279" s="234">
        <f t="shared" si="36"/>
        <v>0</v>
      </c>
      <c r="O279" s="42">
        <f t="shared" si="37"/>
        <v>0</v>
      </c>
      <c r="P279" s="196"/>
      <c r="Q279" s="162"/>
      <c r="R279" s="162"/>
      <c r="S279" s="162"/>
      <c r="T279" s="162"/>
      <c r="U279" s="162"/>
      <c r="AF279" s="11"/>
      <c r="AG279" s="11"/>
      <c r="AH279" s="11"/>
      <c r="AI279" s="11"/>
      <c r="AJ279" s="11"/>
      <c r="AK279" s="11"/>
      <c r="AL279" s="11"/>
    </row>
    <row r="280" spans="1:38" x14ac:dyDescent="0.25">
      <c r="A280" s="38">
        <f>+Données!A280</f>
        <v>5907</v>
      </c>
      <c r="B280" s="181" t="str">
        <f>+Données!B280</f>
        <v>Chavannes-le-Chêne</v>
      </c>
      <c r="C280" s="170">
        <f>+Ecrêtage!C280</f>
        <v>8797.9254666666657</v>
      </c>
      <c r="D280" s="168"/>
      <c r="E280" s="170">
        <f>Données!AF280+Données!AG280+Données!AH280</f>
        <v>0</v>
      </c>
      <c r="F280" s="168">
        <f t="shared" si="31"/>
        <v>70383.403733333325</v>
      </c>
      <c r="G280" s="8">
        <f t="shared" si="32"/>
        <v>0</v>
      </c>
      <c r="H280" s="234">
        <f t="shared" si="33"/>
        <v>0</v>
      </c>
      <c r="J280" s="8">
        <f>Données!AN280</f>
        <v>0</v>
      </c>
      <c r="K280" s="152">
        <f t="shared" si="34"/>
        <v>8797.9254666666657</v>
      </c>
      <c r="L280" s="12">
        <f t="shared" si="35"/>
        <v>0</v>
      </c>
      <c r="M280" s="234">
        <f t="shared" si="36"/>
        <v>0</v>
      </c>
      <c r="O280" s="42">
        <f t="shared" si="37"/>
        <v>0</v>
      </c>
      <c r="P280" s="196"/>
      <c r="Q280" s="162"/>
      <c r="R280" s="162"/>
      <c r="S280" s="162"/>
      <c r="T280" s="162"/>
      <c r="U280" s="162"/>
      <c r="AF280" s="11"/>
      <c r="AG280" s="11"/>
      <c r="AH280" s="11"/>
      <c r="AI280" s="11"/>
      <c r="AJ280" s="11"/>
      <c r="AK280" s="11"/>
      <c r="AL280" s="11"/>
    </row>
    <row r="281" spans="1:38" x14ac:dyDescent="0.25">
      <c r="A281" s="38">
        <f>+Données!A281</f>
        <v>5908</v>
      </c>
      <c r="B281" s="181" t="str">
        <f>+Données!B281</f>
        <v>Chêne-Pâquier</v>
      </c>
      <c r="C281" s="170">
        <f>+Ecrêtage!C281</f>
        <v>5848.7089333333342</v>
      </c>
      <c r="D281" s="168"/>
      <c r="E281" s="170">
        <f>Données!AF281+Données!AG281+Données!AH281</f>
        <v>0</v>
      </c>
      <c r="F281" s="168">
        <f t="shared" si="31"/>
        <v>46789.671466666674</v>
      </c>
      <c r="G281" s="8">
        <f t="shared" si="32"/>
        <v>0</v>
      </c>
      <c r="H281" s="234">
        <f t="shared" si="33"/>
        <v>0</v>
      </c>
      <c r="J281" s="8">
        <f>Données!AN281</f>
        <v>0</v>
      </c>
      <c r="K281" s="152">
        <f t="shared" si="34"/>
        <v>5848.7089333333342</v>
      </c>
      <c r="L281" s="12">
        <f t="shared" si="35"/>
        <v>0</v>
      </c>
      <c r="M281" s="234">
        <f t="shared" si="36"/>
        <v>0</v>
      </c>
      <c r="O281" s="42">
        <f t="shared" si="37"/>
        <v>0</v>
      </c>
      <c r="P281" s="196"/>
      <c r="Q281" s="162"/>
      <c r="R281" s="162"/>
      <c r="S281" s="162"/>
      <c r="T281" s="162"/>
      <c r="U281" s="162"/>
      <c r="AF281" s="11"/>
      <c r="AG281" s="11"/>
      <c r="AH281" s="11"/>
      <c r="AI281" s="11"/>
      <c r="AJ281" s="11"/>
      <c r="AK281" s="11"/>
      <c r="AL281" s="11"/>
    </row>
    <row r="282" spans="1:38" x14ac:dyDescent="0.25">
      <c r="A282" s="38">
        <f>+Données!A282</f>
        <v>5909</v>
      </c>
      <c r="B282" s="181" t="str">
        <f>+Données!B282</f>
        <v>Cheseaux-Noréaz</v>
      </c>
      <c r="C282" s="170">
        <f>+Ecrêtage!C282</f>
        <v>38683.585223880604</v>
      </c>
      <c r="D282" s="168"/>
      <c r="E282" s="170">
        <f>Données!AF282+Données!AG282+Données!AH282</f>
        <v>0</v>
      </c>
      <c r="F282" s="168">
        <f t="shared" si="31"/>
        <v>309468.68179104483</v>
      </c>
      <c r="G282" s="8">
        <f t="shared" si="32"/>
        <v>0</v>
      </c>
      <c r="H282" s="234">
        <f t="shared" si="33"/>
        <v>0</v>
      </c>
      <c r="J282" s="8">
        <f>Données!AN282</f>
        <v>0</v>
      </c>
      <c r="K282" s="152">
        <f t="shared" si="34"/>
        <v>38683.585223880604</v>
      </c>
      <c r="L282" s="12">
        <f t="shared" si="35"/>
        <v>0</v>
      </c>
      <c r="M282" s="234">
        <f t="shared" si="36"/>
        <v>0</v>
      </c>
      <c r="O282" s="42">
        <f t="shared" si="37"/>
        <v>0</v>
      </c>
      <c r="P282" s="196"/>
      <c r="Q282" s="162"/>
      <c r="R282" s="162"/>
      <c r="S282" s="162"/>
      <c r="T282" s="162"/>
      <c r="U282" s="162"/>
      <c r="AF282" s="11"/>
      <c r="AG282" s="11"/>
      <c r="AH282" s="11"/>
      <c r="AI282" s="11"/>
      <c r="AJ282" s="11"/>
      <c r="AK282" s="11"/>
      <c r="AL282" s="11"/>
    </row>
    <row r="283" spans="1:38" x14ac:dyDescent="0.25">
      <c r="A283" s="38">
        <f>+Données!A283</f>
        <v>5910</v>
      </c>
      <c r="B283" s="181" t="str">
        <f>+Données!B283</f>
        <v>Cronay</v>
      </c>
      <c r="C283" s="170">
        <f>+Ecrêtage!C283</f>
        <v>12977.456233766234</v>
      </c>
      <c r="D283" s="168"/>
      <c r="E283" s="170">
        <f>Données!AF283+Données!AG283+Données!AH283</f>
        <v>0</v>
      </c>
      <c r="F283" s="168">
        <f t="shared" si="31"/>
        <v>103819.64987012987</v>
      </c>
      <c r="G283" s="8">
        <f t="shared" si="32"/>
        <v>0</v>
      </c>
      <c r="H283" s="234">
        <f t="shared" si="33"/>
        <v>0</v>
      </c>
      <c r="J283" s="8">
        <f>Données!AN283</f>
        <v>0</v>
      </c>
      <c r="K283" s="152">
        <f t="shared" si="34"/>
        <v>12977.456233766234</v>
      </c>
      <c r="L283" s="12">
        <f t="shared" si="35"/>
        <v>0</v>
      </c>
      <c r="M283" s="234">
        <f t="shared" si="36"/>
        <v>0</v>
      </c>
      <c r="O283" s="42">
        <f t="shared" si="37"/>
        <v>0</v>
      </c>
      <c r="P283" s="196"/>
      <c r="Q283" s="162"/>
      <c r="R283" s="162"/>
      <c r="S283" s="162"/>
      <c r="T283" s="162"/>
      <c r="U283" s="162"/>
      <c r="AF283" s="11"/>
      <c r="AG283" s="11"/>
      <c r="AH283" s="11"/>
      <c r="AI283" s="11"/>
      <c r="AJ283" s="11"/>
      <c r="AK283" s="11"/>
      <c r="AL283" s="11"/>
    </row>
    <row r="284" spans="1:38" x14ac:dyDescent="0.25">
      <c r="A284" s="38">
        <f>+Données!A284</f>
        <v>5911</v>
      </c>
      <c r="B284" s="181" t="str">
        <f>+Données!B284</f>
        <v>Cuarny</v>
      </c>
      <c r="C284" s="170">
        <f>+Ecrêtage!C284</f>
        <v>7819.0719480519483</v>
      </c>
      <c r="D284" s="168"/>
      <c r="E284" s="170">
        <f>Données!AF284+Données!AG284+Données!AH284</f>
        <v>0</v>
      </c>
      <c r="F284" s="168">
        <f t="shared" si="31"/>
        <v>62552.575584415586</v>
      </c>
      <c r="G284" s="8">
        <f t="shared" si="32"/>
        <v>0</v>
      </c>
      <c r="H284" s="234">
        <f t="shared" si="33"/>
        <v>0</v>
      </c>
      <c r="J284" s="8">
        <f>Données!AN284</f>
        <v>0</v>
      </c>
      <c r="K284" s="152">
        <f t="shared" si="34"/>
        <v>7819.0719480519483</v>
      </c>
      <c r="L284" s="12">
        <f t="shared" si="35"/>
        <v>0</v>
      </c>
      <c r="M284" s="234">
        <f t="shared" si="36"/>
        <v>0</v>
      </c>
      <c r="O284" s="42">
        <f t="shared" si="37"/>
        <v>0</v>
      </c>
      <c r="P284" s="196"/>
      <c r="Q284" s="162"/>
      <c r="R284" s="162"/>
      <c r="S284" s="162"/>
      <c r="T284" s="162"/>
      <c r="U284" s="162"/>
      <c r="AF284" s="11"/>
      <c r="AG284" s="11"/>
      <c r="AH284" s="11"/>
      <c r="AI284" s="11"/>
      <c r="AJ284" s="11"/>
      <c r="AK284" s="11"/>
      <c r="AL284" s="11"/>
    </row>
    <row r="285" spans="1:38" x14ac:dyDescent="0.25">
      <c r="A285" s="38">
        <f>+Données!A285</f>
        <v>5912</v>
      </c>
      <c r="B285" s="181" t="str">
        <f>+Données!B285</f>
        <v>Démoret</v>
      </c>
      <c r="C285" s="170">
        <f>+Ecrêtage!C285</f>
        <v>3810.8220512820521</v>
      </c>
      <c r="D285" s="168"/>
      <c r="E285" s="170">
        <f>Données!AF285+Données!AG285+Données!AH285</f>
        <v>0</v>
      </c>
      <c r="F285" s="168">
        <f t="shared" si="31"/>
        <v>30486.576410256417</v>
      </c>
      <c r="G285" s="8">
        <f t="shared" si="32"/>
        <v>0</v>
      </c>
      <c r="H285" s="234">
        <f t="shared" si="33"/>
        <v>0</v>
      </c>
      <c r="J285" s="8">
        <f>Données!AN285</f>
        <v>0</v>
      </c>
      <c r="K285" s="152">
        <f t="shared" si="34"/>
        <v>3810.8220512820521</v>
      </c>
      <c r="L285" s="12">
        <f t="shared" si="35"/>
        <v>0</v>
      </c>
      <c r="M285" s="234">
        <f t="shared" si="36"/>
        <v>0</v>
      </c>
      <c r="O285" s="42">
        <f t="shared" si="37"/>
        <v>0</v>
      </c>
      <c r="P285" s="196"/>
      <c r="Q285" s="162"/>
      <c r="R285" s="162"/>
      <c r="S285" s="162"/>
      <c r="T285" s="162"/>
      <c r="U285" s="162"/>
      <c r="AF285" s="11"/>
      <c r="AG285" s="11"/>
      <c r="AH285" s="11"/>
      <c r="AI285" s="11"/>
      <c r="AJ285" s="11"/>
      <c r="AK285" s="11"/>
      <c r="AL285" s="11"/>
    </row>
    <row r="286" spans="1:38" x14ac:dyDescent="0.25">
      <c r="A286" s="38">
        <f>+Données!A286</f>
        <v>5913</v>
      </c>
      <c r="B286" s="181" t="str">
        <f>+Données!B286</f>
        <v>Donneloye</v>
      </c>
      <c r="C286" s="170">
        <f>+Ecrêtage!C286</f>
        <v>21287.768493150685</v>
      </c>
      <c r="D286" s="168"/>
      <c r="E286" s="170">
        <f>Données!AF286+Données!AG286+Données!AH286</f>
        <v>0</v>
      </c>
      <c r="F286" s="168">
        <f t="shared" si="31"/>
        <v>170302.14794520548</v>
      </c>
      <c r="G286" s="8">
        <f t="shared" si="32"/>
        <v>0</v>
      </c>
      <c r="H286" s="234">
        <f t="shared" si="33"/>
        <v>0</v>
      </c>
      <c r="J286" s="8">
        <f>Données!AN286</f>
        <v>0</v>
      </c>
      <c r="K286" s="152">
        <f t="shared" si="34"/>
        <v>21287.768493150685</v>
      </c>
      <c r="L286" s="12">
        <f t="shared" si="35"/>
        <v>0</v>
      </c>
      <c r="M286" s="234">
        <f t="shared" si="36"/>
        <v>0</v>
      </c>
      <c r="O286" s="42">
        <f t="shared" si="37"/>
        <v>0</v>
      </c>
      <c r="P286" s="196"/>
      <c r="Q286" s="162"/>
      <c r="R286" s="162"/>
      <c r="S286" s="162"/>
      <c r="T286" s="162"/>
      <c r="U286" s="162"/>
      <c r="AF286" s="11"/>
      <c r="AG286" s="11"/>
      <c r="AH286" s="11"/>
      <c r="AI286" s="11"/>
      <c r="AJ286" s="11"/>
      <c r="AK286" s="11"/>
      <c r="AL286" s="11"/>
    </row>
    <row r="287" spans="1:38" x14ac:dyDescent="0.25">
      <c r="A287" s="38">
        <f>+Données!A287</f>
        <v>5914</v>
      </c>
      <c r="B287" s="181" t="str">
        <f>+Données!B287</f>
        <v>Ependes</v>
      </c>
      <c r="C287" s="170">
        <f>+Ecrêtage!C287</f>
        <v>11289.461224489796</v>
      </c>
      <c r="D287" s="168"/>
      <c r="E287" s="170">
        <f>Données!AF287+Données!AG287+Données!AH287</f>
        <v>0</v>
      </c>
      <c r="F287" s="168">
        <f t="shared" si="31"/>
        <v>90315.68979591837</v>
      </c>
      <c r="G287" s="8">
        <f t="shared" si="32"/>
        <v>0</v>
      </c>
      <c r="H287" s="234">
        <f t="shared" si="33"/>
        <v>0</v>
      </c>
      <c r="J287" s="8">
        <f>Données!AN287</f>
        <v>0</v>
      </c>
      <c r="K287" s="152">
        <f t="shared" si="34"/>
        <v>11289.461224489796</v>
      </c>
      <c r="L287" s="12">
        <f t="shared" si="35"/>
        <v>0</v>
      </c>
      <c r="M287" s="234">
        <f t="shared" si="36"/>
        <v>0</v>
      </c>
      <c r="O287" s="42">
        <f t="shared" si="37"/>
        <v>0</v>
      </c>
      <c r="P287" s="196"/>
      <c r="Q287" s="162"/>
      <c r="R287" s="162"/>
      <c r="S287" s="162"/>
      <c r="T287" s="162"/>
      <c r="U287" s="162"/>
      <c r="AF287" s="11"/>
      <c r="AG287" s="11"/>
      <c r="AH287" s="11"/>
      <c r="AI287" s="11"/>
      <c r="AJ287" s="11"/>
      <c r="AK287" s="11"/>
      <c r="AL287" s="11"/>
    </row>
    <row r="288" spans="1:38" x14ac:dyDescent="0.25">
      <c r="A288" s="38">
        <f>+Données!A288</f>
        <v>5919</v>
      </c>
      <c r="B288" s="181" t="str">
        <f>+Données!B288</f>
        <v>Mathod</v>
      </c>
      <c r="C288" s="170">
        <f>+Ecrêtage!C288</f>
        <v>20397.872569444444</v>
      </c>
      <c r="D288" s="168"/>
      <c r="E288" s="170">
        <f>Données!AF288+Données!AG288+Données!AH288</f>
        <v>0</v>
      </c>
      <c r="F288" s="168">
        <f t="shared" si="31"/>
        <v>163182.98055555555</v>
      </c>
      <c r="G288" s="8">
        <f t="shared" si="32"/>
        <v>0</v>
      </c>
      <c r="H288" s="234">
        <f t="shared" si="33"/>
        <v>0</v>
      </c>
      <c r="J288" s="8">
        <f>Données!AN288</f>
        <v>0</v>
      </c>
      <c r="K288" s="152">
        <f t="shared" si="34"/>
        <v>20397.872569444444</v>
      </c>
      <c r="L288" s="12">
        <f t="shared" si="35"/>
        <v>0</v>
      </c>
      <c r="M288" s="234">
        <f t="shared" si="36"/>
        <v>0</v>
      </c>
      <c r="O288" s="42">
        <f t="shared" si="37"/>
        <v>0</v>
      </c>
      <c r="P288" s="196"/>
      <c r="Q288" s="162"/>
      <c r="R288" s="162"/>
      <c r="S288" s="162"/>
      <c r="T288" s="162"/>
      <c r="U288" s="162"/>
      <c r="AF288" s="11"/>
      <c r="AG288" s="11"/>
      <c r="AH288" s="11"/>
      <c r="AI288" s="11"/>
      <c r="AJ288" s="11"/>
      <c r="AK288" s="11"/>
      <c r="AL288" s="11"/>
    </row>
    <row r="289" spans="1:38" x14ac:dyDescent="0.25">
      <c r="A289" s="38">
        <f>+Données!A289</f>
        <v>5921</v>
      </c>
      <c r="B289" s="181" t="str">
        <f>+Données!B289</f>
        <v>Molondin</v>
      </c>
      <c r="C289" s="170">
        <f>+Ecrêtage!C289</f>
        <v>5454.6739506172835</v>
      </c>
      <c r="D289" s="168"/>
      <c r="E289" s="170">
        <f>Données!AF289+Données!AG289+Données!AH289</f>
        <v>0</v>
      </c>
      <c r="F289" s="168">
        <f t="shared" si="31"/>
        <v>43637.391604938268</v>
      </c>
      <c r="G289" s="8">
        <f t="shared" si="32"/>
        <v>0</v>
      </c>
      <c r="H289" s="234">
        <f t="shared" si="33"/>
        <v>0</v>
      </c>
      <c r="J289" s="8">
        <f>Données!AN289</f>
        <v>0</v>
      </c>
      <c r="K289" s="152">
        <f t="shared" si="34"/>
        <v>5454.6739506172835</v>
      </c>
      <c r="L289" s="12">
        <f t="shared" si="35"/>
        <v>0</v>
      </c>
      <c r="M289" s="234">
        <f t="shared" si="36"/>
        <v>0</v>
      </c>
      <c r="O289" s="42">
        <f t="shared" si="37"/>
        <v>0</v>
      </c>
      <c r="P289" s="196"/>
      <c r="Q289" s="162"/>
      <c r="R289" s="162"/>
      <c r="S289" s="162"/>
      <c r="T289" s="162"/>
      <c r="U289" s="162"/>
      <c r="AF289" s="11"/>
      <c r="AG289" s="11"/>
      <c r="AH289" s="11"/>
      <c r="AI289" s="11"/>
      <c r="AJ289" s="11"/>
      <c r="AK289" s="11"/>
      <c r="AL289" s="11"/>
    </row>
    <row r="290" spans="1:38" x14ac:dyDescent="0.25">
      <c r="A290" s="38">
        <f>+Données!A290</f>
        <v>5922</v>
      </c>
      <c r="B290" s="181" t="str">
        <f>+Données!B290</f>
        <v>Montagny-près-Yverdon</v>
      </c>
      <c r="C290" s="170">
        <f>+Ecrêtage!C290</f>
        <v>39914.464612403099</v>
      </c>
      <c r="D290" s="168"/>
      <c r="E290" s="170">
        <f>Données!AF290+Données!AG290+Données!AH290</f>
        <v>0</v>
      </c>
      <c r="F290" s="168">
        <f t="shared" si="31"/>
        <v>319315.71689922479</v>
      </c>
      <c r="G290" s="8">
        <f t="shared" si="32"/>
        <v>0</v>
      </c>
      <c r="H290" s="234">
        <f t="shared" si="33"/>
        <v>0</v>
      </c>
      <c r="J290" s="8">
        <f>Données!AN290</f>
        <v>0</v>
      </c>
      <c r="K290" s="152">
        <f t="shared" si="34"/>
        <v>39914.464612403099</v>
      </c>
      <c r="L290" s="12">
        <f t="shared" si="35"/>
        <v>0</v>
      </c>
      <c r="M290" s="234">
        <f t="shared" si="36"/>
        <v>0</v>
      </c>
      <c r="O290" s="42">
        <f t="shared" si="37"/>
        <v>0</v>
      </c>
      <c r="P290" s="196"/>
      <c r="Q290" s="162"/>
      <c r="R290" s="162"/>
      <c r="S290" s="162"/>
      <c r="T290" s="162"/>
      <c r="U290" s="162"/>
      <c r="AF290" s="11"/>
      <c r="AG290" s="11"/>
      <c r="AH290" s="11"/>
      <c r="AI290" s="11"/>
      <c r="AJ290" s="11"/>
      <c r="AK290" s="11"/>
      <c r="AL290" s="11"/>
    </row>
    <row r="291" spans="1:38" x14ac:dyDescent="0.25">
      <c r="A291" s="38">
        <f>+Données!A291</f>
        <v>5923</v>
      </c>
      <c r="B291" s="181" t="str">
        <f>+Données!B291</f>
        <v>Oppens</v>
      </c>
      <c r="C291" s="170">
        <f>+Ecrêtage!C291</f>
        <v>6126.7193827160499</v>
      </c>
      <c r="D291" s="168"/>
      <c r="E291" s="170">
        <f>Données!AF291+Données!AG291+Données!AH291</f>
        <v>0</v>
      </c>
      <c r="F291" s="168">
        <f t="shared" si="31"/>
        <v>49013.7550617284</v>
      </c>
      <c r="G291" s="8">
        <f t="shared" si="32"/>
        <v>0</v>
      </c>
      <c r="H291" s="234">
        <f t="shared" si="33"/>
        <v>0</v>
      </c>
      <c r="J291" s="8">
        <f>Données!AN291</f>
        <v>0</v>
      </c>
      <c r="K291" s="152">
        <f t="shared" si="34"/>
        <v>6126.7193827160499</v>
      </c>
      <c r="L291" s="12">
        <f t="shared" si="35"/>
        <v>0</v>
      </c>
      <c r="M291" s="234">
        <f t="shared" si="36"/>
        <v>0</v>
      </c>
      <c r="O291" s="42">
        <f t="shared" si="37"/>
        <v>0</v>
      </c>
      <c r="P291" s="196"/>
      <c r="Q291" s="162"/>
      <c r="R291" s="162"/>
      <c r="S291" s="162"/>
      <c r="T291" s="162"/>
      <c r="U291" s="162"/>
      <c r="AF291" s="11"/>
      <c r="AG291" s="11"/>
      <c r="AH291" s="11"/>
      <c r="AI291" s="11"/>
      <c r="AJ291" s="11"/>
      <c r="AK291" s="11"/>
      <c r="AL291" s="11"/>
    </row>
    <row r="292" spans="1:38" x14ac:dyDescent="0.25">
      <c r="A292" s="38">
        <f>+Données!A292</f>
        <v>5924</v>
      </c>
      <c r="B292" s="181" t="str">
        <f>+Données!B292</f>
        <v>Orges</v>
      </c>
      <c r="C292" s="170">
        <f>+Ecrêtage!C292</f>
        <v>12401.843648648648</v>
      </c>
      <c r="D292" s="168"/>
      <c r="E292" s="170">
        <f>Données!AF292+Données!AG292+Données!AH292</f>
        <v>0</v>
      </c>
      <c r="F292" s="168">
        <f t="shared" si="31"/>
        <v>99214.749189189184</v>
      </c>
      <c r="G292" s="8">
        <f t="shared" si="32"/>
        <v>0</v>
      </c>
      <c r="H292" s="234">
        <f t="shared" si="33"/>
        <v>0</v>
      </c>
      <c r="J292" s="8">
        <f>Données!AN292</f>
        <v>0</v>
      </c>
      <c r="K292" s="152">
        <f t="shared" si="34"/>
        <v>12401.843648648648</v>
      </c>
      <c r="L292" s="12">
        <f t="shared" si="35"/>
        <v>0</v>
      </c>
      <c r="M292" s="234">
        <f t="shared" si="36"/>
        <v>0</v>
      </c>
      <c r="O292" s="42">
        <f t="shared" si="37"/>
        <v>0</v>
      </c>
      <c r="P292" s="196"/>
      <c r="Q292" s="162"/>
      <c r="R292" s="162"/>
      <c r="S292" s="162"/>
      <c r="T292" s="162"/>
      <c r="U292" s="162"/>
      <c r="AF292" s="11"/>
      <c r="AG292" s="11"/>
      <c r="AH292" s="11"/>
      <c r="AI292" s="11"/>
      <c r="AJ292" s="11"/>
      <c r="AK292" s="11"/>
      <c r="AL292" s="11"/>
    </row>
    <row r="293" spans="1:38" x14ac:dyDescent="0.25">
      <c r="A293" s="38">
        <f>+Données!A293</f>
        <v>5925</v>
      </c>
      <c r="B293" s="181" t="str">
        <f>+Données!B293</f>
        <v>Orzens</v>
      </c>
      <c r="C293" s="170">
        <f>+Ecrêtage!C293</f>
        <v>5858.6327848101273</v>
      </c>
      <c r="D293" s="168"/>
      <c r="E293" s="170">
        <f>Données!AF293+Données!AG293+Données!AH293</f>
        <v>0</v>
      </c>
      <c r="F293" s="168">
        <f t="shared" si="31"/>
        <v>46869.062278481018</v>
      </c>
      <c r="G293" s="8">
        <f t="shared" si="32"/>
        <v>0</v>
      </c>
      <c r="H293" s="234">
        <f t="shared" si="33"/>
        <v>0</v>
      </c>
      <c r="J293" s="8">
        <f>Données!AN293</f>
        <v>0</v>
      </c>
      <c r="K293" s="152">
        <f t="shared" si="34"/>
        <v>5858.6327848101273</v>
      </c>
      <c r="L293" s="12">
        <f t="shared" si="35"/>
        <v>0</v>
      </c>
      <c r="M293" s="234">
        <f t="shared" si="36"/>
        <v>0</v>
      </c>
      <c r="O293" s="42">
        <f t="shared" si="37"/>
        <v>0</v>
      </c>
      <c r="P293" s="196"/>
      <c r="Q293" s="162"/>
      <c r="R293" s="162"/>
      <c r="S293" s="162"/>
      <c r="T293" s="162"/>
      <c r="U293" s="162"/>
      <c r="AF293" s="11"/>
      <c r="AG293" s="11"/>
      <c r="AH293" s="11"/>
      <c r="AI293" s="11"/>
      <c r="AJ293" s="11"/>
      <c r="AK293" s="11"/>
      <c r="AL293" s="11"/>
    </row>
    <row r="294" spans="1:38" x14ac:dyDescent="0.25">
      <c r="A294" s="38">
        <f>+Données!A294</f>
        <v>5926</v>
      </c>
      <c r="B294" s="181" t="str">
        <f>+Données!B294</f>
        <v>Pomy</v>
      </c>
      <c r="C294" s="170">
        <f>+Ecrêtage!C294</f>
        <v>27254.567042253519</v>
      </c>
      <c r="D294" s="168"/>
      <c r="E294" s="170">
        <f>Données!AF294+Données!AG294+Données!AH294</f>
        <v>0</v>
      </c>
      <c r="F294" s="168">
        <f t="shared" si="31"/>
        <v>218036.53633802815</v>
      </c>
      <c r="G294" s="8">
        <f t="shared" si="32"/>
        <v>0</v>
      </c>
      <c r="H294" s="234">
        <f t="shared" si="33"/>
        <v>0</v>
      </c>
      <c r="J294" s="8">
        <f>Données!AN294</f>
        <v>0</v>
      </c>
      <c r="K294" s="152">
        <f t="shared" si="34"/>
        <v>27254.567042253519</v>
      </c>
      <c r="L294" s="12">
        <f t="shared" si="35"/>
        <v>0</v>
      </c>
      <c r="M294" s="234">
        <f t="shared" si="36"/>
        <v>0</v>
      </c>
      <c r="O294" s="42">
        <f t="shared" si="37"/>
        <v>0</v>
      </c>
      <c r="P294" s="196"/>
      <c r="Q294" s="162"/>
      <c r="R294" s="162"/>
      <c r="S294" s="162"/>
      <c r="T294" s="162"/>
      <c r="U294" s="162"/>
      <c r="AF294" s="11"/>
      <c r="AG294" s="11"/>
      <c r="AH294" s="11"/>
      <c r="AI294" s="11"/>
      <c r="AJ294" s="11"/>
      <c r="AK294" s="11"/>
      <c r="AL294" s="11"/>
    </row>
    <row r="295" spans="1:38" x14ac:dyDescent="0.25">
      <c r="A295" s="38">
        <f>+Données!A295</f>
        <v>5928</v>
      </c>
      <c r="B295" s="181" t="str">
        <f>+Données!B295</f>
        <v>Rovray</v>
      </c>
      <c r="C295" s="170">
        <f>+Ecrêtage!C295</f>
        <v>5477.1420547945208</v>
      </c>
      <c r="D295" s="168"/>
      <c r="E295" s="170">
        <f>Données!AF295+Données!AG295+Données!AH295</f>
        <v>0</v>
      </c>
      <c r="F295" s="168">
        <f t="shared" si="31"/>
        <v>43817.136438356167</v>
      </c>
      <c r="G295" s="8">
        <f t="shared" si="32"/>
        <v>0</v>
      </c>
      <c r="H295" s="234">
        <f t="shared" si="33"/>
        <v>0</v>
      </c>
      <c r="J295" s="8">
        <f>Données!AN295</f>
        <v>0</v>
      </c>
      <c r="K295" s="152">
        <f t="shared" si="34"/>
        <v>5477.1420547945208</v>
      </c>
      <c r="L295" s="12">
        <f t="shared" si="35"/>
        <v>0</v>
      </c>
      <c r="M295" s="234">
        <f t="shared" si="36"/>
        <v>0</v>
      </c>
      <c r="O295" s="42">
        <f t="shared" si="37"/>
        <v>0</v>
      </c>
      <c r="P295" s="196"/>
      <c r="Q295" s="162"/>
      <c r="R295" s="162"/>
      <c r="S295" s="162"/>
      <c r="T295" s="162"/>
      <c r="U295" s="162"/>
      <c r="AF295" s="11"/>
      <c r="AG295" s="11"/>
      <c r="AH295" s="11"/>
      <c r="AI295" s="11"/>
      <c r="AJ295" s="11"/>
      <c r="AK295" s="11"/>
      <c r="AL295" s="11"/>
    </row>
    <row r="296" spans="1:38" x14ac:dyDescent="0.25">
      <c r="A296" s="38">
        <f>+Données!A296</f>
        <v>5929</v>
      </c>
      <c r="B296" s="181" t="str">
        <f>+Données!B296</f>
        <v>Suchy</v>
      </c>
      <c r="C296" s="170">
        <f>+Ecrêtage!C296</f>
        <v>22233.767642857143</v>
      </c>
      <c r="D296" s="168"/>
      <c r="E296" s="170">
        <f>Données!AF296+Données!AG296+Données!AH296</f>
        <v>0</v>
      </c>
      <c r="F296" s="168">
        <f t="shared" si="31"/>
        <v>177870.14114285714</v>
      </c>
      <c r="G296" s="8">
        <f t="shared" si="32"/>
        <v>0</v>
      </c>
      <c r="H296" s="234">
        <f t="shared" si="33"/>
        <v>0</v>
      </c>
      <c r="J296" s="8">
        <f>Données!AN296</f>
        <v>0</v>
      </c>
      <c r="K296" s="152">
        <f t="shared" si="34"/>
        <v>22233.767642857143</v>
      </c>
      <c r="L296" s="12">
        <f t="shared" si="35"/>
        <v>0</v>
      </c>
      <c r="M296" s="234">
        <f t="shared" si="36"/>
        <v>0</v>
      </c>
      <c r="O296" s="42">
        <f t="shared" si="37"/>
        <v>0</v>
      </c>
      <c r="P296" s="196"/>
      <c r="Q296" s="162"/>
      <c r="R296" s="162"/>
      <c r="S296" s="162"/>
      <c r="T296" s="162"/>
      <c r="U296" s="162"/>
      <c r="AF296" s="11"/>
      <c r="AG296" s="11"/>
      <c r="AH296" s="11"/>
      <c r="AI296" s="11"/>
      <c r="AJ296" s="11"/>
      <c r="AK296" s="11"/>
      <c r="AL296" s="11"/>
    </row>
    <row r="297" spans="1:38" x14ac:dyDescent="0.25">
      <c r="A297" s="38">
        <f>+Données!A297</f>
        <v>5930</v>
      </c>
      <c r="B297" s="181" t="str">
        <f>+Données!B297</f>
        <v>Suscévaz</v>
      </c>
      <c r="C297" s="170">
        <f>+Ecrêtage!C297</f>
        <v>6011.7318055555552</v>
      </c>
      <c r="D297" s="168"/>
      <c r="E297" s="170">
        <f>Données!AF297+Données!AG297+Données!AH297</f>
        <v>0</v>
      </c>
      <c r="F297" s="168">
        <f t="shared" si="31"/>
        <v>48093.854444444441</v>
      </c>
      <c r="G297" s="8">
        <f t="shared" si="32"/>
        <v>0</v>
      </c>
      <c r="H297" s="234">
        <f t="shared" si="33"/>
        <v>0</v>
      </c>
      <c r="J297" s="8">
        <f>Données!AN297</f>
        <v>0</v>
      </c>
      <c r="K297" s="152">
        <f t="shared" si="34"/>
        <v>6011.7318055555552</v>
      </c>
      <c r="L297" s="12">
        <f t="shared" si="35"/>
        <v>0</v>
      </c>
      <c r="M297" s="234">
        <f t="shared" si="36"/>
        <v>0</v>
      </c>
      <c r="O297" s="42">
        <f t="shared" si="37"/>
        <v>0</v>
      </c>
      <c r="P297" s="196"/>
      <c r="Q297" s="162"/>
      <c r="R297" s="162"/>
      <c r="S297" s="162"/>
      <c r="T297" s="162"/>
      <c r="U297" s="162"/>
      <c r="AF297" s="11"/>
      <c r="AG297" s="11"/>
      <c r="AH297" s="11"/>
      <c r="AI297" s="11"/>
      <c r="AJ297" s="11"/>
      <c r="AK297" s="11"/>
      <c r="AL297" s="11"/>
    </row>
    <row r="298" spans="1:38" x14ac:dyDescent="0.25">
      <c r="A298" s="38">
        <f>+Données!A298</f>
        <v>5931</v>
      </c>
      <c r="B298" s="181" t="str">
        <f>+Données!B298</f>
        <v>Treycovagnes</v>
      </c>
      <c r="C298" s="170">
        <f>+Ecrêtage!C298</f>
        <v>16173.396575342462</v>
      </c>
      <c r="D298" s="168"/>
      <c r="E298" s="170">
        <f>Données!AF298+Données!AG298+Données!AH298</f>
        <v>0</v>
      </c>
      <c r="F298" s="168">
        <f t="shared" si="31"/>
        <v>129387.17260273969</v>
      </c>
      <c r="G298" s="8">
        <f t="shared" si="32"/>
        <v>0</v>
      </c>
      <c r="H298" s="234">
        <f t="shared" si="33"/>
        <v>0</v>
      </c>
      <c r="J298" s="8">
        <f>Données!AN298</f>
        <v>0</v>
      </c>
      <c r="K298" s="152">
        <f t="shared" si="34"/>
        <v>16173.396575342462</v>
      </c>
      <c r="L298" s="12">
        <f t="shared" si="35"/>
        <v>0</v>
      </c>
      <c r="M298" s="234">
        <f t="shared" si="36"/>
        <v>0</v>
      </c>
      <c r="O298" s="42">
        <f t="shared" si="37"/>
        <v>0</v>
      </c>
      <c r="P298" s="196"/>
      <c r="Q298" s="162"/>
      <c r="R298" s="162"/>
      <c r="S298" s="162"/>
      <c r="T298" s="162"/>
      <c r="U298" s="162"/>
      <c r="AF298" s="11"/>
      <c r="AG298" s="11"/>
      <c r="AH298" s="11"/>
      <c r="AI298" s="11"/>
      <c r="AJ298" s="11"/>
      <c r="AK298" s="11"/>
      <c r="AL298" s="11"/>
    </row>
    <row r="299" spans="1:38" x14ac:dyDescent="0.25">
      <c r="A299" s="38">
        <f>+Données!A299</f>
        <v>5932</v>
      </c>
      <c r="B299" s="181" t="str">
        <f>+Données!B299</f>
        <v>Ursins</v>
      </c>
      <c r="C299" s="170">
        <f>+Ecrêtage!C299</f>
        <v>8679.1289333333334</v>
      </c>
      <c r="D299" s="168"/>
      <c r="E299" s="170">
        <f>Données!AF299+Données!AG299+Données!AH299</f>
        <v>0</v>
      </c>
      <c r="F299" s="168">
        <f t="shared" si="31"/>
        <v>69433.031466666667</v>
      </c>
      <c r="G299" s="8">
        <f t="shared" si="32"/>
        <v>0</v>
      </c>
      <c r="H299" s="234">
        <f t="shared" si="33"/>
        <v>0</v>
      </c>
      <c r="J299" s="8">
        <f>Données!AN299</f>
        <v>0</v>
      </c>
      <c r="K299" s="152">
        <f t="shared" si="34"/>
        <v>8679.1289333333334</v>
      </c>
      <c r="L299" s="12">
        <f t="shared" si="35"/>
        <v>0</v>
      </c>
      <c r="M299" s="234">
        <f t="shared" si="36"/>
        <v>0</v>
      </c>
      <c r="O299" s="42">
        <f t="shared" si="37"/>
        <v>0</v>
      </c>
      <c r="P299" s="196"/>
      <c r="Q299" s="162"/>
      <c r="R299" s="162"/>
      <c r="S299" s="162"/>
      <c r="T299" s="162"/>
      <c r="U299" s="162"/>
      <c r="AF299" s="11"/>
      <c r="AG299" s="11"/>
      <c r="AH299" s="11"/>
      <c r="AI299" s="11"/>
      <c r="AJ299" s="11"/>
      <c r="AK299" s="11"/>
      <c r="AL299" s="11"/>
    </row>
    <row r="300" spans="1:38" x14ac:dyDescent="0.25">
      <c r="A300" s="38">
        <f>+Données!A300</f>
        <v>5933</v>
      </c>
      <c r="B300" s="181" t="str">
        <f>+Données!B300</f>
        <v>Valeyres-sous-Montagny</v>
      </c>
      <c r="C300" s="170">
        <f>+Ecrêtage!C300</f>
        <v>22762.97602836879</v>
      </c>
      <c r="D300" s="168"/>
      <c r="E300" s="170">
        <f>Données!AF300+Données!AG300+Données!AH300</f>
        <v>0</v>
      </c>
      <c r="F300" s="168">
        <f t="shared" si="31"/>
        <v>182103.80822695032</v>
      </c>
      <c r="G300" s="8">
        <f t="shared" si="32"/>
        <v>0</v>
      </c>
      <c r="H300" s="234">
        <f t="shared" si="33"/>
        <v>0</v>
      </c>
      <c r="J300" s="8">
        <f>Données!AN300</f>
        <v>0</v>
      </c>
      <c r="K300" s="152">
        <f t="shared" si="34"/>
        <v>22762.97602836879</v>
      </c>
      <c r="L300" s="12">
        <f t="shared" si="35"/>
        <v>0</v>
      </c>
      <c r="M300" s="234">
        <f t="shared" si="36"/>
        <v>0</v>
      </c>
      <c r="O300" s="42">
        <f t="shared" si="37"/>
        <v>0</v>
      </c>
      <c r="P300" s="196"/>
      <c r="Q300" s="162"/>
      <c r="R300" s="162"/>
      <c r="S300" s="162"/>
      <c r="T300" s="162"/>
      <c r="U300" s="162"/>
      <c r="AF300" s="11"/>
      <c r="AG300" s="11"/>
      <c r="AH300" s="11"/>
      <c r="AI300" s="11"/>
      <c r="AJ300" s="11"/>
      <c r="AK300" s="11"/>
      <c r="AL300" s="11"/>
    </row>
    <row r="301" spans="1:38" x14ac:dyDescent="0.25">
      <c r="A301" s="38">
        <f>+Données!A301</f>
        <v>5934</v>
      </c>
      <c r="B301" s="181" t="str">
        <f>+Données!B301</f>
        <v>Valeyres-sous-Ursins</v>
      </c>
      <c r="C301" s="170">
        <f>+Ecrêtage!C301</f>
        <v>7483.0151948051935</v>
      </c>
      <c r="D301" s="168"/>
      <c r="E301" s="170">
        <f>Données!AF301+Données!AG301+Données!AH301</f>
        <v>0</v>
      </c>
      <c r="F301" s="168">
        <f t="shared" si="31"/>
        <v>59864.121558441548</v>
      </c>
      <c r="G301" s="8">
        <f t="shared" si="32"/>
        <v>0</v>
      </c>
      <c r="H301" s="234">
        <f t="shared" si="33"/>
        <v>0</v>
      </c>
      <c r="J301" s="8">
        <f>Données!AN301</f>
        <v>0</v>
      </c>
      <c r="K301" s="152">
        <f t="shared" si="34"/>
        <v>7483.0151948051935</v>
      </c>
      <c r="L301" s="12">
        <f t="shared" si="35"/>
        <v>0</v>
      </c>
      <c r="M301" s="234">
        <f t="shared" si="36"/>
        <v>0</v>
      </c>
      <c r="O301" s="42">
        <f t="shared" si="37"/>
        <v>0</v>
      </c>
      <c r="P301" s="196"/>
      <c r="Q301" s="162"/>
      <c r="R301" s="162"/>
      <c r="S301" s="162"/>
      <c r="T301" s="162"/>
      <c r="U301" s="162"/>
      <c r="AF301" s="11"/>
      <c r="AG301" s="11"/>
      <c r="AH301" s="11"/>
      <c r="AI301" s="11"/>
      <c r="AJ301" s="11"/>
      <c r="AK301" s="11"/>
      <c r="AL301" s="11"/>
    </row>
    <row r="302" spans="1:38" x14ac:dyDescent="0.25">
      <c r="A302" s="38">
        <f>+Données!A302</f>
        <v>5935</v>
      </c>
      <c r="B302" s="181" t="str">
        <f>+Données!B302</f>
        <v>Villars-Epeney</v>
      </c>
      <c r="C302" s="170">
        <f>+Ecrêtage!C302</f>
        <v>4091.4220588235289</v>
      </c>
      <c r="D302" s="168"/>
      <c r="E302" s="170">
        <f>Données!AF302+Données!AG302+Données!AH302</f>
        <v>0</v>
      </c>
      <c r="F302" s="168">
        <f t="shared" si="31"/>
        <v>32731.376470588231</v>
      </c>
      <c r="G302" s="8">
        <f t="shared" si="32"/>
        <v>0</v>
      </c>
      <c r="H302" s="234">
        <f t="shared" si="33"/>
        <v>0</v>
      </c>
      <c r="J302" s="8">
        <f>Données!AN302</f>
        <v>0</v>
      </c>
      <c r="K302" s="152">
        <f t="shared" si="34"/>
        <v>4091.4220588235289</v>
      </c>
      <c r="L302" s="12">
        <f t="shared" si="35"/>
        <v>0</v>
      </c>
      <c r="M302" s="234">
        <f t="shared" si="36"/>
        <v>0</v>
      </c>
      <c r="O302" s="42">
        <f t="shared" si="37"/>
        <v>0</v>
      </c>
      <c r="P302" s="196"/>
      <c r="Q302" s="162"/>
      <c r="R302" s="162"/>
      <c r="S302" s="162"/>
      <c r="T302" s="162"/>
      <c r="U302" s="162"/>
      <c r="AF302" s="11"/>
      <c r="AG302" s="11"/>
      <c r="AH302" s="11"/>
      <c r="AI302" s="11"/>
      <c r="AJ302" s="11"/>
      <c r="AK302" s="11"/>
      <c r="AL302" s="11"/>
    </row>
    <row r="303" spans="1:38" x14ac:dyDescent="0.25">
      <c r="A303" s="38">
        <f>+Données!A303</f>
        <v>5937</v>
      </c>
      <c r="B303" s="181" t="str">
        <f>+Données!B303</f>
        <v>Vugelles-La Mothe</v>
      </c>
      <c r="C303" s="170">
        <f>+Ecrêtage!C303</f>
        <v>3794.0157959183671</v>
      </c>
      <c r="D303" s="168"/>
      <c r="E303" s="170">
        <f>Données!AF303+Données!AG303+Données!AH303</f>
        <v>0</v>
      </c>
      <c r="F303" s="168">
        <f t="shared" si="31"/>
        <v>30352.126367346937</v>
      </c>
      <c r="G303" s="8">
        <f t="shared" si="32"/>
        <v>0</v>
      </c>
      <c r="H303" s="234">
        <f t="shared" si="33"/>
        <v>0</v>
      </c>
      <c r="J303" s="8">
        <f>Données!AN303</f>
        <v>0</v>
      </c>
      <c r="K303" s="152">
        <f t="shared" si="34"/>
        <v>3794.0157959183671</v>
      </c>
      <c r="L303" s="12">
        <f t="shared" si="35"/>
        <v>0</v>
      </c>
      <c r="M303" s="234">
        <f t="shared" si="36"/>
        <v>0</v>
      </c>
      <c r="O303" s="42">
        <f t="shared" si="37"/>
        <v>0</v>
      </c>
      <c r="P303" s="196"/>
      <c r="Q303" s="162"/>
      <c r="R303" s="162"/>
      <c r="S303" s="162"/>
      <c r="T303" s="162"/>
      <c r="U303" s="162"/>
      <c r="AF303" s="11"/>
      <c r="AG303" s="11"/>
      <c r="AH303" s="11"/>
      <c r="AI303" s="11"/>
      <c r="AJ303" s="11"/>
      <c r="AK303" s="11"/>
      <c r="AL303" s="11"/>
    </row>
    <row r="304" spans="1:38" x14ac:dyDescent="0.25">
      <c r="A304" s="38">
        <f>+Données!A304</f>
        <v>5938</v>
      </c>
      <c r="B304" s="181" t="str">
        <f>+Données!B304</f>
        <v>Yverdon-les-Bains</v>
      </c>
      <c r="C304" s="170">
        <f>+Ecrêtage!C304</f>
        <v>793682.36159999971</v>
      </c>
      <c r="D304" s="168"/>
      <c r="E304" s="170">
        <f>Données!AF304+Données!AG304+Données!AH304</f>
        <v>0</v>
      </c>
      <c r="F304" s="168">
        <f t="shared" si="31"/>
        <v>6349458.8927999977</v>
      </c>
      <c r="G304" s="8">
        <f t="shared" si="32"/>
        <v>0</v>
      </c>
      <c r="H304" s="234">
        <f t="shared" si="33"/>
        <v>0</v>
      </c>
      <c r="J304" s="8">
        <f>Données!AN304</f>
        <v>0</v>
      </c>
      <c r="K304" s="152">
        <f t="shared" si="34"/>
        <v>793682.36159999971</v>
      </c>
      <c r="L304" s="12">
        <f t="shared" si="35"/>
        <v>0</v>
      </c>
      <c r="M304" s="234">
        <f t="shared" si="36"/>
        <v>0</v>
      </c>
      <c r="O304" s="42">
        <f t="shared" si="37"/>
        <v>0</v>
      </c>
      <c r="P304" s="196"/>
      <c r="Q304" s="162"/>
      <c r="R304" s="162"/>
      <c r="S304" s="162"/>
      <c r="T304" s="162"/>
      <c r="U304" s="162"/>
      <c r="AF304" s="11"/>
      <c r="AG304" s="11"/>
      <c r="AH304" s="11"/>
      <c r="AI304" s="11"/>
      <c r="AJ304" s="11"/>
      <c r="AK304" s="11"/>
      <c r="AL304" s="11"/>
    </row>
    <row r="305" spans="1:38" x14ac:dyDescent="0.25">
      <c r="A305" s="38">
        <f>+Données!A305</f>
        <v>5939</v>
      </c>
      <c r="B305" s="181" t="str">
        <f>+Données!B305</f>
        <v>Yvonand</v>
      </c>
      <c r="C305" s="170">
        <f>+Ecrêtage!C305</f>
        <v>96283.364335664344</v>
      </c>
      <c r="D305" s="168"/>
      <c r="E305" s="113">
        <f>Données!AF305+Données!AG305+Données!AH305</f>
        <v>0</v>
      </c>
      <c r="F305" s="168">
        <f t="shared" si="31"/>
        <v>770266.91468531475</v>
      </c>
      <c r="G305" s="8">
        <f t="shared" si="32"/>
        <v>0</v>
      </c>
      <c r="H305" s="234">
        <f t="shared" si="33"/>
        <v>0</v>
      </c>
      <c r="J305" s="161">
        <f>Données!AN305</f>
        <v>0</v>
      </c>
      <c r="K305" s="154">
        <f t="shared" si="34"/>
        <v>96283.364335664344</v>
      </c>
      <c r="L305" s="51">
        <f t="shared" si="35"/>
        <v>0</v>
      </c>
      <c r="M305" s="250">
        <f t="shared" si="36"/>
        <v>0</v>
      </c>
      <c r="O305" s="64">
        <f t="shared" si="37"/>
        <v>0</v>
      </c>
      <c r="P305" s="196"/>
      <c r="Q305" s="162"/>
      <c r="R305" s="162"/>
      <c r="S305" s="162"/>
      <c r="T305" s="162"/>
      <c r="U305" s="162"/>
      <c r="AF305" s="11"/>
      <c r="AG305" s="11"/>
      <c r="AH305" s="11"/>
      <c r="AI305" s="11"/>
      <c r="AJ305" s="11"/>
      <c r="AK305" s="11"/>
      <c r="AL305" s="11"/>
    </row>
    <row r="306" spans="1:38" x14ac:dyDescent="0.25">
      <c r="A306" s="56"/>
      <c r="B306" s="132">
        <f>COUNTA(B6:B305)</f>
        <v>300</v>
      </c>
      <c r="C306" s="9">
        <f t="shared" ref="C306:M306" si="38">SUM(C6:C305)</f>
        <v>41857577.09593945</v>
      </c>
      <c r="E306" s="161">
        <f t="shared" si="38"/>
        <v>0</v>
      </c>
      <c r="F306" s="133">
        <f t="shared" si="38"/>
        <v>334860616.7675156</v>
      </c>
      <c r="G306" s="9">
        <f t="shared" si="38"/>
        <v>0</v>
      </c>
      <c r="H306" s="235">
        <f t="shared" si="38"/>
        <v>0</v>
      </c>
      <c r="J306" s="161">
        <f t="shared" si="38"/>
        <v>0</v>
      </c>
      <c r="K306" s="16">
        <f t="shared" si="38"/>
        <v>41857577.09593945</v>
      </c>
      <c r="L306" s="9">
        <f t="shared" si="38"/>
        <v>0</v>
      </c>
      <c r="M306" s="250">
        <f t="shared" si="38"/>
        <v>0</v>
      </c>
      <c r="O306" s="30">
        <f>-C306*4.5</f>
        <v>-188359096.93172753</v>
      </c>
      <c r="P306" s="196"/>
      <c r="Q306" s="156"/>
      <c r="AF306" s="11"/>
      <c r="AG306" s="11"/>
      <c r="AH306" s="11"/>
      <c r="AI306" s="11"/>
      <c r="AJ306" s="11"/>
      <c r="AK306" s="11"/>
      <c r="AL306" s="11"/>
    </row>
    <row r="307" spans="1:38" x14ac:dyDescent="0.25">
      <c r="O307" s="513"/>
    </row>
  </sheetData>
  <sheetProtection sheet="1" objects="1" scenarios="1"/>
  <mergeCells count="9">
    <mergeCell ref="O4:O5"/>
    <mergeCell ref="I1:J1"/>
    <mergeCell ref="C4:C5"/>
    <mergeCell ref="B4:B5"/>
    <mergeCell ref="A4:A5"/>
    <mergeCell ref="K4:K5"/>
    <mergeCell ref="J4:J5"/>
    <mergeCell ref="F4:F5"/>
    <mergeCell ref="E4:E5"/>
  </mergeCells>
  <phoneticPr fontId="0" type="noConversion"/>
  <hyperlinks>
    <hyperlink ref="G1" location="Solidarité!A1" display="← Précédent" xr:uid="{5A8E4973-17D6-4687-9CE6-45B0575EDBAD}"/>
    <hyperlink ref="H1" location="'Table des matières'!A1" display="Table des             matières" xr:uid="{04BE0D59-7790-474E-8080-9D72D4E0F66D}"/>
    <hyperlink ref="I1" location="'6.4. Financement'!A1" display="Suivant →" xr:uid="{E345551C-124C-4CBD-9876-7C5AAF6D130D}"/>
    <hyperlink ref="I1:J1" location="Effort!A1" display="Suivant →" xr:uid="{309F21F1-9A18-4F3D-BDE2-8C55C3D34BC3}"/>
  </hyperlinks>
  <printOptions horizontalCentered="1"/>
  <pageMargins left="0" right="0" top="0" bottom="0" header="0.51181102362204722" footer="0.51181102362204722"/>
  <pageSetup paperSize="9" scale="64" orientation="landscape" horizontalDpi="1200" verticalDpi="12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tabColor theme="6" tint="0.39997558519241921"/>
  </sheetPr>
  <dimension ref="A1:X312"/>
  <sheetViews>
    <sheetView workbookViewId="0">
      <pane ySplit="5" topLeftCell="A6" activePane="bottomLeft" state="frozen"/>
      <selection activeCell="I306" sqref="I306"/>
      <selection pane="bottomLeft"/>
    </sheetView>
  </sheetViews>
  <sheetFormatPr baseColWidth="10" defaultColWidth="10.75" defaultRowHeight="15" x14ac:dyDescent="0.25"/>
  <cols>
    <col min="1" max="1" width="7.25" style="11" customWidth="1"/>
    <col min="2" max="2" width="21.375" style="11" customWidth="1"/>
    <col min="3" max="3" width="12.625" style="11" bestFit="1" customWidth="1"/>
    <col min="4" max="4" width="13.25" style="11" customWidth="1"/>
    <col min="5" max="6" width="13.125" style="11" customWidth="1"/>
    <col min="7" max="7" width="13.125" style="156" customWidth="1"/>
    <col min="8" max="9" width="13.125" style="11" customWidth="1"/>
    <col min="10" max="10" width="9.125" style="13" customWidth="1"/>
    <col min="11" max="11" width="10.625" style="13" customWidth="1"/>
    <col min="12" max="13" width="12.125" style="11" customWidth="1"/>
    <col min="14" max="16" width="8.125" style="11" customWidth="1"/>
    <col min="17" max="16384" width="10.75" style="11"/>
  </cols>
  <sheetData>
    <row r="1" spans="1:24" s="216" customFormat="1" ht="26.25" x14ac:dyDescent="0.4">
      <c r="A1" s="203" t="s">
        <v>398</v>
      </c>
      <c r="B1" s="208"/>
      <c r="C1" s="308" t="s">
        <v>402</v>
      </c>
      <c r="D1" s="224" t="s">
        <v>394</v>
      </c>
      <c r="E1" s="372" t="s">
        <v>403</v>
      </c>
      <c r="H1" s="217"/>
      <c r="I1" s="218"/>
      <c r="J1" s="215"/>
      <c r="K1" s="219"/>
      <c r="L1" s="210"/>
      <c r="M1" s="210"/>
      <c r="N1" s="210"/>
      <c r="O1" s="210"/>
      <c r="P1" s="210"/>
      <c r="W1" s="210"/>
    </row>
    <row r="2" spans="1:24" s="33" customFormat="1" ht="15.75" x14ac:dyDescent="0.25">
      <c r="A2" s="272" t="str">
        <f>Paramètres!B4</f>
        <v>Décompte 2023</v>
      </c>
      <c r="B2" s="32"/>
      <c r="C2" s="158"/>
      <c r="D2" s="158"/>
      <c r="E2" s="158"/>
      <c r="F2" s="158"/>
      <c r="G2" s="158"/>
      <c r="H2" s="158"/>
      <c r="I2" s="158"/>
      <c r="J2" s="78"/>
      <c r="K2" s="79"/>
      <c r="M2" s="156"/>
      <c r="N2" s="156"/>
      <c r="O2" s="156"/>
      <c r="P2" s="156"/>
      <c r="Q2" s="156"/>
      <c r="X2" s="156"/>
    </row>
    <row r="3" spans="1:24" ht="20.100000000000001" customHeight="1" x14ac:dyDescent="0.25"/>
    <row r="4" spans="1:24" s="231" customFormat="1" ht="43.5" customHeight="1" x14ac:dyDescent="0.2">
      <c r="A4" s="760" t="s">
        <v>44</v>
      </c>
      <c r="B4" s="760" t="s">
        <v>84</v>
      </c>
      <c r="C4" s="760" t="s">
        <v>491</v>
      </c>
      <c r="D4" s="760" t="s">
        <v>528</v>
      </c>
      <c r="E4" s="760" t="s">
        <v>498</v>
      </c>
      <c r="F4" s="760" t="s">
        <v>499</v>
      </c>
      <c r="G4" s="772" t="s">
        <v>500</v>
      </c>
      <c r="H4" s="760" t="s">
        <v>430</v>
      </c>
      <c r="I4" s="774" t="s">
        <v>431</v>
      </c>
      <c r="J4" s="386" t="s">
        <v>429</v>
      </c>
      <c r="K4" s="772" t="s">
        <v>433</v>
      </c>
      <c r="L4" s="79"/>
    </row>
    <row r="5" spans="1:24" x14ac:dyDescent="0.25">
      <c r="A5" s="762"/>
      <c r="B5" s="762"/>
      <c r="C5" s="762"/>
      <c r="D5" s="761"/>
      <c r="E5" s="762"/>
      <c r="F5" s="762"/>
      <c r="G5" s="773"/>
      <c r="H5" s="762"/>
      <c r="I5" s="775"/>
      <c r="J5" s="279">
        <f>Paramètres!B44</f>
        <v>48</v>
      </c>
      <c r="K5" s="773"/>
      <c r="L5" s="13"/>
    </row>
    <row r="6" spans="1:24" x14ac:dyDescent="0.25">
      <c r="A6" s="38">
        <f>Données!A6</f>
        <v>5401</v>
      </c>
      <c r="B6" s="128" t="str">
        <f>Données!B6</f>
        <v>Aigle</v>
      </c>
      <c r="C6" s="266">
        <f>VPI!R6</f>
        <v>293879.84888888896</v>
      </c>
      <c r="D6" s="149">
        <f>(PCS!I12-PCS!F12)/C6</f>
        <v>11.468526634702149</v>
      </c>
      <c r="E6" s="380">
        <f>'Péréquation directe'!E12/C6</f>
        <v>-22.481427036460822</v>
      </c>
      <c r="F6" s="149">
        <f>'Péréquation directe'!F12/Effort!C6</f>
        <v>-16.089953357573837</v>
      </c>
      <c r="G6" s="149">
        <f>'Péréquation directe'!G12/Effort!C6</f>
        <v>0</v>
      </c>
      <c r="H6" s="149">
        <f>'Péréquation directe'!J12/Effort!C6</f>
        <v>19.307090066389922</v>
      </c>
      <c r="I6" s="321">
        <f>SUM(D6:H6)</f>
        <v>-7.7957636929425895</v>
      </c>
      <c r="J6" s="159">
        <f>IF(I6&gt;J$5,I6-J$5,0)</f>
        <v>0</v>
      </c>
      <c r="K6" s="42">
        <f>-J6*C6</f>
        <v>0</v>
      </c>
      <c r="L6" s="13"/>
    </row>
    <row r="7" spans="1:24" x14ac:dyDescent="0.25">
      <c r="A7" s="38">
        <f>Données!A7</f>
        <v>5402</v>
      </c>
      <c r="B7" s="128" t="str">
        <f>Données!B7</f>
        <v>Bex</v>
      </c>
      <c r="C7" s="266">
        <f>VPI!R7</f>
        <v>202698.13549295775</v>
      </c>
      <c r="D7" s="148">
        <f>(PCS!I13-PCS!F13)/C7</f>
        <v>11.468526634702149</v>
      </c>
      <c r="E7" s="381">
        <f>'Péréquation directe'!E13/C7</f>
        <v>-20.343169537218209</v>
      </c>
      <c r="F7" s="148">
        <f>'Péréquation directe'!F13/Effort!C7</f>
        <v>-21.663823690821125</v>
      </c>
      <c r="G7" s="148">
        <f>'Péréquation directe'!G13/Effort!C7</f>
        <v>0</v>
      </c>
      <c r="H7" s="148">
        <f>'Péréquation directe'!J13/Effort!C7</f>
        <v>19.307090066389922</v>
      </c>
      <c r="I7" s="279">
        <f t="shared" ref="I7:I70" si="0">SUM(D7:H7)</f>
        <v>-11.231376526947262</v>
      </c>
      <c r="J7" s="159">
        <f t="shared" ref="J7:J70" si="1">IF(I7&gt;J$5,I7-J$5,0)</f>
        <v>0</v>
      </c>
      <c r="K7" s="42">
        <f t="shared" ref="K7:K70" si="2">-J7*C7</f>
        <v>0</v>
      </c>
      <c r="L7" s="172"/>
    </row>
    <row r="8" spans="1:24" x14ac:dyDescent="0.25">
      <c r="A8" s="38">
        <f>Données!A8</f>
        <v>5403</v>
      </c>
      <c r="B8" s="128" t="str">
        <f>Données!B8</f>
        <v>Chessel</v>
      </c>
      <c r="C8" s="266">
        <f>VPI!R8</f>
        <v>13180.672769230767</v>
      </c>
      <c r="D8" s="148">
        <f>(PCS!I14-PCS!F14)/C8</f>
        <v>11.468526634702149</v>
      </c>
      <c r="E8" s="381">
        <f>'Péréquation directe'!E14/C8</f>
        <v>-5.1646121994009917</v>
      </c>
      <c r="F8" s="148">
        <f>'Péréquation directe'!F14/Effort!C8</f>
        <v>-15.988800175018614</v>
      </c>
      <c r="G8" s="148">
        <f>'Péréquation directe'!G14/Effort!C8</f>
        <v>0</v>
      </c>
      <c r="H8" s="148">
        <f>'Péréquation directe'!J14/Effort!C8</f>
        <v>19.307090066389922</v>
      </c>
      <c r="I8" s="279">
        <f t="shared" si="0"/>
        <v>9.6222043266724651</v>
      </c>
      <c r="J8" s="159">
        <f t="shared" si="1"/>
        <v>0</v>
      </c>
      <c r="K8" s="42">
        <f t="shared" si="2"/>
        <v>0</v>
      </c>
      <c r="L8" s="172"/>
    </row>
    <row r="9" spans="1:24" x14ac:dyDescent="0.25">
      <c r="A9" s="38">
        <f>Données!A9</f>
        <v>5404</v>
      </c>
      <c r="B9" s="128" t="str">
        <f>Données!B9</f>
        <v>Corbeyrier</v>
      </c>
      <c r="C9" s="266">
        <f>VPI!R9</f>
        <v>10656.798108108109</v>
      </c>
      <c r="D9" s="148">
        <f>(PCS!I15-PCS!F15)/C9</f>
        <v>11.468526634702149</v>
      </c>
      <c r="E9" s="381">
        <f>'Péréquation directe'!E15/C9</f>
        <v>-5.7108293046551601</v>
      </c>
      <c r="F9" s="148">
        <f>'Péréquation directe'!F15/Effort!C9</f>
        <v>-25.227823304974301</v>
      </c>
      <c r="G9" s="148">
        <f>'Péréquation directe'!G15/Effort!C9</f>
        <v>0</v>
      </c>
      <c r="H9" s="148">
        <f>'Péréquation directe'!J15/Effort!C9</f>
        <v>19.307090066389922</v>
      </c>
      <c r="I9" s="279">
        <f t="shared" si="0"/>
        <v>-0.1630359085373918</v>
      </c>
      <c r="J9" s="159">
        <f t="shared" si="1"/>
        <v>0</v>
      </c>
      <c r="K9" s="42">
        <f t="shared" si="2"/>
        <v>0</v>
      </c>
      <c r="L9" s="172"/>
    </row>
    <row r="10" spans="1:24" x14ac:dyDescent="0.25">
      <c r="A10" s="38">
        <f>Données!A10</f>
        <v>5405</v>
      </c>
      <c r="B10" s="128" t="str">
        <f>Données!B10</f>
        <v>Gryon</v>
      </c>
      <c r="C10" s="266">
        <f>VPI!R10</f>
        <v>79200.140770975064</v>
      </c>
      <c r="D10" s="148">
        <f>(PCS!I16-PCS!F16)/C10</f>
        <v>12.215026059246254</v>
      </c>
      <c r="E10" s="381">
        <f>'Péréquation directe'!E16/C10</f>
        <v>-4.0673387658290077</v>
      </c>
      <c r="F10" s="148">
        <f>'Péréquation directe'!F16/Effort!C10</f>
        <v>0</v>
      </c>
      <c r="G10" s="148">
        <f>'Péréquation directe'!G16/Effort!C10</f>
        <v>0</v>
      </c>
      <c r="H10" s="148">
        <f>'Péréquation directe'!J16/Effort!C10</f>
        <v>19.307090066389922</v>
      </c>
      <c r="I10" s="279">
        <f t="shared" si="0"/>
        <v>27.454777359807167</v>
      </c>
      <c r="J10" s="159">
        <f t="shared" si="1"/>
        <v>0</v>
      </c>
      <c r="K10" s="42">
        <f t="shared" si="2"/>
        <v>0</v>
      </c>
      <c r="L10" s="172"/>
    </row>
    <row r="11" spans="1:24" x14ac:dyDescent="0.25">
      <c r="A11" s="38">
        <f>Données!A11</f>
        <v>5406</v>
      </c>
      <c r="B11" s="128" t="str">
        <f>Données!B11</f>
        <v>Lavey-Morcles</v>
      </c>
      <c r="C11" s="266">
        <f>VPI!R11</f>
        <v>24174.314276492736</v>
      </c>
      <c r="D11" s="148">
        <f>(PCS!I17-PCS!F17)/C11</f>
        <v>11.468526634702149</v>
      </c>
      <c r="E11" s="381">
        <f>'Péréquation directe'!E17/C11</f>
        <v>-5.7598965456974325</v>
      </c>
      <c r="F11" s="148">
        <f>'Péréquation directe'!F17/Effort!C11</f>
        <v>-22.275541920521011</v>
      </c>
      <c r="G11" s="148">
        <f>'Péréquation directe'!G17/Effort!C11</f>
        <v>0</v>
      </c>
      <c r="H11" s="148">
        <f>'Péréquation directe'!J17/Effort!C11</f>
        <v>19.307090066389922</v>
      </c>
      <c r="I11" s="279">
        <f t="shared" si="0"/>
        <v>2.7401782348736283</v>
      </c>
      <c r="J11" s="159">
        <f t="shared" si="1"/>
        <v>0</v>
      </c>
      <c r="K11" s="42">
        <f t="shared" si="2"/>
        <v>0</v>
      </c>
      <c r="L11" s="172"/>
    </row>
    <row r="12" spans="1:24" x14ac:dyDescent="0.25">
      <c r="A12" s="38">
        <f>Données!A12</f>
        <v>5407</v>
      </c>
      <c r="B12" s="128" t="str">
        <f>Données!B12</f>
        <v>Leysin</v>
      </c>
      <c r="C12" s="266">
        <f>VPI!R12</f>
        <v>97593.933333333334</v>
      </c>
      <c r="D12" s="148">
        <f>(PCS!I18-PCS!F18)/C12</f>
        <v>11.468526634702149</v>
      </c>
      <c r="E12" s="381">
        <f>'Péréquation directe'!E18/C12</f>
        <v>-12.789087203613699</v>
      </c>
      <c r="F12" s="148">
        <f>'Péréquation directe'!F18/Effort!C12</f>
        <v>-21.621935435570382</v>
      </c>
      <c r="G12" s="148">
        <f>'Péréquation directe'!G18/Effort!C12</f>
        <v>0</v>
      </c>
      <c r="H12" s="148">
        <f>'Péréquation directe'!J18/Effort!C12</f>
        <v>19.307090066389922</v>
      </c>
      <c r="I12" s="279">
        <f t="shared" si="0"/>
        <v>-3.6354059380920098</v>
      </c>
      <c r="J12" s="159">
        <f t="shared" si="1"/>
        <v>0</v>
      </c>
      <c r="K12" s="42">
        <f t="shared" si="2"/>
        <v>0</v>
      </c>
      <c r="L12" s="172"/>
    </row>
    <row r="13" spans="1:24" x14ac:dyDescent="0.25">
      <c r="A13" s="38">
        <f>Données!A13</f>
        <v>5408</v>
      </c>
      <c r="B13" s="128" t="str">
        <f>Données!B13</f>
        <v>Noville</v>
      </c>
      <c r="C13" s="266">
        <f>VPI!R13</f>
        <v>40176.989288888893</v>
      </c>
      <c r="D13" s="148">
        <f>(PCS!I19-PCS!F19)/C13</f>
        <v>11.468526634702148</v>
      </c>
      <c r="E13" s="381">
        <f>'Péréquation directe'!E19/C13</f>
        <v>-4.9099648611141182</v>
      </c>
      <c r="F13" s="148">
        <f>'Péréquation directe'!F19/Effort!C13</f>
        <v>-10.168753609436207</v>
      </c>
      <c r="G13" s="148">
        <f>'Péréquation directe'!G19/Effort!C13</f>
        <v>0</v>
      </c>
      <c r="H13" s="148">
        <f>'Péréquation directe'!J19/Effort!C13</f>
        <v>19.307090066389922</v>
      </c>
      <c r="I13" s="279">
        <f t="shared" si="0"/>
        <v>15.696898230541745</v>
      </c>
      <c r="J13" s="159">
        <f t="shared" si="1"/>
        <v>0</v>
      </c>
      <c r="K13" s="42">
        <f t="shared" si="2"/>
        <v>0</v>
      </c>
      <c r="L13" s="172"/>
    </row>
    <row r="14" spans="1:24" x14ac:dyDescent="0.25">
      <c r="A14" s="38">
        <f>Données!A14</f>
        <v>5409</v>
      </c>
      <c r="B14" s="128" t="str">
        <f>Données!B14</f>
        <v>Ollon</v>
      </c>
      <c r="C14" s="266">
        <f>VPI!R14</f>
        <v>421727.92700226256</v>
      </c>
      <c r="D14" s="148">
        <f>(PCS!I20-PCS!F20)/C14</f>
        <v>12.090188987240614</v>
      </c>
      <c r="E14" s="381">
        <f>'Péréquation directe'!E20/C14</f>
        <v>-9.2238361434237621</v>
      </c>
      <c r="F14" s="148">
        <f>'Péréquation directe'!F20/Effort!C14</f>
        <v>0</v>
      </c>
      <c r="G14" s="148">
        <f>'Péréquation directe'!G20/Effort!C14</f>
        <v>0</v>
      </c>
      <c r="H14" s="148">
        <f>'Péréquation directe'!J20/Effort!C14</f>
        <v>19.307090066389922</v>
      </c>
      <c r="I14" s="279">
        <f t="shared" si="0"/>
        <v>22.173442910206774</v>
      </c>
      <c r="J14" s="159">
        <f t="shared" si="1"/>
        <v>0</v>
      </c>
      <c r="K14" s="42">
        <f t="shared" si="2"/>
        <v>0</v>
      </c>
      <c r="L14" s="172"/>
    </row>
    <row r="15" spans="1:24" x14ac:dyDescent="0.25">
      <c r="A15" s="38">
        <f>Données!A15</f>
        <v>5410</v>
      </c>
      <c r="B15" s="128" t="str">
        <f>Données!B15</f>
        <v>Ormont-Dessous</v>
      </c>
      <c r="C15" s="266">
        <f>VPI!R15</f>
        <v>36756.557662337655</v>
      </c>
      <c r="D15" s="148">
        <f>(PCS!I21-PCS!F21)/C15</f>
        <v>11.468526634702148</v>
      </c>
      <c r="E15" s="381">
        <f>'Péréquation directe'!E21/C15</f>
        <v>-5.6766051572486242</v>
      </c>
      <c r="F15" s="148">
        <f>'Péréquation directe'!F21/Effort!C15</f>
        <v>-14.907136220452237</v>
      </c>
      <c r="G15" s="148">
        <f>'Péréquation directe'!G21/Effort!C15</f>
        <v>0</v>
      </c>
      <c r="H15" s="148">
        <f>'Péréquation directe'!J21/Effort!C15</f>
        <v>19.307090066389922</v>
      </c>
      <c r="I15" s="279">
        <f t="shared" si="0"/>
        <v>10.191875323391208</v>
      </c>
      <c r="J15" s="159">
        <f t="shared" si="1"/>
        <v>0</v>
      </c>
      <c r="K15" s="42">
        <f t="shared" si="2"/>
        <v>0</v>
      </c>
      <c r="L15" s="172"/>
    </row>
    <row r="16" spans="1:24" x14ac:dyDescent="0.25">
      <c r="A16" s="38">
        <f>Données!A16</f>
        <v>5411</v>
      </c>
      <c r="B16" s="128" t="str">
        <f>Données!B16</f>
        <v>Ormont-Dessus</v>
      </c>
      <c r="C16" s="266">
        <f>VPI!R16</f>
        <v>79198.134342105259</v>
      </c>
      <c r="D16" s="148">
        <f>(PCS!I22-PCS!F22)/C16</f>
        <v>13.12284651996422</v>
      </c>
      <c r="E16" s="381">
        <f>'Péréquation directe'!E22/C16</f>
        <v>-3.6361869852660162</v>
      </c>
      <c r="F16" s="148">
        <f>'Péréquation directe'!F22/Effort!C16</f>
        <v>0</v>
      </c>
      <c r="G16" s="148">
        <f>'Péréquation directe'!G22/Effort!C16</f>
        <v>0</v>
      </c>
      <c r="H16" s="148">
        <f>'Péréquation directe'!J22/Effort!C16</f>
        <v>19.307090066389922</v>
      </c>
      <c r="I16" s="279">
        <f t="shared" si="0"/>
        <v>28.793749601088123</v>
      </c>
      <c r="J16" s="159">
        <f t="shared" si="1"/>
        <v>0</v>
      </c>
      <c r="K16" s="42">
        <f t="shared" si="2"/>
        <v>0</v>
      </c>
      <c r="L16" s="172"/>
    </row>
    <row r="17" spans="1:12" x14ac:dyDescent="0.25">
      <c r="A17" s="38">
        <f>Données!A17</f>
        <v>5412</v>
      </c>
      <c r="B17" s="128" t="str">
        <f>Données!B17</f>
        <v>Rennaz</v>
      </c>
      <c r="C17" s="266">
        <f>VPI!R17</f>
        <v>29024.824057971011</v>
      </c>
      <c r="D17" s="148">
        <f>(PCS!I23-PCS!F23)/C17</f>
        <v>11.468526634702149</v>
      </c>
      <c r="E17" s="381">
        <f>'Péréquation directe'!E23/C17</f>
        <v>-4.1935933742801703</v>
      </c>
      <c r="F17" s="148">
        <f>'Péréquation directe'!F23/Effort!C17</f>
        <v>-11.054545209148973</v>
      </c>
      <c r="G17" s="148">
        <f>'Péréquation directe'!G23/Effort!C17</f>
        <v>0</v>
      </c>
      <c r="H17" s="148">
        <f>'Péréquation directe'!J23/Effort!C17</f>
        <v>19.307090066389922</v>
      </c>
      <c r="I17" s="279">
        <f t="shared" si="0"/>
        <v>15.527478117662927</v>
      </c>
      <c r="J17" s="159">
        <f t="shared" si="1"/>
        <v>0</v>
      </c>
      <c r="K17" s="42">
        <f t="shared" si="2"/>
        <v>0</v>
      </c>
      <c r="L17" s="172"/>
    </row>
    <row r="18" spans="1:12" x14ac:dyDescent="0.25">
      <c r="A18" s="38">
        <f>Données!A18</f>
        <v>5413</v>
      </c>
      <c r="B18" s="128" t="str">
        <f>Données!B18</f>
        <v>Roche</v>
      </c>
      <c r="C18" s="266">
        <f>VPI!R18</f>
        <v>41219.946789215683</v>
      </c>
      <c r="D18" s="148">
        <f>(PCS!I24-PCS!F24)/C18</f>
        <v>11.468526634702151</v>
      </c>
      <c r="E18" s="381">
        <f>'Péréquation directe'!E24/C18</f>
        <v>-11.717405836069316</v>
      </c>
      <c r="F18" s="148">
        <f>'Péréquation directe'!F24/Effort!C18</f>
        <v>-24.920761961348791</v>
      </c>
      <c r="G18" s="148">
        <f>'Péréquation directe'!G24/Effort!C18</f>
        <v>0</v>
      </c>
      <c r="H18" s="148">
        <f>'Péréquation directe'!J24/Effort!C18</f>
        <v>19.307090066389922</v>
      </c>
      <c r="I18" s="279">
        <f t="shared" si="0"/>
        <v>-5.8625510963260332</v>
      </c>
      <c r="J18" s="159">
        <f t="shared" si="1"/>
        <v>0</v>
      </c>
      <c r="K18" s="42">
        <f t="shared" si="2"/>
        <v>0</v>
      </c>
      <c r="L18" s="172"/>
    </row>
    <row r="19" spans="1:12" x14ac:dyDescent="0.25">
      <c r="A19" s="38">
        <f>Données!A19</f>
        <v>5414</v>
      </c>
      <c r="B19" s="128" t="str">
        <f>Données!B19</f>
        <v>Villeneuve</v>
      </c>
      <c r="C19" s="266">
        <f>VPI!R19</f>
        <v>190081.59585185186</v>
      </c>
      <c r="D19" s="148">
        <f>(PCS!I25-PCS!F25)/C19</f>
        <v>11.468526634702149</v>
      </c>
      <c r="E19" s="381">
        <f>'Péréquation directe'!E25/C19</f>
        <v>-13.575370921366055</v>
      </c>
      <c r="F19" s="148">
        <f>'Péréquation directe'!F25/Effort!C19</f>
        <v>-10.482500420299147</v>
      </c>
      <c r="G19" s="148">
        <f>'Péréquation directe'!G25/Effort!C19</f>
        <v>0</v>
      </c>
      <c r="H19" s="148">
        <f>'Péréquation directe'!J25/Effort!C19</f>
        <v>19.307090066389922</v>
      </c>
      <c r="I19" s="279">
        <f t="shared" si="0"/>
        <v>6.7177453594268695</v>
      </c>
      <c r="J19" s="159">
        <f t="shared" si="1"/>
        <v>0</v>
      </c>
      <c r="K19" s="42">
        <f t="shared" si="2"/>
        <v>0</v>
      </c>
      <c r="L19" s="172"/>
    </row>
    <row r="20" spans="1:12" x14ac:dyDescent="0.25">
      <c r="A20" s="38">
        <f>Données!A20</f>
        <v>5415</v>
      </c>
      <c r="B20" s="128" t="str">
        <f>Données!B20</f>
        <v>Yvorne</v>
      </c>
      <c r="C20" s="266">
        <f>VPI!R20</f>
        <v>36781.248065268061</v>
      </c>
      <c r="D20" s="148">
        <f>(PCS!I26-PCS!F26)/C20</f>
        <v>11.468526634702149</v>
      </c>
      <c r="E20" s="381">
        <f>'Péréquation directe'!E26/C20</f>
        <v>-4.6443598599359017</v>
      </c>
      <c r="F20" s="148">
        <f>'Péréquation directe'!F26/Effort!C20</f>
        <v>-10.003264037129105</v>
      </c>
      <c r="G20" s="148">
        <f>'Péréquation directe'!G26/Effort!C20</f>
        <v>0</v>
      </c>
      <c r="H20" s="148">
        <f>'Péréquation directe'!J26/Effort!C20</f>
        <v>19.307090066389922</v>
      </c>
      <c r="I20" s="279">
        <f t="shared" si="0"/>
        <v>16.127992804027066</v>
      </c>
      <c r="J20" s="159">
        <f t="shared" si="1"/>
        <v>0</v>
      </c>
      <c r="K20" s="42">
        <f t="shared" si="2"/>
        <v>0</v>
      </c>
      <c r="L20" s="172"/>
    </row>
    <row r="21" spans="1:12" x14ac:dyDescent="0.25">
      <c r="A21" s="38">
        <f>Données!A21</f>
        <v>5422</v>
      </c>
      <c r="B21" s="128" t="str">
        <f>Données!B21</f>
        <v>Aubonne</v>
      </c>
      <c r="C21" s="266">
        <f>VPI!R21</f>
        <v>418335.07808823534</v>
      </c>
      <c r="D21" s="148">
        <f>(PCS!I27-PCS!F27)/C21</f>
        <v>24.778933721941215</v>
      </c>
      <c r="E21" s="381">
        <f>'Péréquation directe'!E27/C21</f>
        <v>-3.1240456652508883</v>
      </c>
      <c r="F21" s="148">
        <f>'Péréquation directe'!F27/Effort!C21</f>
        <v>0</v>
      </c>
      <c r="G21" s="148">
        <f>'Péréquation directe'!G27/Effort!C21</f>
        <v>0</v>
      </c>
      <c r="H21" s="148">
        <f>'Péréquation directe'!J27/Effort!C21</f>
        <v>19.307090066389922</v>
      </c>
      <c r="I21" s="279">
        <f t="shared" si="0"/>
        <v>40.961978123080243</v>
      </c>
      <c r="J21" s="159">
        <f t="shared" si="1"/>
        <v>0</v>
      </c>
      <c r="K21" s="42">
        <f t="shared" si="2"/>
        <v>0</v>
      </c>
      <c r="L21" s="172"/>
    </row>
    <row r="22" spans="1:12" x14ac:dyDescent="0.25">
      <c r="A22" s="38">
        <f>Données!A22</f>
        <v>5423</v>
      </c>
      <c r="B22" s="128" t="str">
        <f>Données!B22</f>
        <v>Ballens</v>
      </c>
      <c r="C22" s="266">
        <f>VPI!R22</f>
        <v>17582.856164383564</v>
      </c>
      <c r="D22" s="148">
        <f>(PCS!I28-PCS!F28)/C22</f>
        <v>11.468526634702151</v>
      </c>
      <c r="E22" s="381">
        <f>'Péréquation directe'!E28/C22</f>
        <v>-4.2967590173252468</v>
      </c>
      <c r="F22" s="148">
        <f>'Péréquation directe'!F28/Effort!C22</f>
        <v>-13.201381212199994</v>
      </c>
      <c r="G22" s="148">
        <f>'Péréquation directe'!G28/Effort!C22</f>
        <v>0</v>
      </c>
      <c r="H22" s="148">
        <f>'Péréquation directe'!J28/Effort!C22</f>
        <v>19.307090066389922</v>
      </c>
      <c r="I22" s="279">
        <f t="shared" si="0"/>
        <v>13.277476471566832</v>
      </c>
      <c r="J22" s="159">
        <f t="shared" si="1"/>
        <v>0</v>
      </c>
      <c r="K22" s="42">
        <f t="shared" si="2"/>
        <v>0</v>
      </c>
      <c r="L22" s="172"/>
    </row>
    <row r="23" spans="1:12" x14ac:dyDescent="0.25">
      <c r="A23" s="38">
        <f>Données!A23</f>
        <v>5424</v>
      </c>
      <c r="B23" s="128" t="str">
        <f>Données!B23</f>
        <v>Berolle</v>
      </c>
      <c r="C23" s="266">
        <f>VPI!R23</f>
        <v>10091.658013245033</v>
      </c>
      <c r="D23" s="148">
        <f>(PCS!I29-PCS!F29)/C23</f>
        <v>11.468526634702148</v>
      </c>
      <c r="E23" s="381">
        <f>'Péréquation directe'!E29/C23</f>
        <v>-3.9511088647957693</v>
      </c>
      <c r="F23" s="148">
        <f>'Péréquation directe'!F29/Effort!C23</f>
        <v>-11.153643012904249</v>
      </c>
      <c r="G23" s="148">
        <f>'Péréquation directe'!G29/Effort!C23</f>
        <v>0</v>
      </c>
      <c r="H23" s="148">
        <f>'Péréquation directe'!J29/Effort!C23</f>
        <v>19.307090066389922</v>
      </c>
      <c r="I23" s="279">
        <f t="shared" si="0"/>
        <v>15.670864823392051</v>
      </c>
      <c r="J23" s="159">
        <f t="shared" si="1"/>
        <v>0</v>
      </c>
      <c r="K23" s="42">
        <f t="shared" si="2"/>
        <v>0</v>
      </c>
      <c r="L23" s="172"/>
    </row>
    <row r="24" spans="1:12" x14ac:dyDescent="0.25">
      <c r="A24" s="38">
        <f>Données!A24</f>
        <v>5425</v>
      </c>
      <c r="B24" s="128" t="str">
        <f>Données!B24</f>
        <v>Bière</v>
      </c>
      <c r="C24" s="266">
        <f>VPI!R24</f>
        <v>44820.475767116455</v>
      </c>
      <c r="D24" s="148">
        <f>(PCS!I30-PCS!F30)/C24</f>
        <v>11.468526634702149</v>
      </c>
      <c r="E24" s="381">
        <f>'Péréquation directe'!E30/C24</f>
        <v>-8.8013957845644804</v>
      </c>
      <c r="F24" s="148">
        <f>'Péréquation directe'!F30/Effort!C24</f>
        <v>-17.013272109735176</v>
      </c>
      <c r="G24" s="148">
        <f>'Péréquation directe'!G30/Effort!C24</f>
        <v>0</v>
      </c>
      <c r="H24" s="148">
        <f>'Péréquation directe'!J30/Effort!C24</f>
        <v>19.307090066389922</v>
      </c>
      <c r="I24" s="279">
        <f t="shared" si="0"/>
        <v>4.9609488067924143</v>
      </c>
      <c r="J24" s="159">
        <f t="shared" si="1"/>
        <v>0</v>
      </c>
      <c r="K24" s="42">
        <f t="shared" si="2"/>
        <v>0</v>
      </c>
      <c r="L24" s="172"/>
    </row>
    <row r="25" spans="1:12" x14ac:dyDescent="0.25">
      <c r="A25" s="38">
        <f>Données!A25</f>
        <v>5426</v>
      </c>
      <c r="B25" s="128" t="str">
        <f>Données!B25</f>
        <v>Bougy-Villars</v>
      </c>
      <c r="C25" s="266">
        <f>VPI!R25</f>
        <v>70059.66664082685</v>
      </c>
      <c r="D25" s="148">
        <f>(PCS!I31-PCS!F31)/C25</f>
        <v>28.098397597792342</v>
      </c>
      <c r="E25" s="381">
        <f>'Péréquation directe'!E31/C25</f>
        <v>-0.95853909670661552</v>
      </c>
      <c r="F25" s="148">
        <f>'Péréquation directe'!F31/Effort!C25</f>
        <v>0</v>
      </c>
      <c r="G25" s="148">
        <f>'Péréquation directe'!G31/Effort!C25</f>
        <v>0</v>
      </c>
      <c r="H25" s="148">
        <f>'Péréquation directe'!J31/Effort!C25</f>
        <v>19.307090066389922</v>
      </c>
      <c r="I25" s="279">
        <f t="shared" si="0"/>
        <v>46.446948567475644</v>
      </c>
      <c r="J25" s="159">
        <f t="shared" si="1"/>
        <v>0</v>
      </c>
      <c r="K25" s="42">
        <f t="shared" si="2"/>
        <v>0</v>
      </c>
      <c r="L25" s="172"/>
    </row>
    <row r="26" spans="1:12" x14ac:dyDescent="0.25">
      <c r="A26" s="38">
        <f>Données!A26</f>
        <v>5427</v>
      </c>
      <c r="B26" s="128" t="str">
        <f>Données!B26</f>
        <v>Féchy</v>
      </c>
      <c r="C26" s="266">
        <f>VPI!R26</f>
        <v>87019.406153846168</v>
      </c>
      <c r="D26" s="148">
        <f>(PCS!I32-PCS!F32)/C26</f>
        <v>21.749966992828224</v>
      </c>
      <c r="E26" s="381">
        <f>'Péréquation directe'!E32/C26</f>
        <v>-1.3505163038321775</v>
      </c>
      <c r="F26" s="148">
        <f>'Péréquation directe'!F32/Effort!C26</f>
        <v>0</v>
      </c>
      <c r="G26" s="148">
        <f>'Péréquation directe'!G32/Effort!C26</f>
        <v>0</v>
      </c>
      <c r="H26" s="148">
        <f>'Péréquation directe'!J32/Effort!C26</f>
        <v>19.307090066389922</v>
      </c>
      <c r="I26" s="279">
        <f t="shared" si="0"/>
        <v>39.706540755385973</v>
      </c>
      <c r="J26" s="159">
        <f t="shared" si="1"/>
        <v>0</v>
      </c>
      <c r="K26" s="42">
        <f t="shared" si="2"/>
        <v>0</v>
      </c>
      <c r="L26" s="172"/>
    </row>
    <row r="27" spans="1:12" x14ac:dyDescent="0.25">
      <c r="A27" s="38">
        <f>Données!A27</f>
        <v>5428</v>
      </c>
      <c r="B27" s="128" t="str">
        <f>Données!B27</f>
        <v>Gimel</v>
      </c>
      <c r="C27" s="266">
        <f>VPI!R27</f>
        <v>72073.620570776256</v>
      </c>
      <c r="D27" s="148">
        <f>(PCS!I33-PCS!F33)/C27</f>
        <v>11.468526634702149</v>
      </c>
      <c r="E27" s="381">
        <f>'Péréquation directe'!E33/C27</f>
        <v>-9.2847892888154195</v>
      </c>
      <c r="F27" s="148">
        <f>'Péréquation directe'!F33/Effort!C27</f>
        <v>-14.719323330323359</v>
      </c>
      <c r="G27" s="148">
        <f>'Péréquation directe'!G33/Effort!C27</f>
        <v>0</v>
      </c>
      <c r="H27" s="148">
        <f>'Péréquation directe'!J33/Effort!C27</f>
        <v>19.307090066389922</v>
      </c>
      <c r="I27" s="279">
        <f t="shared" si="0"/>
        <v>6.7715040819532923</v>
      </c>
      <c r="J27" s="159">
        <f t="shared" si="1"/>
        <v>0</v>
      </c>
      <c r="K27" s="42">
        <f t="shared" si="2"/>
        <v>0</v>
      </c>
      <c r="L27" s="172"/>
    </row>
    <row r="28" spans="1:12" x14ac:dyDescent="0.25">
      <c r="A28" s="38">
        <f>Données!A28</f>
        <v>5429</v>
      </c>
      <c r="B28" s="128" t="str">
        <f>Données!B28</f>
        <v>Longirod</v>
      </c>
      <c r="C28" s="266">
        <f>VPI!R28</f>
        <v>19283.044387096772</v>
      </c>
      <c r="D28" s="148">
        <f>(PCS!I34-PCS!F34)/C28</f>
        <v>11.468526634702151</v>
      </c>
      <c r="E28" s="381">
        <f>'Péréquation directe'!E34/C28</f>
        <v>-3.7750726962443646</v>
      </c>
      <c r="F28" s="148">
        <f>'Péréquation directe'!F34/Effort!C28</f>
        <v>-10.159982880403765</v>
      </c>
      <c r="G28" s="148">
        <f>'Péréquation directe'!G34/Effort!C28</f>
        <v>0</v>
      </c>
      <c r="H28" s="148">
        <f>'Péréquation directe'!J34/Effort!C28</f>
        <v>19.307090066389922</v>
      </c>
      <c r="I28" s="279">
        <f t="shared" si="0"/>
        <v>16.840561124443944</v>
      </c>
      <c r="J28" s="159">
        <f t="shared" si="1"/>
        <v>0</v>
      </c>
      <c r="K28" s="42">
        <f t="shared" si="2"/>
        <v>0</v>
      </c>
      <c r="L28" s="172"/>
    </row>
    <row r="29" spans="1:12" x14ac:dyDescent="0.25">
      <c r="A29" s="38">
        <f>Données!A29</f>
        <v>5430</v>
      </c>
      <c r="B29" s="128" t="str">
        <f>Données!B29</f>
        <v>Marchissy</v>
      </c>
      <c r="C29" s="266">
        <f>VPI!R29</f>
        <v>16181.195483870966</v>
      </c>
      <c r="D29" s="148">
        <f>(PCS!I35-PCS!F35)/C29</f>
        <v>11.468526634702149</v>
      </c>
      <c r="E29" s="381">
        <f>'Péréquation directe'!E35/C29</f>
        <v>-4.1177601343829222</v>
      </c>
      <c r="F29" s="148">
        <f>'Péréquation directe'!F35/Effort!C29</f>
        <v>-13.259904655338095</v>
      </c>
      <c r="G29" s="148">
        <f>'Péréquation directe'!G35/Effort!C29</f>
        <v>0</v>
      </c>
      <c r="H29" s="148">
        <f>'Péréquation directe'!J35/Effort!C29</f>
        <v>19.307090066389922</v>
      </c>
      <c r="I29" s="279">
        <f t="shared" si="0"/>
        <v>13.397951911371052</v>
      </c>
      <c r="J29" s="159">
        <f t="shared" si="1"/>
        <v>0</v>
      </c>
      <c r="K29" s="42">
        <f t="shared" si="2"/>
        <v>0</v>
      </c>
      <c r="L29" s="172"/>
    </row>
    <row r="30" spans="1:12" x14ac:dyDescent="0.25">
      <c r="A30" s="38">
        <f>Données!A30</f>
        <v>5431</v>
      </c>
      <c r="B30" s="128" t="str">
        <f>Données!B30</f>
        <v>Mollens</v>
      </c>
      <c r="C30" s="266">
        <f>VPI!R30</f>
        <v>9356.399324324324</v>
      </c>
      <c r="D30" s="148">
        <f>(PCS!I36-PCS!F36)/C30</f>
        <v>11.468526634702149</v>
      </c>
      <c r="E30" s="381">
        <f>'Péréquation directe'!E36/C30</f>
        <v>-4.5139324932166058</v>
      </c>
      <c r="F30" s="148">
        <f>'Péréquation directe'!F36/Effort!C30</f>
        <v>-15.356638234347583</v>
      </c>
      <c r="G30" s="148">
        <f>'Péréquation directe'!G36/Effort!C30</f>
        <v>0</v>
      </c>
      <c r="H30" s="148">
        <f>'Péréquation directe'!J36/Effort!C30</f>
        <v>19.307090066389922</v>
      </c>
      <c r="I30" s="279">
        <f t="shared" si="0"/>
        <v>10.905045973527882</v>
      </c>
      <c r="J30" s="159">
        <f t="shared" si="1"/>
        <v>0</v>
      </c>
      <c r="K30" s="42">
        <f t="shared" si="2"/>
        <v>0</v>
      </c>
      <c r="L30" s="172"/>
    </row>
    <row r="31" spans="1:12" x14ac:dyDescent="0.25">
      <c r="A31" s="38">
        <f>Données!A31</f>
        <v>5434</v>
      </c>
      <c r="B31" s="128" t="str">
        <f>Données!B31</f>
        <v>Saint-George</v>
      </c>
      <c r="C31" s="266">
        <f>VPI!R31</f>
        <v>46184.394316546764</v>
      </c>
      <c r="D31" s="148">
        <f>(PCS!I37-PCS!F37)/C31</f>
        <v>11.468526634702148</v>
      </c>
      <c r="E31" s="381">
        <f>'Péréquation directe'!E37/C31</f>
        <v>-3.3250287005431138</v>
      </c>
      <c r="F31" s="148">
        <f>'Péréquation directe'!F37/Effort!C31</f>
        <v>-2.6282618584867508</v>
      </c>
      <c r="G31" s="148">
        <f>'Péréquation directe'!G37/Effort!C31</f>
        <v>0</v>
      </c>
      <c r="H31" s="148">
        <f>'Péréquation directe'!J37/Effort!C31</f>
        <v>19.307090066389922</v>
      </c>
      <c r="I31" s="279">
        <f t="shared" si="0"/>
        <v>24.822326142062202</v>
      </c>
      <c r="J31" s="159">
        <f t="shared" si="1"/>
        <v>0</v>
      </c>
      <c r="K31" s="42">
        <f t="shared" si="2"/>
        <v>0</v>
      </c>
      <c r="L31" s="172"/>
    </row>
    <row r="32" spans="1:12" x14ac:dyDescent="0.25">
      <c r="A32" s="38">
        <f>Données!A32</f>
        <v>5435</v>
      </c>
      <c r="B32" s="128" t="str">
        <f>Données!B32</f>
        <v>Saint-Livres</v>
      </c>
      <c r="C32" s="266">
        <f>VPI!R32</f>
        <v>26399.909565217389</v>
      </c>
      <c r="D32" s="148">
        <f>(PCS!I38-PCS!F38)/C32</f>
        <v>11.468526634702149</v>
      </c>
      <c r="E32" s="381">
        <f>'Péréquation directe'!E38/C32</f>
        <v>-3.4628866489241847</v>
      </c>
      <c r="F32" s="148">
        <f>'Péréquation directe'!F38/Effort!C32</f>
        <v>-5.8150381362205765</v>
      </c>
      <c r="G32" s="148">
        <f>'Péréquation directe'!G38/Effort!C32</f>
        <v>0</v>
      </c>
      <c r="H32" s="148">
        <f>'Péréquation directe'!J38/Effort!C32</f>
        <v>19.307090066389922</v>
      </c>
      <c r="I32" s="279">
        <f t="shared" si="0"/>
        <v>21.497691915947311</v>
      </c>
      <c r="J32" s="159">
        <f t="shared" si="1"/>
        <v>0</v>
      </c>
      <c r="K32" s="42">
        <f t="shared" si="2"/>
        <v>0</v>
      </c>
      <c r="L32" s="172"/>
    </row>
    <row r="33" spans="1:12" x14ac:dyDescent="0.25">
      <c r="A33" s="38">
        <f>Données!A33</f>
        <v>5436</v>
      </c>
      <c r="B33" s="128" t="str">
        <f>Données!B33</f>
        <v>Saint-Oyens</v>
      </c>
      <c r="C33" s="266">
        <f>VPI!R33</f>
        <v>15917.295474683544</v>
      </c>
      <c r="D33" s="148">
        <f>(PCS!I39-PCS!F39)/C33</f>
        <v>11.468526634702149</v>
      </c>
      <c r="E33" s="381">
        <f>'Péréquation directe'!E39/C33</f>
        <v>-3.7080977366927406</v>
      </c>
      <c r="F33" s="148">
        <f>'Péréquation directe'!F39/Effort!C33</f>
        <v>-9.9275495021498479</v>
      </c>
      <c r="G33" s="148">
        <f>'Péréquation directe'!G39/Effort!C33</f>
        <v>0</v>
      </c>
      <c r="H33" s="148">
        <f>'Péréquation directe'!J39/Effort!C33</f>
        <v>19.307090066389922</v>
      </c>
      <c r="I33" s="279">
        <f t="shared" si="0"/>
        <v>17.139969462249482</v>
      </c>
      <c r="J33" s="159">
        <f t="shared" si="1"/>
        <v>0</v>
      </c>
      <c r="K33" s="42">
        <f t="shared" si="2"/>
        <v>0</v>
      </c>
      <c r="L33" s="172"/>
    </row>
    <row r="34" spans="1:12" x14ac:dyDescent="0.25">
      <c r="A34" s="38">
        <f>Données!A34</f>
        <v>5437</v>
      </c>
      <c r="B34" s="128" t="str">
        <f>Données!B34</f>
        <v>Saubraz</v>
      </c>
      <c r="C34" s="266">
        <f>VPI!R34</f>
        <v>16749.450625000005</v>
      </c>
      <c r="D34" s="148">
        <f>(PCS!I40-PCS!F40)/C34</f>
        <v>11.468526634702151</v>
      </c>
      <c r="E34" s="381">
        <f>'Péréquation directe'!E40/C34</f>
        <v>-3.516039222457342</v>
      </c>
      <c r="F34" s="148">
        <f>'Péréquation directe'!F40/Effort!C34</f>
        <v>-8.3292307461409312</v>
      </c>
      <c r="G34" s="148">
        <f>'Péréquation directe'!G40/Effort!C34</f>
        <v>0</v>
      </c>
      <c r="H34" s="148">
        <f>'Péréquation directe'!J40/Effort!C34</f>
        <v>19.307090066389922</v>
      </c>
      <c r="I34" s="279">
        <f t="shared" si="0"/>
        <v>18.930346732493799</v>
      </c>
      <c r="J34" s="159">
        <f t="shared" si="1"/>
        <v>0</v>
      </c>
      <c r="K34" s="42">
        <f t="shared" si="2"/>
        <v>0</v>
      </c>
      <c r="L34" s="172"/>
    </row>
    <row r="35" spans="1:12" x14ac:dyDescent="0.25">
      <c r="A35" s="38">
        <f>Données!A35</f>
        <v>5451</v>
      </c>
      <c r="B35" s="128" t="str">
        <f>Données!B35</f>
        <v>Avenches</v>
      </c>
      <c r="C35" s="266">
        <f>VPI!R35</f>
        <v>143864.88553846153</v>
      </c>
      <c r="D35" s="148">
        <f>(PCS!I41-PCS!F41)/C35</f>
        <v>11.468526634702151</v>
      </c>
      <c r="E35" s="381">
        <f>'Péréquation directe'!E41/C35</f>
        <v>-12.847711240475777</v>
      </c>
      <c r="F35" s="148">
        <f>'Péréquation directe'!F41/Effort!C35</f>
        <v>-11.395291841739583</v>
      </c>
      <c r="G35" s="148">
        <f>'Péréquation directe'!G41/Effort!C35</f>
        <v>0</v>
      </c>
      <c r="H35" s="148">
        <f>'Péréquation directe'!J41/Effort!C35</f>
        <v>19.307090066389922</v>
      </c>
      <c r="I35" s="279">
        <f t="shared" si="0"/>
        <v>6.532613618876713</v>
      </c>
      <c r="J35" s="159">
        <f t="shared" si="1"/>
        <v>0</v>
      </c>
      <c r="K35" s="42">
        <f t="shared" si="2"/>
        <v>0</v>
      </c>
      <c r="L35" s="172"/>
    </row>
    <row r="36" spans="1:12" x14ac:dyDescent="0.25">
      <c r="A36" s="38">
        <f>Données!A36</f>
        <v>5456</v>
      </c>
      <c r="B36" s="128" t="str">
        <f>Données!B36</f>
        <v>Cudrefin</v>
      </c>
      <c r="C36" s="266">
        <f>VPI!R36</f>
        <v>70775.484519773992</v>
      </c>
      <c r="D36" s="148">
        <f>(PCS!I42-PCS!F42)/C36</f>
        <v>11.468526634702149</v>
      </c>
      <c r="E36" s="381">
        <f>'Péréquation directe'!E42/C36</f>
        <v>-6.4091481175737801</v>
      </c>
      <c r="F36" s="148">
        <f>'Péréquation directe'!F42/Effort!C36</f>
        <v>-4.3431191615945766</v>
      </c>
      <c r="G36" s="148">
        <f>'Péréquation directe'!G42/Effort!C36</f>
        <v>0</v>
      </c>
      <c r="H36" s="148">
        <f>'Péréquation directe'!J42/Effort!C36</f>
        <v>19.307090066389922</v>
      </c>
      <c r="I36" s="279">
        <f t="shared" si="0"/>
        <v>20.023349421923715</v>
      </c>
      <c r="J36" s="159">
        <f t="shared" si="1"/>
        <v>0</v>
      </c>
      <c r="K36" s="42">
        <f t="shared" si="2"/>
        <v>0</v>
      </c>
      <c r="L36" s="172"/>
    </row>
    <row r="37" spans="1:12" x14ac:dyDescent="0.25">
      <c r="A37" s="38">
        <f>Données!A37</f>
        <v>5458</v>
      </c>
      <c r="B37" s="128" t="str">
        <f>Données!B37</f>
        <v>Faoug</v>
      </c>
      <c r="C37" s="266">
        <f>VPI!R37</f>
        <v>30258.802820512818</v>
      </c>
      <c r="D37" s="148">
        <f>(PCS!I43-PCS!F43)/C37</f>
        <v>11.468526634702149</v>
      </c>
      <c r="E37" s="381">
        <f>'Péréquation directe'!E43/C37</f>
        <v>-3.9272124275291893</v>
      </c>
      <c r="F37" s="148">
        <f>'Péréquation directe'!F43/Effort!C37</f>
        <v>-8.1149727875693234</v>
      </c>
      <c r="G37" s="148">
        <f>'Péréquation directe'!G43/Effort!C37</f>
        <v>0</v>
      </c>
      <c r="H37" s="148">
        <f>'Péréquation directe'!J43/Effort!C37</f>
        <v>19.307090066389922</v>
      </c>
      <c r="I37" s="279">
        <f t="shared" si="0"/>
        <v>18.733431485993556</v>
      </c>
      <c r="J37" s="159">
        <f t="shared" si="1"/>
        <v>0</v>
      </c>
      <c r="K37" s="42">
        <f t="shared" si="2"/>
        <v>0</v>
      </c>
      <c r="L37" s="172"/>
    </row>
    <row r="38" spans="1:12" x14ac:dyDescent="0.25">
      <c r="A38" s="38">
        <f>Données!A38</f>
        <v>5464</v>
      </c>
      <c r="B38" s="128" t="str">
        <f>Données!B38</f>
        <v>Vully-les-Lacs</v>
      </c>
      <c r="C38" s="266">
        <f>VPI!R38</f>
        <v>128619.64756218906</v>
      </c>
      <c r="D38" s="148">
        <f>(PCS!I44-PCS!F44)/C38</f>
        <v>11.468526634702149</v>
      </c>
      <c r="E38" s="381">
        <f>'Péréquation directe'!E44/C38</f>
        <v>-9.2350028896408851</v>
      </c>
      <c r="F38" s="148">
        <f>'Péréquation directe'!F44/Effort!C38</f>
        <v>-6.9874280292004363</v>
      </c>
      <c r="G38" s="148">
        <f>'Péréquation directe'!G44/Effort!C38</f>
        <v>0</v>
      </c>
      <c r="H38" s="148">
        <f>'Péréquation directe'!J44/Effort!C38</f>
        <v>19.307090066389922</v>
      </c>
      <c r="I38" s="279">
        <f t="shared" si="0"/>
        <v>14.55318578225075</v>
      </c>
      <c r="J38" s="159">
        <f t="shared" si="1"/>
        <v>0</v>
      </c>
      <c r="K38" s="42">
        <f t="shared" si="2"/>
        <v>0</v>
      </c>
      <c r="L38" s="172"/>
    </row>
    <row r="39" spans="1:12" x14ac:dyDescent="0.25">
      <c r="A39" s="38">
        <f>Données!A39</f>
        <v>5471</v>
      </c>
      <c r="B39" s="128" t="str">
        <f>Données!B39</f>
        <v>Bettens</v>
      </c>
      <c r="C39" s="266">
        <f>VPI!R39</f>
        <v>23731.223904761908</v>
      </c>
      <c r="D39" s="148">
        <f>(PCS!I45-PCS!F45)/C39</f>
        <v>11.468526634702151</v>
      </c>
      <c r="E39" s="381">
        <f>'Péréquation directe'!E45/C39</f>
        <v>-3.559374358361918</v>
      </c>
      <c r="F39" s="148">
        <f>'Péréquation directe'!F45/Effort!C39</f>
        <v>-6.6968723919257673</v>
      </c>
      <c r="G39" s="148">
        <f>'Péréquation directe'!G45/Effort!C39</f>
        <v>0</v>
      </c>
      <c r="H39" s="148">
        <f>'Péréquation directe'!J45/Effort!C39</f>
        <v>19.307090066389922</v>
      </c>
      <c r="I39" s="279">
        <f t="shared" si="0"/>
        <v>20.519369950804389</v>
      </c>
      <c r="J39" s="159">
        <f t="shared" si="1"/>
        <v>0</v>
      </c>
      <c r="K39" s="42">
        <f t="shared" si="2"/>
        <v>0</v>
      </c>
      <c r="L39" s="172"/>
    </row>
    <row r="40" spans="1:12" x14ac:dyDescent="0.25">
      <c r="A40" s="38">
        <f>Données!A40</f>
        <v>5472</v>
      </c>
      <c r="B40" s="128" t="str">
        <f>Données!B40</f>
        <v>Bournens</v>
      </c>
      <c r="C40" s="266">
        <f>VPI!R40</f>
        <v>20138.90088235294</v>
      </c>
      <c r="D40" s="148">
        <f>(PCS!I46-PCS!F46)/C40</f>
        <v>11.468526634702149</v>
      </c>
      <c r="E40" s="381">
        <f>'Péréquation directe'!E46/C40</f>
        <v>-3.3801776858602981</v>
      </c>
      <c r="F40" s="148">
        <f>'Péréquation directe'!F46/Effort!C40</f>
        <v>-5.0717115916349798</v>
      </c>
      <c r="G40" s="148">
        <f>'Péréquation directe'!G46/Effort!C40</f>
        <v>0</v>
      </c>
      <c r="H40" s="148">
        <f>'Péréquation directe'!J46/Effort!C40</f>
        <v>19.307090066389922</v>
      </c>
      <c r="I40" s="279">
        <f t="shared" si="0"/>
        <v>22.323727423596793</v>
      </c>
      <c r="J40" s="159">
        <f t="shared" si="1"/>
        <v>0</v>
      </c>
      <c r="K40" s="42">
        <f t="shared" si="2"/>
        <v>0</v>
      </c>
      <c r="L40" s="172"/>
    </row>
    <row r="41" spans="1:12" x14ac:dyDescent="0.25">
      <c r="A41" s="38">
        <f>Données!A41</f>
        <v>5473</v>
      </c>
      <c r="B41" s="128" t="str">
        <f>Données!B41</f>
        <v>Boussens</v>
      </c>
      <c r="C41" s="266">
        <f>VPI!R41</f>
        <v>38661.720757575771</v>
      </c>
      <c r="D41" s="148">
        <f>(PCS!I47-PCS!F47)/C41</f>
        <v>11.468526634702149</v>
      </c>
      <c r="E41" s="381">
        <f>'Péréquation directe'!E47/C41</f>
        <v>-3.6110343792585851</v>
      </c>
      <c r="F41" s="148">
        <f>'Péréquation directe'!F47/Effort!C41</f>
        <v>-5.370864764173148</v>
      </c>
      <c r="G41" s="148">
        <f>'Péréquation directe'!G47/Effort!C41</f>
        <v>0</v>
      </c>
      <c r="H41" s="148">
        <f>'Péréquation directe'!J47/Effort!C41</f>
        <v>19.307090066389922</v>
      </c>
      <c r="I41" s="279">
        <f t="shared" si="0"/>
        <v>21.793717557660337</v>
      </c>
      <c r="J41" s="159">
        <f t="shared" si="1"/>
        <v>0</v>
      </c>
      <c r="K41" s="42">
        <f t="shared" si="2"/>
        <v>0</v>
      </c>
      <c r="L41" s="172"/>
    </row>
    <row r="42" spans="1:12" x14ac:dyDescent="0.25">
      <c r="A42" s="38">
        <f>Données!A42</f>
        <v>5474</v>
      </c>
      <c r="B42" s="128" t="str">
        <f>Données!B42</f>
        <v>La Chaux (Cossonay)</v>
      </c>
      <c r="C42" s="266">
        <f>VPI!R42</f>
        <v>14789.202587719299</v>
      </c>
      <c r="D42" s="148">
        <f>(PCS!I48-PCS!F48)/C42</f>
        <v>11.468526634702149</v>
      </c>
      <c r="E42" s="381">
        <f>'Péréquation directe'!E48/C42</f>
        <v>-3.8401755244043336</v>
      </c>
      <c r="F42" s="148">
        <f>'Péréquation directe'!F48/Effort!C42</f>
        <v>-10.336837878090062</v>
      </c>
      <c r="G42" s="148">
        <f>'Péréquation directe'!G48/Effort!C42</f>
        <v>0</v>
      </c>
      <c r="H42" s="148">
        <f>'Péréquation directe'!J48/Effort!C42</f>
        <v>19.307090066389922</v>
      </c>
      <c r="I42" s="279">
        <f t="shared" si="0"/>
        <v>16.598603298597673</v>
      </c>
      <c r="J42" s="159">
        <f t="shared" si="1"/>
        <v>0</v>
      </c>
      <c r="K42" s="42">
        <f t="shared" si="2"/>
        <v>0</v>
      </c>
      <c r="L42" s="172"/>
    </row>
    <row r="43" spans="1:12" x14ac:dyDescent="0.25">
      <c r="A43" s="38">
        <f>Données!A43</f>
        <v>5475</v>
      </c>
      <c r="B43" s="128" t="str">
        <f>Données!B43</f>
        <v>Chavannes-le-Veyron</v>
      </c>
      <c r="C43" s="266">
        <f>VPI!R43</f>
        <v>4582.5893333333333</v>
      </c>
      <c r="D43" s="148">
        <f>(PCS!I49-PCS!F49)/C43</f>
        <v>11.468526634702148</v>
      </c>
      <c r="E43" s="381">
        <f>'Péréquation directe'!E49/C43</f>
        <v>-4.5222449671748404</v>
      </c>
      <c r="F43" s="148">
        <f>'Péréquation directe'!F49/Effort!C43</f>
        <v>-15.844907828747779</v>
      </c>
      <c r="G43" s="148">
        <f>'Péréquation directe'!G49/Effort!C43</f>
        <v>0</v>
      </c>
      <c r="H43" s="148">
        <f>'Péréquation directe'!J49/Effort!C43</f>
        <v>19.307090066389922</v>
      </c>
      <c r="I43" s="279">
        <f t="shared" si="0"/>
        <v>10.40846390516945</v>
      </c>
      <c r="J43" s="159">
        <f t="shared" si="1"/>
        <v>0</v>
      </c>
      <c r="K43" s="42">
        <f t="shared" si="2"/>
        <v>0</v>
      </c>
      <c r="L43" s="172"/>
    </row>
    <row r="44" spans="1:12" x14ac:dyDescent="0.25">
      <c r="A44" s="38">
        <f>Données!A44</f>
        <v>5476</v>
      </c>
      <c r="B44" s="128" t="str">
        <f>Données!B44</f>
        <v>Chevilly</v>
      </c>
      <c r="C44" s="266">
        <f>VPI!R44</f>
        <v>13414.448028169016</v>
      </c>
      <c r="D44" s="148">
        <f>(PCS!I50-PCS!F50)/C44</f>
        <v>11.468526634702148</v>
      </c>
      <c r="E44" s="381">
        <f>'Péréquation directe'!E50/C44</f>
        <v>-3.2950729254176752</v>
      </c>
      <c r="F44" s="148">
        <f>'Péréquation directe'!F50/Effort!C44</f>
        <v>-4.8829572789989832</v>
      </c>
      <c r="G44" s="148">
        <f>'Péréquation directe'!G50/Effort!C44</f>
        <v>0</v>
      </c>
      <c r="H44" s="148">
        <f>'Péréquation directe'!J50/Effort!C44</f>
        <v>19.307090066389922</v>
      </c>
      <c r="I44" s="279">
        <f t="shared" si="0"/>
        <v>22.597586496675412</v>
      </c>
      <c r="J44" s="159">
        <f t="shared" si="1"/>
        <v>0</v>
      </c>
      <c r="K44" s="42">
        <f t="shared" si="2"/>
        <v>0</v>
      </c>
      <c r="L44" s="172"/>
    </row>
    <row r="45" spans="1:12" x14ac:dyDescent="0.25">
      <c r="A45" s="38">
        <f>Données!A45</f>
        <v>5477</v>
      </c>
      <c r="B45" s="128" t="str">
        <f>Données!B45</f>
        <v>Cossonay</v>
      </c>
      <c r="C45" s="266">
        <f>VPI!R45</f>
        <v>157014.45764705885</v>
      </c>
      <c r="D45" s="148">
        <f>(PCS!I51-PCS!F51)/C45</f>
        <v>11.468526634702151</v>
      </c>
      <c r="E45" s="381">
        <f>'Péréquation directe'!E51/C45</f>
        <v>-11.434265973507726</v>
      </c>
      <c r="F45" s="148">
        <f>'Péréquation directe'!F51/Effort!C45</f>
        <v>-9.2927471962289481</v>
      </c>
      <c r="G45" s="148">
        <f>'Péréquation directe'!G51/Effort!C45</f>
        <v>0</v>
      </c>
      <c r="H45" s="148">
        <f>'Péréquation directe'!J51/Effort!C45</f>
        <v>19.307090066389922</v>
      </c>
      <c r="I45" s="279">
        <f t="shared" si="0"/>
        <v>10.048603531355399</v>
      </c>
      <c r="J45" s="159">
        <f t="shared" si="1"/>
        <v>0</v>
      </c>
      <c r="K45" s="42">
        <f t="shared" si="2"/>
        <v>0</v>
      </c>
      <c r="L45" s="172"/>
    </row>
    <row r="46" spans="1:12" x14ac:dyDescent="0.25">
      <c r="A46" s="38">
        <f>Données!A46</f>
        <v>5479</v>
      </c>
      <c r="B46" s="128" t="str">
        <f>Données!B46</f>
        <v>Cuarnens</v>
      </c>
      <c r="C46" s="266">
        <f>VPI!R46</f>
        <v>18824.412763157892</v>
      </c>
      <c r="D46" s="148">
        <f>(PCS!I52-PCS!F52)/C46</f>
        <v>11.468526634702149</v>
      </c>
      <c r="E46" s="381">
        <f>'Péréquation directe'!E52/C46</f>
        <v>-3.7695001513906288</v>
      </c>
      <c r="F46" s="148">
        <f>'Péréquation directe'!F52/Effort!C46</f>
        <v>-9.7220229006137373</v>
      </c>
      <c r="G46" s="148">
        <f>'Péréquation directe'!G52/Effort!C46</f>
        <v>0</v>
      </c>
      <c r="H46" s="148">
        <f>'Péréquation directe'!J52/Effort!C46</f>
        <v>19.307090066389922</v>
      </c>
      <c r="I46" s="279">
        <f t="shared" si="0"/>
        <v>17.284093649087705</v>
      </c>
      <c r="J46" s="159">
        <f t="shared" si="1"/>
        <v>0</v>
      </c>
      <c r="K46" s="42">
        <f t="shared" si="2"/>
        <v>0</v>
      </c>
      <c r="L46" s="172"/>
    </row>
    <row r="47" spans="1:12" x14ac:dyDescent="0.25">
      <c r="A47" s="38">
        <f>Données!A47</f>
        <v>5480</v>
      </c>
      <c r="B47" s="128" t="str">
        <f>Données!B47</f>
        <v>Daillens</v>
      </c>
      <c r="C47" s="266">
        <f>VPI!R47</f>
        <v>49216.067727272741</v>
      </c>
      <c r="D47" s="148">
        <f>(PCS!I53-PCS!F53)/C47</f>
        <v>11.468526634702149</v>
      </c>
      <c r="E47" s="381">
        <f>'Péréquation directe'!E53/C47</f>
        <v>-3.1276714546527025</v>
      </c>
      <c r="F47" s="148">
        <f>'Péréquation directe'!F53/Effort!C47</f>
        <v>-1.1699934722066694</v>
      </c>
      <c r="G47" s="148">
        <f>'Péréquation directe'!G53/Effort!C47</f>
        <v>0</v>
      </c>
      <c r="H47" s="148">
        <f>'Péréquation directe'!J53/Effort!C47</f>
        <v>19.307090066389922</v>
      </c>
      <c r="I47" s="279">
        <f t="shared" si="0"/>
        <v>26.4779517742327</v>
      </c>
      <c r="J47" s="159">
        <f t="shared" si="1"/>
        <v>0</v>
      </c>
      <c r="K47" s="42">
        <f t="shared" si="2"/>
        <v>0</v>
      </c>
      <c r="L47" s="172"/>
    </row>
    <row r="48" spans="1:12" x14ac:dyDescent="0.25">
      <c r="A48" s="38">
        <f>Données!A48</f>
        <v>5481</v>
      </c>
      <c r="B48" s="128" t="str">
        <f>Données!B48</f>
        <v>Dizy</v>
      </c>
      <c r="C48" s="266">
        <f>VPI!R48</f>
        <v>8943.6092000000008</v>
      </c>
      <c r="D48" s="148">
        <f>(PCS!I54-PCS!F54)/C48</f>
        <v>11.468526634702149</v>
      </c>
      <c r="E48" s="381">
        <f>'Péréquation directe'!E54/C48</f>
        <v>-3.4757094847059791</v>
      </c>
      <c r="F48" s="148">
        <f>'Péréquation directe'!F54/Effort!C48</f>
        <v>-6.9789506529826033</v>
      </c>
      <c r="G48" s="148">
        <f>'Péréquation directe'!G54/Effort!C48</f>
        <v>0</v>
      </c>
      <c r="H48" s="148">
        <f>'Péréquation directe'!J54/Effort!C48</f>
        <v>19.307090066389922</v>
      </c>
      <c r="I48" s="279">
        <f t="shared" si="0"/>
        <v>20.320956563403488</v>
      </c>
      <c r="J48" s="159">
        <f t="shared" si="1"/>
        <v>0</v>
      </c>
      <c r="K48" s="42">
        <f t="shared" si="2"/>
        <v>0</v>
      </c>
      <c r="L48" s="172"/>
    </row>
    <row r="49" spans="1:12" x14ac:dyDescent="0.25">
      <c r="A49" s="38">
        <f>Données!A49</f>
        <v>5482</v>
      </c>
      <c r="B49" s="128" t="str">
        <f>Données!B49</f>
        <v>Eclépens</v>
      </c>
      <c r="C49" s="266">
        <f>VPI!R49</f>
        <v>57580.307391304363</v>
      </c>
      <c r="D49" s="148">
        <f>(PCS!I55-PCS!F55)/C49</f>
        <v>11.468526634702151</v>
      </c>
      <c r="E49" s="381">
        <f>'Péréquation directe'!E55/C49</f>
        <v>-3.4387123245187485</v>
      </c>
      <c r="F49" s="148">
        <f>'Péréquation directe'!F55/Effort!C49</f>
        <v>-0.12925218032904409</v>
      </c>
      <c r="G49" s="148">
        <f>'Péréquation directe'!G55/Effort!C49</f>
        <v>0</v>
      </c>
      <c r="H49" s="148">
        <f>'Péréquation directe'!J55/Effort!C49</f>
        <v>19.307090066389918</v>
      </c>
      <c r="I49" s="279">
        <f t="shared" si="0"/>
        <v>27.207652196244275</v>
      </c>
      <c r="J49" s="159">
        <f t="shared" si="1"/>
        <v>0</v>
      </c>
      <c r="K49" s="42">
        <f t="shared" si="2"/>
        <v>0</v>
      </c>
      <c r="L49" s="172"/>
    </row>
    <row r="50" spans="1:12" x14ac:dyDescent="0.25">
      <c r="A50" s="38">
        <f>Données!A50</f>
        <v>5483</v>
      </c>
      <c r="B50" s="128" t="str">
        <f>Données!B50</f>
        <v>Ferreyres</v>
      </c>
      <c r="C50" s="266">
        <f>VPI!R50</f>
        <v>11908.696842105262</v>
      </c>
      <c r="D50" s="148">
        <f>(PCS!I56-PCS!F56)/C50</f>
        <v>11.468526634702149</v>
      </c>
      <c r="E50" s="381">
        <f>'Péréquation directe'!E56/C50</f>
        <v>-3.513454878299493</v>
      </c>
      <c r="F50" s="148">
        <f>'Péréquation directe'!F56/Effort!C50</f>
        <v>-7.4946491762766625</v>
      </c>
      <c r="G50" s="148">
        <f>'Péréquation directe'!G56/Effort!C50</f>
        <v>0</v>
      </c>
      <c r="H50" s="148">
        <f>'Péréquation directe'!J56/Effort!C50</f>
        <v>19.307090066389922</v>
      </c>
      <c r="I50" s="279">
        <f t="shared" si="0"/>
        <v>19.767512646515915</v>
      </c>
      <c r="J50" s="159">
        <f t="shared" si="1"/>
        <v>0</v>
      </c>
      <c r="K50" s="42">
        <f t="shared" si="2"/>
        <v>0</v>
      </c>
      <c r="L50" s="172"/>
    </row>
    <row r="51" spans="1:12" x14ac:dyDescent="0.25">
      <c r="A51" s="38">
        <f>Données!A51</f>
        <v>5484</v>
      </c>
      <c r="B51" s="128" t="str">
        <f>Données!B51</f>
        <v>Gollion</v>
      </c>
      <c r="C51" s="266">
        <f>VPI!R51</f>
        <v>34768.807162162164</v>
      </c>
      <c r="D51" s="148">
        <f>(PCS!I57-PCS!F57)/C51</f>
        <v>11.468526634702149</v>
      </c>
      <c r="E51" s="381">
        <f>'Péréquation directe'!E57/C51</f>
        <v>-4.4484182750858672</v>
      </c>
      <c r="F51" s="148">
        <f>'Péréquation directe'!F57/Effort!C51</f>
        <v>-11.232196330553077</v>
      </c>
      <c r="G51" s="148">
        <f>'Péréquation directe'!G57/Effort!C51</f>
        <v>0</v>
      </c>
      <c r="H51" s="148">
        <f>'Péréquation directe'!J57/Effort!C51</f>
        <v>19.307090066389922</v>
      </c>
      <c r="I51" s="279">
        <f t="shared" si="0"/>
        <v>15.095002095453127</v>
      </c>
      <c r="J51" s="318">
        <f t="shared" si="1"/>
        <v>0</v>
      </c>
      <c r="K51" s="42">
        <f t="shared" si="2"/>
        <v>0</v>
      </c>
      <c r="L51" s="172"/>
    </row>
    <row r="52" spans="1:12" x14ac:dyDescent="0.25">
      <c r="A52" s="38">
        <f>Données!A52</f>
        <v>5485</v>
      </c>
      <c r="B52" s="128" t="str">
        <f>Données!B52</f>
        <v>Grancy</v>
      </c>
      <c r="C52" s="266">
        <f>VPI!R52</f>
        <v>29330.080571428571</v>
      </c>
      <c r="D52" s="148">
        <f>(PCS!I58-PCS!F58)/C52</f>
        <v>12.554837981243784</v>
      </c>
      <c r="E52" s="381">
        <f>'Péréquation directe'!E58/C52</f>
        <v>-2.4461439312048499</v>
      </c>
      <c r="F52" s="148">
        <f>'Péréquation directe'!F58/Effort!C52</f>
        <v>0</v>
      </c>
      <c r="G52" s="148">
        <f>'Péréquation directe'!G58/Effort!C52</f>
        <v>0</v>
      </c>
      <c r="H52" s="148">
        <f>'Péréquation directe'!J58/Effort!C52</f>
        <v>19.307090066389922</v>
      </c>
      <c r="I52" s="279">
        <f t="shared" si="0"/>
        <v>29.415784116428856</v>
      </c>
      <c r="J52" s="159">
        <f t="shared" si="1"/>
        <v>0</v>
      </c>
      <c r="K52" s="42">
        <f t="shared" si="2"/>
        <v>0</v>
      </c>
      <c r="L52" s="172"/>
    </row>
    <row r="53" spans="1:12" x14ac:dyDescent="0.25">
      <c r="A53" s="38">
        <f>Données!A53</f>
        <v>5486</v>
      </c>
      <c r="B53" s="128" t="str">
        <f>Données!B53</f>
        <v>L'Isle</v>
      </c>
      <c r="C53" s="31">
        <f>VPI!R53</f>
        <v>33915.013599999991</v>
      </c>
      <c r="D53" s="173">
        <f>(PCS!I59-PCS!F59)/C53</f>
        <v>11.468526634702149</v>
      </c>
      <c r="E53" s="314">
        <f>'Péréquation directe'!E59/C53</f>
        <v>-4.8202923819597361</v>
      </c>
      <c r="F53" s="173">
        <f>'Péréquation directe'!F59/Effort!C53</f>
        <v>-13.180176111230422</v>
      </c>
      <c r="G53" s="173">
        <f>'Péréquation directe'!G59/Effort!C53</f>
        <v>0</v>
      </c>
      <c r="H53" s="173">
        <f>'Péréquation directe'!J59/Effort!C53</f>
        <v>19.307090066389922</v>
      </c>
      <c r="I53" s="399">
        <f t="shared" si="0"/>
        <v>12.775148207901914</v>
      </c>
      <c r="J53" s="175">
        <f t="shared" si="1"/>
        <v>0</v>
      </c>
      <c r="K53" s="42">
        <f t="shared" si="2"/>
        <v>0</v>
      </c>
      <c r="L53" s="400"/>
    </row>
    <row r="54" spans="1:12" x14ac:dyDescent="0.25">
      <c r="A54" s="38">
        <f>Données!A54</f>
        <v>5487</v>
      </c>
      <c r="B54" s="128" t="str">
        <f>Données!B54</f>
        <v>Lussery-Villars</v>
      </c>
      <c r="C54" s="266">
        <f>VPI!R54</f>
        <v>14930.073733333335</v>
      </c>
      <c r="D54" s="148">
        <f>(PCS!I60-PCS!F60)/C54</f>
        <v>11.468526634702151</v>
      </c>
      <c r="E54" s="381">
        <f>'Péréquation directe'!E60/C54</f>
        <v>-4.1553453642727032</v>
      </c>
      <c r="F54" s="148">
        <f>'Péréquation directe'!F60/Effort!C54</f>
        <v>-12.736636564536367</v>
      </c>
      <c r="G54" s="148">
        <f>'Péréquation directe'!G60/Effort!C54</f>
        <v>0</v>
      </c>
      <c r="H54" s="148">
        <f>'Péréquation directe'!J60/Effort!C54</f>
        <v>19.307090066389922</v>
      </c>
      <c r="I54" s="279">
        <f t="shared" si="0"/>
        <v>13.883634772283003</v>
      </c>
      <c r="J54" s="159">
        <f t="shared" si="1"/>
        <v>0</v>
      </c>
      <c r="K54" s="42">
        <f t="shared" si="2"/>
        <v>0</v>
      </c>
      <c r="L54" s="172"/>
    </row>
    <row r="55" spans="1:12" x14ac:dyDescent="0.25">
      <c r="A55" s="38">
        <f>Données!A55</f>
        <v>5488</v>
      </c>
      <c r="B55" s="128" t="str">
        <f>Données!B55</f>
        <v>Mauraz</v>
      </c>
      <c r="C55" s="266">
        <f>VPI!R55</f>
        <v>1845.4819480519479</v>
      </c>
      <c r="D55" s="148">
        <f>(PCS!I61-PCS!F61)/C55</f>
        <v>11.468526634702149</v>
      </c>
      <c r="E55" s="381">
        <f>'Péréquation directe'!E61/C55</f>
        <v>-4.5486037975305118</v>
      </c>
      <c r="F55" s="148">
        <f>'Péréquation directe'!F61/Effort!C55</f>
        <v>-16.936610117042694</v>
      </c>
      <c r="G55" s="148">
        <f>'Péréquation directe'!G61/Effort!C55</f>
        <v>0</v>
      </c>
      <c r="H55" s="148">
        <f>'Péréquation directe'!J61/Effort!C55</f>
        <v>19.307090066389922</v>
      </c>
      <c r="I55" s="279">
        <f t="shared" si="0"/>
        <v>9.2904027865188645</v>
      </c>
      <c r="J55" s="159">
        <f t="shared" si="1"/>
        <v>0</v>
      </c>
      <c r="K55" s="42">
        <f t="shared" si="2"/>
        <v>0</v>
      </c>
      <c r="L55" s="172"/>
    </row>
    <row r="56" spans="1:12" x14ac:dyDescent="0.25">
      <c r="A56" s="38">
        <f>Données!A56</f>
        <v>5489</v>
      </c>
      <c r="B56" s="128" t="str">
        <f>Données!B56</f>
        <v>Mex</v>
      </c>
      <c r="C56" s="266">
        <f>VPI!R56</f>
        <v>61579.806386554606</v>
      </c>
      <c r="D56" s="148">
        <f>(PCS!I62-PCS!F62)/C56</f>
        <v>16.940535388282896</v>
      </c>
      <c r="E56" s="381">
        <f>'Péréquation directe'!E62/C56</f>
        <v>-1.7380400377071195</v>
      </c>
      <c r="F56" s="148">
        <f>'Péréquation directe'!F62/Effort!C56</f>
        <v>0</v>
      </c>
      <c r="G56" s="148">
        <f>'Péréquation directe'!G62/Effort!C56</f>
        <v>0</v>
      </c>
      <c r="H56" s="148">
        <f>'Péréquation directe'!J62/Effort!C56</f>
        <v>19.307090066389922</v>
      </c>
      <c r="I56" s="279">
        <f t="shared" si="0"/>
        <v>34.509585416965699</v>
      </c>
      <c r="J56" s="159">
        <f t="shared" si="1"/>
        <v>0</v>
      </c>
      <c r="K56" s="42">
        <f t="shared" si="2"/>
        <v>0</v>
      </c>
      <c r="L56" s="172"/>
    </row>
    <row r="57" spans="1:12" x14ac:dyDescent="0.25">
      <c r="A57" s="38">
        <f>Données!A57</f>
        <v>5490</v>
      </c>
      <c r="B57" s="128" t="str">
        <f>Données!B57</f>
        <v>Moiry</v>
      </c>
      <c r="C57" s="266">
        <f>VPI!R57</f>
        <v>9143.6155263157889</v>
      </c>
      <c r="D57" s="148">
        <f>(PCS!I63-PCS!F63)/C57</f>
        <v>11.468526634702149</v>
      </c>
      <c r="E57" s="381">
        <f>'Péréquation directe'!E63/C57</f>
        <v>-4.2603612894361138</v>
      </c>
      <c r="F57" s="148">
        <f>'Péréquation directe'!F63/Effort!C57</f>
        <v>-13.992092751860495</v>
      </c>
      <c r="G57" s="148">
        <f>'Péréquation directe'!G63/Effort!C57</f>
        <v>0</v>
      </c>
      <c r="H57" s="148">
        <f>'Péréquation directe'!J63/Effort!C57</f>
        <v>19.307090066389922</v>
      </c>
      <c r="I57" s="279">
        <f t="shared" si="0"/>
        <v>12.523162659795462</v>
      </c>
      <c r="J57" s="159">
        <f t="shared" si="1"/>
        <v>0</v>
      </c>
      <c r="K57" s="42">
        <f t="shared" si="2"/>
        <v>0</v>
      </c>
      <c r="L57" s="172"/>
    </row>
    <row r="58" spans="1:12" x14ac:dyDescent="0.25">
      <c r="A58" s="38">
        <f>Données!A58</f>
        <v>5491</v>
      </c>
      <c r="B58" s="128" t="str">
        <f>Données!B58</f>
        <v>Mont-la-Ville</v>
      </c>
      <c r="C58" s="266">
        <f>VPI!R58</f>
        <v>14485.97789473684</v>
      </c>
      <c r="D58" s="148">
        <f>(PCS!I64-PCS!F64)/C58</f>
        <v>11.468526634702149</v>
      </c>
      <c r="E58" s="381">
        <f>'Péréquation directe'!E64/C58</f>
        <v>-4.5000413830318235</v>
      </c>
      <c r="F58" s="148">
        <f>'Péréquation directe'!F64/Effort!C58</f>
        <v>-16.077103485613474</v>
      </c>
      <c r="G58" s="148">
        <f>'Péréquation directe'!G64/Effort!C58</f>
        <v>0</v>
      </c>
      <c r="H58" s="148">
        <f>'Péréquation directe'!J64/Effort!C58</f>
        <v>19.307090066389922</v>
      </c>
      <c r="I58" s="279">
        <f t="shared" si="0"/>
        <v>10.198471832446774</v>
      </c>
      <c r="J58" s="159">
        <f t="shared" si="1"/>
        <v>0</v>
      </c>
      <c r="K58" s="42">
        <f t="shared" si="2"/>
        <v>0</v>
      </c>
      <c r="L58" s="172"/>
    </row>
    <row r="59" spans="1:12" x14ac:dyDescent="0.25">
      <c r="A59" s="38">
        <f>Données!A59</f>
        <v>5492</v>
      </c>
      <c r="B59" s="128" t="str">
        <f>Données!B59</f>
        <v>Montricher</v>
      </c>
      <c r="C59" s="266">
        <f>VPI!R59</f>
        <v>196115.50781249997</v>
      </c>
      <c r="D59" s="148">
        <f>(PCS!I65-PCS!F65)/C59</f>
        <v>34.807206181525537</v>
      </c>
      <c r="E59" s="381">
        <f>'Péréquation directe'!E65/C59</f>
        <v>-0.64338520858862003</v>
      </c>
      <c r="F59" s="148">
        <f>'Péréquation directe'!F65/Effort!C59</f>
        <v>0</v>
      </c>
      <c r="G59" s="148">
        <f>'Péréquation directe'!G65/Effort!C59</f>
        <v>0</v>
      </c>
      <c r="H59" s="148">
        <f>'Péréquation directe'!J65/Effort!C59</f>
        <v>19.307090066389922</v>
      </c>
      <c r="I59" s="279">
        <f t="shared" si="0"/>
        <v>53.470911039326836</v>
      </c>
      <c r="J59" s="159">
        <f t="shared" si="1"/>
        <v>5.4709110393268361</v>
      </c>
      <c r="K59" s="42">
        <f t="shared" si="2"/>
        <v>-1072930.4966745945</v>
      </c>
      <c r="L59" s="172"/>
    </row>
    <row r="60" spans="1:12" x14ac:dyDescent="0.25">
      <c r="A60" s="38">
        <f>Données!A60</f>
        <v>5493</v>
      </c>
      <c r="B60" s="128" t="str">
        <f>Données!B60</f>
        <v>Orny</v>
      </c>
      <c r="C60" s="266">
        <f>VPI!R60</f>
        <v>15159.363245521601</v>
      </c>
      <c r="D60" s="148">
        <f>(PCS!I66-PCS!F66)/C60</f>
        <v>11.468526634702148</v>
      </c>
      <c r="E60" s="381">
        <f>'Péréquation directe'!E66/C60</f>
        <v>-4.3261042600101929</v>
      </c>
      <c r="F60" s="148">
        <f>'Péréquation directe'!F66/Effort!C60</f>
        <v>-13.436903803332743</v>
      </c>
      <c r="G60" s="148">
        <f>'Péréquation directe'!G66/Effort!C60</f>
        <v>0</v>
      </c>
      <c r="H60" s="148">
        <f>'Péréquation directe'!J66/Effort!C60</f>
        <v>19.307090066389922</v>
      </c>
      <c r="I60" s="279">
        <f t="shared" si="0"/>
        <v>13.012608637749132</v>
      </c>
      <c r="J60" s="159">
        <f t="shared" si="1"/>
        <v>0</v>
      </c>
      <c r="K60" s="42">
        <f t="shared" si="2"/>
        <v>0</v>
      </c>
      <c r="L60" s="172"/>
    </row>
    <row r="61" spans="1:12" x14ac:dyDescent="0.25">
      <c r="A61" s="38">
        <f>Données!A61</f>
        <v>5495</v>
      </c>
      <c r="B61" s="128" t="str">
        <f>Données!B61</f>
        <v>Penthalaz</v>
      </c>
      <c r="C61" s="266">
        <f>VPI!R61</f>
        <v>95849.092413793114</v>
      </c>
      <c r="D61" s="148">
        <f>(PCS!I67-PCS!F67)/C61</f>
        <v>11.468526634702149</v>
      </c>
      <c r="E61" s="381">
        <f>'Péréquation directe'!E67/C61</f>
        <v>-10.120846418388973</v>
      </c>
      <c r="F61" s="148">
        <f>'Péréquation directe'!F67/Effort!C61</f>
        <v>-13.660973565083557</v>
      </c>
      <c r="G61" s="148">
        <f>'Péréquation directe'!G67/Effort!C61</f>
        <v>0</v>
      </c>
      <c r="H61" s="148">
        <f>'Péréquation directe'!J67/Effort!C61</f>
        <v>19.307090066389922</v>
      </c>
      <c r="I61" s="279">
        <f t="shared" si="0"/>
        <v>6.9937967176195404</v>
      </c>
      <c r="J61" s="159">
        <f t="shared" si="1"/>
        <v>0</v>
      </c>
      <c r="K61" s="42">
        <f t="shared" si="2"/>
        <v>0</v>
      </c>
      <c r="L61" s="172"/>
    </row>
    <row r="62" spans="1:12" x14ac:dyDescent="0.25">
      <c r="A62" s="38">
        <f>Données!A62</f>
        <v>5496</v>
      </c>
      <c r="B62" s="128" t="str">
        <f>Données!B62</f>
        <v>Penthaz</v>
      </c>
      <c r="C62" s="266">
        <f>VPI!R62</f>
        <v>67087.565323741001</v>
      </c>
      <c r="D62" s="148">
        <f>(PCS!I68-PCS!F68)/C62</f>
        <v>11.468526634702149</v>
      </c>
      <c r="E62" s="381">
        <f>'Péréquation directe'!E68/C62</f>
        <v>-6.8764291131711444</v>
      </c>
      <c r="F62" s="148">
        <f>'Péréquation directe'!F68/Effort!C62</f>
        <v>-7.7170148962312766</v>
      </c>
      <c r="G62" s="148">
        <f>'Péréquation directe'!G68/Effort!C62</f>
        <v>0</v>
      </c>
      <c r="H62" s="148">
        <f>'Péréquation directe'!J68/Effort!C62</f>
        <v>19.307090066389922</v>
      </c>
      <c r="I62" s="279">
        <f t="shared" si="0"/>
        <v>16.182172691689651</v>
      </c>
      <c r="J62" s="159">
        <f t="shared" si="1"/>
        <v>0</v>
      </c>
      <c r="K62" s="42">
        <f t="shared" si="2"/>
        <v>0</v>
      </c>
      <c r="L62" s="172"/>
    </row>
    <row r="63" spans="1:12" x14ac:dyDescent="0.25">
      <c r="A63" s="38">
        <f>Données!A63</f>
        <v>5497</v>
      </c>
      <c r="B63" s="128" t="str">
        <f>Données!B63</f>
        <v>Pompaples</v>
      </c>
      <c r="C63" s="266">
        <f>VPI!R63</f>
        <v>25508.981363636369</v>
      </c>
      <c r="D63" s="148">
        <f>(PCS!I69-PCS!F69)/C63</f>
        <v>11.468526634702149</v>
      </c>
      <c r="E63" s="381">
        <f>'Péréquation directe'!E69/C63</f>
        <v>-4.7613028597304634</v>
      </c>
      <c r="F63" s="148">
        <f>'Péréquation directe'!F69/Effort!C63</f>
        <v>-13.838636201760735</v>
      </c>
      <c r="G63" s="148">
        <f>'Péréquation directe'!G69/Effort!C63</f>
        <v>0</v>
      </c>
      <c r="H63" s="148">
        <f>'Péréquation directe'!J69/Effort!C63</f>
        <v>19.307090066389922</v>
      </c>
      <c r="I63" s="279">
        <f t="shared" si="0"/>
        <v>12.175677639600872</v>
      </c>
      <c r="J63" s="159">
        <f t="shared" si="1"/>
        <v>0</v>
      </c>
      <c r="K63" s="42">
        <f t="shared" si="2"/>
        <v>0</v>
      </c>
      <c r="L63" s="172"/>
    </row>
    <row r="64" spans="1:12" x14ac:dyDescent="0.25">
      <c r="A64" s="38">
        <f>Données!A64</f>
        <v>5498</v>
      </c>
      <c r="B64" s="128" t="str">
        <f>Données!B64</f>
        <v>La Sarraz</v>
      </c>
      <c r="C64" s="266">
        <f>VPI!R64</f>
        <v>78158.734848484863</v>
      </c>
      <c r="D64" s="148">
        <f>(PCS!I70-PCS!F70)/C64</f>
        <v>11.468526634702149</v>
      </c>
      <c r="E64" s="381">
        <f>'Péréquation directe'!E70/C64</f>
        <v>-9.1915555376546934</v>
      </c>
      <c r="F64" s="148">
        <f>'Péréquation directe'!F70/Effort!C64</f>
        <v>-11.215783031485969</v>
      </c>
      <c r="G64" s="148">
        <f>'Péréquation directe'!G70/Effort!C64</f>
        <v>0</v>
      </c>
      <c r="H64" s="148">
        <f>'Péréquation directe'!J70/Effort!C64</f>
        <v>19.307090066389922</v>
      </c>
      <c r="I64" s="279">
        <f t="shared" si="0"/>
        <v>10.368278131951408</v>
      </c>
      <c r="J64" s="159">
        <f t="shared" si="1"/>
        <v>0</v>
      </c>
      <c r="K64" s="42">
        <f t="shared" si="2"/>
        <v>0</v>
      </c>
      <c r="L64" s="172"/>
    </row>
    <row r="65" spans="1:12" x14ac:dyDescent="0.25">
      <c r="A65" s="38">
        <f>Données!A65</f>
        <v>5499</v>
      </c>
      <c r="B65" s="128" t="str">
        <f>Données!B65</f>
        <v>Senarclens</v>
      </c>
      <c r="C65" s="266">
        <f>VPI!R65</f>
        <v>25627.946715328464</v>
      </c>
      <c r="D65" s="148">
        <f>(PCS!I71-PCS!F71)/C65</f>
        <v>12.186680650902739</v>
      </c>
      <c r="E65" s="381">
        <f>'Péréquation directe'!E71/C65</f>
        <v>-2.5129023750660107</v>
      </c>
      <c r="F65" s="148">
        <f>'Péréquation directe'!F71/Effort!C65</f>
        <v>0</v>
      </c>
      <c r="G65" s="148">
        <f>'Péréquation directe'!G71/Effort!C65</f>
        <v>0</v>
      </c>
      <c r="H65" s="148">
        <f>'Péréquation directe'!J71/Effort!C65</f>
        <v>19.307090066389922</v>
      </c>
      <c r="I65" s="279">
        <f t="shared" si="0"/>
        <v>28.98086834222665</v>
      </c>
      <c r="J65" s="159">
        <f t="shared" si="1"/>
        <v>0</v>
      </c>
      <c r="K65" s="42">
        <f t="shared" si="2"/>
        <v>0</v>
      </c>
      <c r="L65" s="172"/>
    </row>
    <row r="66" spans="1:12" x14ac:dyDescent="0.25">
      <c r="A66" s="38">
        <f>Données!A66</f>
        <v>5501</v>
      </c>
      <c r="B66" s="128" t="str">
        <f>Données!B66</f>
        <v>Sullens</v>
      </c>
      <c r="C66" s="266">
        <f>VPI!R66</f>
        <v>54206.164375000008</v>
      </c>
      <c r="D66" s="148">
        <f>(PCS!I72-PCS!F72)/C66</f>
        <v>11.468526634702149</v>
      </c>
      <c r="E66" s="381">
        <f>'Péréquation directe'!E72/C66</f>
        <v>-3.7611620627434301</v>
      </c>
      <c r="F66" s="148">
        <f>'Péréquation directe'!F72/Effort!C66</f>
        <v>-1.5229191225556471</v>
      </c>
      <c r="G66" s="148">
        <f>'Péréquation directe'!G72/Effort!C66</f>
        <v>0</v>
      </c>
      <c r="H66" s="148">
        <f>'Péréquation directe'!J72/Effort!C66</f>
        <v>19.307090066389922</v>
      </c>
      <c r="I66" s="279">
        <f t="shared" si="0"/>
        <v>25.491535515792993</v>
      </c>
      <c r="J66" s="159">
        <f t="shared" si="1"/>
        <v>0</v>
      </c>
      <c r="K66" s="42">
        <f t="shared" si="2"/>
        <v>0</v>
      </c>
      <c r="L66" s="172"/>
    </row>
    <row r="67" spans="1:12" x14ac:dyDescent="0.25">
      <c r="A67" s="38">
        <f>Données!A67</f>
        <v>5503</v>
      </c>
      <c r="B67" s="128" t="str">
        <f>Données!B67</f>
        <v>Vufflens-la-Ville</v>
      </c>
      <c r="C67" s="266">
        <f>VPI!R67</f>
        <v>77419.766343283569</v>
      </c>
      <c r="D67" s="148">
        <f>(PCS!I73-PCS!F73)/C67</f>
        <v>13.431645546267607</v>
      </c>
      <c r="E67" s="381">
        <f>'Péréquation directe'!E73/C67</f>
        <v>-3.2880382743710168</v>
      </c>
      <c r="F67" s="148">
        <f>'Péréquation directe'!F73/Effort!C67</f>
        <v>0</v>
      </c>
      <c r="G67" s="148">
        <f>'Péréquation directe'!G73/Effort!C67</f>
        <v>0</v>
      </c>
      <c r="H67" s="148">
        <f>'Péréquation directe'!J73/Effort!C67</f>
        <v>19.307090066389922</v>
      </c>
      <c r="I67" s="279">
        <f t="shared" si="0"/>
        <v>29.45069733828651</v>
      </c>
      <c r="J67" s="159">
        <f t="shared" si="1"/>
        <v>0</v>
      </c>
      <c r="K67" s="42">
        <f t="shared" si="2"/>
        <v>0</v>
      </c>
      <c r="L67" s="172"/>
    </row>
    <row r="68" spans="1:12" x14ac:dyDescent="0.25">
      <c r="A68" s="38">
        <f>Données!A68</f>
        <v>5511</v>
      </c>
      <c r="B68" s="128" t="str">
        <f>Données!B68</f>
        <v>Assens</v>
      </c>
      <c r="C68" s="266">
        <f>VPI!R68</f>
        <v>74810.046857142865</v>
      </c>
      <c r="D68" s="148">
        <f>(PCS!I74-PCS!F74)/C68</f>
        <v>11.468526634702151</v>
      </c>
      <c r="E68" s="381">
        <f>'Péréquation directe'!E74/C68</f>
        <v>-5.1798514485286109</v>
      </c>
      <c r="F68" s="148">
        <f>'Péréquation directe'!F74/Effort!C68</f>
        <v>-2.3994069479735294</v>
      </c>
      <c r="G68" s="148">
        <f>'Péréquation directe'!G74/Effort!C68</f>
        <v>0</v>
      </c>
      <c r="H68" s="148">
        <f>'Péréquation directe'!J74/Effort!C68</f>
        <v>19.307090066389922</v>
      </c>
      <c r="I68" s="279">
        <f t="shared" si="0"/>
        <v>23.196358304589932</v>
      </c>
      <c r="J68" s="159">
        <f t="shared" si="1"/>
        <v>0</v>
      </c>
      <c r="K68" s="42">
        <f t="shared" si="2"/>
        <v>0</v>
      </c>
      <c r="L68" s="172"/>
    </row>
    <row r="69" spans="1:12" x14ac:dyDescent="0.25">
      <c r="A69" s="38">
        <f>Données!A69</f>
        <v>5512</v>
      </c>
      <c r="B69" s="128" t="str">
        <f>Données!B69</f>
        <v>Bercher</v>
      </c>
      <c r="C69" s="266">
        <f>VPI!R69</f>
        <v>42301.871392405068</v>
      </c>
      <c r="D69" s="148">
        <f>(PCS!I75-PCS!F75)/C69</f>
        <v>11.468526634702148</v>
      </c>
      <c r="E69" s="381">
        <f>'Péréquation directe'!E75/C69</f>
        <v>-5.9655903036035687</v>
      </c>
      <c r="F69" s="148">
        <f>'Péréquation directe'!F75/Effort!C69</f>
        <v>-13.835144594435553</v>
      </c>
      <c r="G69" s="148">
        <f>'Péréquation directe'!G75/Effort!C69</f>
        <v>0</v>
      </c>
      <c r="H69" s="148">
        <f>'Péréquation directe'!J75/Effort!C69</f>
        <v>19.307090066389922</v>
      </c>
      <c r="I69" s="279">
        <f t="shared" si="0"/>
        <v>10.974881803052948</v>
      </c>
      <c r="J69" s="159">
        <f t="shared" si="1"/>
        <v>0</v>
      </c>
      <c r="K69" s="42">
        <f t="shared" si="2"/>
        <v>0</v>
      </c>
      <c r="L69" s="172"/>
    </row>
    <row r="70" spans="1:12" x14ac:dyDescent="0.25">
      <c r="A70" s="38">
        <f>Données!A70</f>
        <v>5514</v>
      </c>
      <c r="B70" s="128" t="str">
        <f>Données!B70</f>
        <v>Bottens</v>
      </c>
      <c r="C70" s="266">
        <f>VPI!R70</f>
        <v>45049.61903448277</v>
      </c>
      <c r="D70" s="148">
        <f>(PCS!I76-PCS!F76)/C70</f>
        <v>11.468526634702151</v>
      </c>
      <c r="E70" s="381">
        <f>'Péréquation directe'!E76/C70</f>
        <v>-5.9930318747034246</v>
      </c>
      <c r="F70" s="148">
        <f>'Péréquation directe'!F76/Effort!C70</f>
        <v>-10.767280281944091</v>
      </c>
      <c r="G70" s="148">
        <f>'Péréquation directe'!G76/Effort!C70</f>
        <v>0</v>
      </c>
      <c r="H70" s="148">
        <f>'Péréquation directe'!J76/Effort!C70</f>
        <v>19.307090066389922</v>
      </c>
      <c r="I70" s="279">
        <f t="shared" si="0"/>
        <v>14.015304544444557</v>
      </c>
      <c r="J70" s="159">
        <f t="shared" si="1"/>
        <v>0</v>
      </c>
      <c r="K70" s="42">
        <f t="shared" si="2"/>
        <v>0</v>
      </c>
      <c r="L70" s="172"/>
    </row>
    <row r="71" spans="1:12" x14ac:dyDescent="0.25">
      <c r="A71" s="38">
        <f>Données!A71</f>
        <v>5515</v>
      </c>
      <c r="B71" s="128" t="str">
        <f>Données!B71</f>
        <v>Bretigny-sur-Morrens</v>
      </c>
      <c r="C71" s="266">
        <f>VPI!R71</f>
        <v>32261.164358974351</v>
      </c>
      <c r="D71" s="148">
        <f>(PCS!I77-PCS!F77)/C71</f>
        <v>11.468526634702149</v>
      </c>
      <c r="E71" s="381">
        <f>'Péréquation directe'!E77/C71</f>
        <v>-3.6306079824576467</v>
      </c>
      <c r="F71" s="148">
        <f>'Péréquation directe'!F77/Effort!C71</f>
        <v>-8.9677701303279314</v>
      </c>
      <c r="G71" s="148">
        <f>'Péréquation directe'!G77/Effort!C71</f>
        <v>0</v>
      </c>
      <c r="H71" s="148">
        <f>'Péréquation directe'!J77/Effort!C71</f>
        <v>19.307090066389922</v>
      </c>
      <c r="I71" s="279">
        <f t="shared" ref="I71:I134" si="3">SUM(D71:H71)</f>
        <v>18.177238588306494</v>
      </c>
      <c r="J71" s="159">
        <f t="shared" ref="J71:J134" si="4">IF(I71&gt;J$5,I71-J$5,0)</f>
        <v>0</v>
      </c>
      <c r="K71" s="42">
        <f t="shared" ref="K71:K134" si="5">-J71*C71</f>
        <v>0</v>
      </c>
      <c r="L71" s="172"/>
    </row>
    <row r="72" spans="1:12" x14ac:dyDescent="0.25">
      <c r="A72" s="38">
        <f>Données!A72</f>
        <v>5516</v>
      </c>
      <c r="B72" s="128" t="str">
        <f>Données!B72</f>
        <v>Cugy</v>
      </c>
      <c r="C72" s="266">
        <f>VPI!R72</f>
        <v>114099.68980263159</v>
      </c>
      <c r="D72" s="148">
        <f>(PCS!I78-PCS!F78)/C72</f>
        <v>11.468526634702149</v>
      </c>
      <c r="E72" s="381">
        <f>'Péréquation directe'!E78/C72</f>
        <v>-6.7275583769900633</v>
      </c>
      <c r="F72" s="148">
        <f>'Péréquation directe'!F78/Effort!C72</f>
        <v>-4.260600245688245</v>
      </c>
      <c r="G72" s="148">
        <f>'Péréquation directe'!G78/Effort!C72</f>
        <v>0</v>
      </c>
      <c r="H72" s="148">
        <f>'Péréquation directe'!J78/Effort!C72</f>
        <v>19.307090066389925</v>
      </c>
      <c r="I72" s="279">
        <f t="shared" si="3"/>
        <v>19.787458078413767</v>
      </c>
      <c r="J72" s="159">
        <f t="shared" si="4"/>
        <v>0</v>
      </c>
      <c r="K72" s="42">
        <f t="shared" si="5"/>
        <v>0</v>
      </c>
      <c r="L72" s="172"/>
    </row>
    <row r="73" spans="1:12" x14ac:dyDescent="0.25">
      <c r="A73" s="38">
        <f>Données!A73</f>
        <v>5518</v>
      </c>
      <c r="B73" s="128" t="str">
        <f>Données!B73</f>
        <v>Echallens</v>
      </c>
      <c r="C73" s="266">
        <f>VPI!R73</f>
        <v>201769.75393103444</v>
      </c>
      <c r="D73" s="148">
        <f>(PCS!I79-PCS!F79)/C73</f>
        <v>11.468526634702149</v>
      </c>
      <c r="E73" s="381">
        <f>'Péréquation directe'!E79/C73</f>
        <v>-14.395916666345858</v>
      </c>
      <c r="F73" s="148">
        <f>'Péréquation directe'!F79/Effort!C73</f>
        <v>-12.8265745470719</v>
      </c>
      <c r="G73" s="148">
        <f>'Péréquation directe'!G79/Effort!C73</f>
        <v>0</v>
      </c>
      <c r="H73" s="148">
        <f>'Péréquation directe'!J79/Effort!C73</f>
        <v>19.307090066389922</v>
      </c>
      <c r="I73" s="279">
        <f t="shared" si="3"/>
        <v>3.553125487674313</v>
      </c>
      <c r="J73" s="159">
        <f t="shared" si="4"/>
        <v>0</v>
      </c>
      <c r="K73" s="42">
        <f t="shared" si="5"/>
        <v>0</v>
      </c>
      <c r="L73" s="172"/>
    </row>
    <row r="74" spans="1:12" x14ac:dyDescent="0.25">
      <c r="A74" s="38">
        <f>Données!A74</f>
        <v>5520</v>
      </c>
      <c r="B74" s="128" t="str">
        <f>Données!B74</f>
        <v>Essertines-sur-Yverdon</v>
      </c>
      <c r="C74" s="266">
        <f>VPI!R74</f>
        <v>32600.230945945943</v>
      </c>
      <c r="D74" s="148">
        <f>(PCS!I80-PCS!F80)/C74</f>
        <v>11.468526634702149</v>
      </c>
      <c r="E74" s="381">
        <f>'Péréquation directe'!E80/C74</f>
        <v>-5.206208257564569</v>
      </c>
      <c r="F74" s="148">
        <f>'Péréquation directe'!F80/Effort!C74</f>
        <v>-14.794695750509787</v>
      </c>
      <c r="G74" s="148">
        <f>'Péréquation directe'!G80/Effort!C74</f>
        <v>0</v>
      </c>
      <c r="H74" s="148">
        <f>'Péréquation directe'!J80/Effort!C74</f>
        <v>19.307090066389922</v>
      </c>
      <c r="I74" s="279">
        <f t="shared" si="3"/>
        <v>10.774712693017715</v>
      </c>
      <c r="J74" s="159">
        <f t="shared" si="4"/>
        <v>0</v>
      </c>
      <c r="K74" s="42">
        <f t="shared" si="5"/>
        <v>0</v>
      </c>
      <c r="L74" s="172"/>
    </row>
    <row r="75" spans="1:12" x14ac:dyDescent="0.25">
      <c r="A75" s="38">
        <f>Données!A75</f>
        <v>5521</v>
      </c>
      <c r="B75" s="128" t="str">
        <f>Données!B75</f>
        <v>Etagnières</v>
      </c>
      <c r="C75" s="266">
        <f>VPI!R75</f>
        <v>45069.292328767129</v>
      </c>
      <c r="D75" s="148">
        <f>(PCS!I81-PCS!F81)/C75</f>
        <v>11.468526634702149</v>
      </c>
      <c r="E75" s="381">
        <f>'Péréquation directe'!E81/C75</f>
        <v>-4.3117956245510136</v>
      </c>
      <c r="F75" s="148">
        <f>'Péréquation directe'!F81/Effort!C75</f>
        <v>-6.0906533328450516</v>
      </c>
      <c r="G75" s="148">
        <f>'Péréquation directe'!G81/Effort!C75</f>
        <v>0</v>
      </c>
      <c r="H75" s="148">
        <f>'Péréquation directe'!J81/Effort!C75</f>
        <v>19.307090066389922</v>
      </c>
      <c r="I75" s="279">
        <f t="shared" si="3"/>
        <v>20.373167743696005</v>
      </c>
      <c r="J75" s="159">
        <f t="shared" si="4"/>
        <v>0</v>
      </c>
      <c r="K75" s="42">
        <f t="shared" si="5"/>
        <v>0</v>
      </c>
      <c r="L75" s="172"/>
    </row>
    <row r="76" spans="1:12" x14ac:dyDescent="0.25">
      <c r="A76" s="38">
        <f>Données!A76</f>
        <v>5522</v>
      </c>
      <c r="B76" s="128" t="str">
        <f>Données!B76</f>
        <v>Fey</v>
      </c>
      <c r="C76" s="266">
        <f>VPI!R76</f>
        <v>22943.940666666665</v>
      </c>
      <c r="D76" s="148">
        <f>(PCS!I82-PCS!F82)/C76</f>
        <v>11.468526634702149</v>
      </c>
      <c r="E76" s="381">
        <f>'Péréquation directe'!E82/C76</f>
        <v>-4.3617871036615412</v>
      </c>
      <c r="F76" s="148">
        <f>'Péréquation directe'!F82/Effort!C76</f>
        <v>-14.48555349222053</v>
      </c>
      <c r="G76" s="148">
        <f>'Péréquation directe'!G82/Effort!C76</f>
        <v>0</v>
      </c>
      <c r="H76" s="148">
        <f>'Péréquation directe'!J82/Effort!C76</f>
        <v>19.307090066389922</v>
      </c>
      <c r="I76" s="279">
        <f t="shared" si="3"/>
        <v>11.928276105209999</v>
      </c>
      <c r="J76" s="159">
        <f t="shared" si="4"/>
        <v>0</v>
      </c>
      <c r="K76" s="42">
        <f t="shared" si="5"/>
        <v>0</v>
      </c>
      <c r="L76" s="172"/>
    </row>
    <row r="77" spans="1:12" x14ac:dyDescent="0.25">
      <c r="A77" s="38">
        <f>Données!A77</f>
        <v>5523</v>
      </c>
      <c r="B77" s="128" t="str">
        <f>Données!B77</f>
        <v>Froideville</v>
      </c>
      <c r="C77" s="266">
        <f>VPI!R77</f>
        <v>92586.842777777769</v>
      </c>
      <c r="D77" s="148">
        <f>(PCS!I83-PCS!F83)/C77</f>
        <v>11.468526634702151</v>
      </c>
      <c r="E77" s="381">
        <f>'Péréquation directe'!E83/C77</f>
        <v>-8.2708950144893141</v>
      </c>
      <c r="F77" s="148">
        <f>'Péréquation directe'!F83/Effort!C77</f>
        <v>-9.4679729165995177</v>
      </c>
      <c r="G77" s="148">
        <f>'Péréquation directe'!G83/Effort!C77</f>
        <v>0</v>
      </c>
      <c r="H77" s="148">
        <f>'Péréquation directe'!J83/Effort!C77</f>
        <v>19.307090066389922</v>
      </c>
      <c r="I77" s="279">
        <f t="shared" si="3"/>
        <v>13.036748770003241</v>
      </c>
      <c r="J77" s="159">
        <f t="shared" si="4"/>
        <v>0</v>
      </c>
      <c r="K77" s="42">
        <f t="shared" si="5"/>
        <v>0</v>
      </c>
      <c r="L77" s="172"/>
    </row>
    <row r="78" spans="1:12" x14ac:dyDescent="0.25">
      <c r="A78" s="38">
        <f>Données!A78</f>
        <v>5527</v>
      </c>
      <c r="B78" s="128" t="str">
        <f>Données!B78</f>
        <v>Morrens</v>
      </c>
      <c r="C78" s="266">
        <f>VPI!R78</f>
        <v>42908.9222972973</v>
      </c>
      <c r="D78" s="148">
        <f>(PCS!I84-PCS!F84)/C78</f>
        <v>11.468526634702149</v>
      </c>
      <c r="E78" s="381">
        <f>'Péréquation directe'!E84/C78</f>
        <v>-4.2721178257728498</v>
      </c>
      <c r="F78" s="148">
        <f>'Péréquation directe'!F84/Effort!C78</f>
        <v>-6.9186394701563421</v>
      </c>
      <c r="G78" s="148">
        <f>'Péréquation directe'!G84/Effort!C78</f>
        <v>0</v>
      </c>
      <c r="H78" s="148">
        <f>'Péréquation directe'!J84/Effort!C78</f>
        <v>19.307090066389922</v>
      </c>
      <c r="I78" s="279">
        <f t="shared" si="3"/>
        <v>19.584859405162881</v>
      </c>
      <c r="J78" s="159">
        <f t="shared" si="4"/>
        <v>0</v>
      </c>
      <c r="K78" s="42">
        <f t="shared" si="5"/>
        <v>0</v>
      </c>
      <c r="L78" s="172"/>
    </row>
    <row r="79" spans="1:12" x14ac:dyDescent="0.25">
      <c r="A79" s="38">
        <f>Données!A79</f>
        <v>5529</v>
      </c>
      <c r="B79" s="128" t="str">
        <f>Données!B79</f>
        <v>Oulens-sous-Echallens</v>
      </c>
      <c r="C79" s="266">
        <f>VPI!R79</f>
        <v>22948.614507042254</v>
      </c>
      <c r="D79" s="148">
        <f>(PCS!I85-PCS!F85)/C79</f>
        <v>11.468526634702149</v>
      </c>
      <c r="E79" s="381">
        <f>'Péréquation directe'!E85/C79</f>
        <v>-3.429278184721857</v>
      </c>
      <c r="F79" s="148">
        <f>'Péréquation directe'!F85/Effort!C79</f>
        <v>-5.9018662309067462</v>
      </c>
      <c r="G79" s="148">
        <f>'Péréquation directe'!G85/Effort!C79</f>
        <v>0</v>
      </c>
      <c r="H79" s="148">
        <f>'Péréquation directe'!J85/Effort!C79</f>
        <v>19.307090066389922</v>
      </c>
      <c r="I79" s="279">
        <f t="shared" si="3"/>
        <v>21.444472285463469</v>
      </c>
      <c r="J79" s="159">
        <f t="shared" si="4"/>
        <v>0</v>
      </c>
      <c r="K79" s="42">
        <f t="shared" si="5"/>
        <v>0</v>
      </c>
      <c r="L79" s="172"/>
    </row>
    <row r="80" spans="1:12" x14ac:dyDescent="0.25">
      <c r="A80" s="38">
        <f>Données!A80</f>
        <v>5530</v>
      </c>
      <c r="B80" s="128" t="str">
        <f>Données!B80</f>
        <v>Pailly</v>
      </c>
      <c r="C80" s="266">
        <f>VPI!R80</f>
        <v>20543.565197368422</v>
      </c>
      <c r="D80" s="148">
        <f>(PCS!I86-PCS!F86)/C80</f>
        <v>11.468526634702149</v>
      </c>
      <c r="E80" s="381">
        <f>'Péréquation directe'!E86/C80</f>
        <v>-3.6775162951913307</v>
      </c>
      <c r="F80" s="148">
        <f>'Péréquation directe'!F86/Effort!C80</f>
        <v>-8.9218424407753236</v>
      </c>
      <c r="G80" s="148">
        <f>'Péréquation directe'!G86/Effort!C80</f>
        <v>0</v>
      </c>
      <c r="H80" s="148">
        <f>'Péréquation directe'!J86/Effort!C80</f>
        <v>19.307090066389922</v>
      </c>
      <c r="I80" s="279">
        <f t="shared" si="3"/>
        <v>18.176257965125416</v>
      </c>
      <c r="J80" s="159">
        <f t="shared" si="4"/>
        <v>0</v>
      </c>
      <c r="K80" s="42">
        <f t="shared" si="5"/>
        <v>0</v>
      </c>
      <c r="L80" s="172"/>
    </row>
    <row r="81" spans="1:12" x14ac:dyDescent="0.25">
      <c r="A81" s="38">
        <f>Données!A81</f>
        <v>5531</v>
      </c>
      <c r="B81" s="128" t="str">
        <f>Données!B81</f>
        <v>Penthéréaz</v>
      </c>
      <c r="C81" s="266">
        <f>VPI!R81</f>
        <v>17158.758513513516</v>
      </c>
      <c r="D81" s="148">
        <f>(PCS!I87-PCS!F87)/C81</f>
        <v>11.468526634702151</v>
      </c>
      <c r="E81" s="381">
        <f>'Péréquation directe'!E87/C81</f>
        <v>-3.3404387412410848</v>
      </c>
      <c r="F81" s="148">
        <f>'Péréquation directe'!F87/Effort!C81</f>
        <v>-5.6784655679404459</v>
      </c>
      <c r="G81" s="148">
        <f>'Péréquation directe'!G87/Effort!C81</f>
        <v>0</v>
      </c>
      <c r="H81" s="148">
        <f>'Péréquation directe'!J87/Effort!C81</f>
        <v>19.307090066389922</v>
      </c>
      <c r="I81" s="279">
        <f t="shared" si="3"/>
        <v>21.75671239191054</v>
      </c>
      <c r="J81" s="159">
        <f t="shared" si="4"/>
        <v>0</v>
      </c>
      <c r="K81" s="42">
        <f t="shared" si="5"/>
        <v>0</v>
      </c>
      <c r="L81" s="172"/>
    </row>
    <row r="82" spans="1:12" x14ac:dyDescent="0.25">
      <c r="A82" s="38">
        <f>Données!A82</f>
        <v>5533</v>
      </c>
      <c r="B82" s="128" t="str">
        <f>Données!B82</f>
        <v>Poliez-Pittet</v>
      </c>
      <c r="C82" s="266">
        <f>VPI!R82</f>
        <v>27174.793424657531</v>
      </c>
      <c r="D82" s="148">
        <f>(PCS!I88-PCS!F88)/C82</f>
        <v>11.468526634702149</v>
      </c>
      <c r="E82" s="381">
        <f>'Péréquation directe'!E88/C82</f>
        <v>-4.2281052712507101</v>
      </c>
      <c r="F82" s="148">
        <f>'Péréquation directe'!F88/Effort!C82</f>
        <v>-12.650371689462629</v>
      </c>
      <c r="G82" s="148">
        <f>'Péréquation directe'!G88/Effort!C82</f>
        <v>0</v>
      </c>
      <c r="H82" s="148">
        <f>'Péréquation directe'!J88/Effort!C82</f>
        <v>19.307090066389922</v>
      </c>
      <c r="I82" s="279">
        <f t="shared" si="3"/>
        <v>13.897139740378732</v>
      </c>
      <c r="J82" s="159">
        <f t="shared" si="4"/>
        <v>0</v>
      </c>
      <c r="K82" s="42">
        <f t="shared" si="5"/>
        <v>0</v>
      </c>
      <c r="L82" s="172"/>
    </row>
    <row r="83" spans="1:12" x14ac:dyDescent="0.25">
      <c r="A83" s="38">
        <f>Données!A83</f>
        <v>5534</v>
      </c>
      <c r="B83" s="128" t="str">
        <f>Données!B83</f>
        <v>Rueyres</v>
      </c>
      <c r="C83" s="266">
        <f>VPI!R83</f>
        <v>15880.296484018269</v>
      </c>
      <c r="D83" s="148">
        <f>(PCS!I89-PCS!F89)/C83</f>
        <v>12.336033272534834</v>
      </c>
      <c r="E83" s="381">
        <f>'Péréquation directe'!E89/C83</f>
        <v>-2.494343574304275</v>
      </c>
      <c r="F83" s="148">
        <f>'Péréquation directe'!F89/Effort!C83</f>
        <v>0</v>
      </c>
      <c r="G83" s="148">
        <f>'Péréquation directe'!G89/Effort!C83</f>
        <v>0</v>
      </c>
      <c r="H83" s="148">
        <f>'Péréquation directe'!J89/Effort!C83</f>
        <v>19.307090066389922</v>
      </c>
      <c r="I83" s="279">
        <f t="shared" si="3"/>
        <v>29.148779764620482</v>
      </c>
      <c r="J83" s="159">
        <f t="shared" si="4"/>
        <v>0</v>
      </c>
      <c r="K83" s="42">
        <f t="shared" si="5"/>
        <v>0</v>
      </c>
      <c r="L83" s="172"/>
    </row>
    <row r="84" spans="1:12" x14ac:dyDescent="0.25">
      <c r="A84" s="38">
        <f>Données!A84</f>
        <v>5535</v>
      </c>
      <c r="B84" s="128" t="str">
        <f>Données!B84</f>
        <v>Saint-Barthélemy</v>
      </c>
      <c r="C84" s="266">
        <f>VPI!R84</f>
        <v>27185.565066666662</v>
      </c>
      <c r="D84" s="148">
        <f>(PCS!I90-PCS!F90)/C84</f>
        <v>11.468526634702149</v>
      </c>
      <c r="E84" s="381">
        <f>'Péréquation directe'!E90/C84</f>
        <v>-3.9996694709579397</v>
      </c>
      <c r="F84" s="148">
        <f>'Péréquation directe'!F90/Effort!C84</f>
        <v>-11.417793747882273</v>
      </c>
      <c r="G84" s="148">
        <f>'Péréquation directe'!G90/Effort!C84</f>
        <v>0</v>
      </c>
      <c r="H84" s="148">
        <f>'Péréquation directe'!J90/Effort!C84</f>
        <v>19.307090066389922</v>
      </c>
      <c r="I84" s="279">
        <f t="shared" si="3"/>
        <v>15.358153482251858</v>
      </c>
      <c r="J84" s="159">
        <f t="shared" si="4"/>
        <v>0</v>
      </c>
      <c r="K84" s="42">
        <f t="shared" si="5"/>
        <v>0</v>
      </c>
      <c r="L84" s="172"/>
    </row>
    <row r="85" spans="1:12" x14ac:dyDescent="0.25">
      <c r="A85" s="38">
        <f>Données!A85</f>
        <v>5537</v>
      </c>
      <c r="B85" s="128" t="str">
        <f>Données!B85</f>
        <v>Villars-le-Terroir</v>
      </c>
      <c r="C85" s="266">
        <f>VPI!R85</f>
        <v>37062.3994736842</v>
      </c>
      <c r="D85" s="148">
        <f>(PCS!I91-PCS!F91)/C85</f>
        <v>11.468526634702149</v>
      </c>
      <c r="E85" s="381">
        <f>'Péréquation directe'!E91/C85</f>
        <v>-6.4918495441073301</v>
      </c>
      <c r="F85" s="148">
        <f>'Péréquation directe'!F91/Effort!C85</f>
        <v>-16.890607749467247</v>
      </c>
      <c r="G85" s="148">
        <f>'Péréquation directe'!G91/Effort!C85</f>
        <v>0</v>
      </c>
      <c r="H85" s="148">
        <f>'Péréquation directe'!J91/Effort!C85</f>
        <v>19.307090066389922</v>
      </c>
      <c r="I85" s="279">
        <f t="shared" si="3"/>
        <v>7.3931594075174942</v>
      </c>
      <c r="J85" s="159">
        <f t="shared" si="4"/>
        <v>0</v>
      </c>
      <c r="K85" s="42">
        <f t="shared" si="5"/>
        <v>0</v>
      </c>
      <c r="L85" s="172"/>
    </row>
    <row r="86" spans="1:12" x14ac:dyDescent="0.25">
      <c r="A86" s="38">
        <f>Données!A86</f>
        <v>5539</v>
      </c>
      <c r="B86" s="128" t="str">
        <f>Données!B86</f>
        <v>Vuarrens</v>
      </c>
      <c r="C86" s="266">
        <f>VPI!R86</f>
        <v>33245.200000000004</v>
      </c>
      <c r="D86" s="148">
        <f>(PCS!I92-PCS!F92)/C86</f>
        <v>11.468526634702149</v>
      </c>
      <c r="E86" s="381">
        <f>'Péréquation directe'!E92/C86</f>
        <v>-5.0831122840904008</v>
      </c>
      <c r="F86" s="148">
        <f>'Péréquation directe'!F92/Effort!C86</f>
        <v>-13.82949178963174</v>
      </c>
      <c r="G86" s="148">
        <f>'Péréquation directe'!G92/Effort!C86</f>
        <v>0</v>
      </c>
      <c r="H86" s="148">
        <f>'Péréquation directe'!J92/Effort!C86</f>
        <v>19.307090066389922</v>
      </c>
      <c r="I86" s="279">
        <f t="shared" si="3"/>
        <v>11.86301262736993</v>
      </c>
      <c r="J86" s="159">
        <f t="shared" si="4"/>
        <v>0</v>
      </c>
      <c r="K86" s="42">
        <f t="shared" si="5"/>
        <v>0</v>
      </c>
      <c r="L86" s="172"/>
    </row>
    <row r="87" spans="1:12" x14ac:dyDescent="0.25">
      <c r="A87" s="38">
        <f>Données!A87</f>
        <v>5540</v>
      </c>
      <c r="B87" s="128" t="str">
        <f>Données!B87</f>
        <v>Montilliez</v>
      </c>
      <c r="C87" s="266">
        <f>VPI!R87</f>
        <v>73930.013586206886</v>
      </c>
      <c r="D87" s="148">
        <f>(PCS!I93-PCS!F93)/C87</f>
        <v>11.468526634702149</v>
      </c>
      <c r="E87" s="381">
        <f>'Péréquation directe'!E93/C87</f>
        <v>-6.2151567060449748</v>
      </c>
      <c r="F87" s="148">
        <f>'Péréquation directe'!F93/Effort!C87</f>
        <v>-5.6071501873947627</v>
      </c>
      <c r="G87" s="148">
        <f>'Péréquation directe'!G93/Effort!C87</f>
        <v>0</v>
      </c>
      <c r="H87" s="148">
        <f>'Péréquation directe'!J93/Effort!C87</f>
        <v>19.307090066389922</v>
      </c>
      <c r="I87" s="279">
        <f t="shared" si="3"/>
        <v>18.953309807652332</v>
      </c>
      <c r="J87" s="159">
        <f t="shared" si="4"/>
        <v>0</v>
      </c>
      <c r="K87" s="42">
        <f t="shared" si="5"/>
        <v>0</v>
      </c>
      <c r="L87" s="172"/>
    </row>
    <row r="88" spans="1:12" x14ac:dyDescent="0.25">
      <c r="A88" s="38">
        <f>Données!A88</f>
        <v>5541</v>
      </c>
      <c r="B88" s="128" t="str">
        <f>Données!B88</f>
        <v>Goumoëns</v>
      </c>
      <c r="C88" s="266">
        <f>VPI!R88</f>
        <v>42494.398410596026</v>
      </c>
      <c r="D88" s="148">
        <f>(PCS!I94-PCS!F94)/C88</f>
        <v>11.468526634702149</v>
      </c>
      <c r="E88" s="381">
        <f>'Péréquation directe'!E94/C88</f>
        <v>-4.918759321881347</v>
      </c>
      <c r="F88" s="148">
        <f>'Péréquation directe'!F94/Effort!C88</f>
        <v>-9.3491935139055204</v>
      </c>
      <c r="G88" s="148">
        <f>'Péréquation directe'!G94/Effort!C88</f>
        <v>0</v>
      </c>
      <c r="H88" s="148">
        <f>'Péréquation directe'!J94/Effort!C88</f>
        <v>19.307090066389922</v>
      </c>
      <c r="I88" s="279">
        <f t="shared" si="3"/>
        <v>16.507663865305204</v>
      </c>
      <c r="J88" s="159">
        <f t="shared" si="4"/>
        <v>0</v>
      </c>
      <c r="K88" s="42">
        <f t="shared" si="5"/>
        <v>0</v>
      </c>
      <c r="L88" s="172"/>
    </row>
    <row r="89" spans="1:12" x14ac:dyDescent="0.25">
      <c r="A89" s="38">
        <f>Données!A89</f>
        <v>5551</v>
      </c>
      <c r="B89" s="128" t="str">
        <f>Données!B89</f>
        <v>Bonvillars</v>
      </c>
      <c r="C89" s="266">
        <f>VPI!R89</f>
        <v>18997.947192982458</v>
      </c>
      <c r="D89" s="148">
        <f>(PCS!I95-PCS!F95)/C89</f>
        <v>11.468526634702149</v>
      </c>
      <c r="E89" s="381">
        <f>'Péréquation directe'!E95/C89</f>
        <v>-3.6315079983264109</v>
      </c>
      <c r="F89" s="148">
        <f>'Péréquation directe'!F95/Effort!C89</f>
        <v>-4.793405521878209</v>
      </c>
      <c r="G89" s="148">
        <f>'Péréquation directe'!G95/Effort!C89</f>
        <v>0</v>
      </c>
      <c r="H89" s="148">
        <f>'Péréquation directe'!J95/Effort!C89</f>
        <v>19.307090066389922</v>
      </c>
      <c r="I89" s="279">
        <f t="shared" si="3"/>
        <v>22.35070318088745</v>
      </c>
      <c r="J89" s="159">
        <f t="shared" si="4"/>
        <v>0</v>
      </c>
      <c r="K89" s="42">
        <f t="shared" si="5"/>
        <v>0</v>
      </c>
      <c r="L89" s="172"/>
    </row>
    <row r="90" spans="1:12" x14ac:dyDescent="0.25">
      <c r="A90" s="38">
        <f>Données!A90</f>
        <v>5552</v>
      </c>
      <c r="B90" s="128" t="str">
        <f>Données!B90</f>
        <v>Bullet</v>
      </c>
      <c r="C90" s="266">
        <f>VPI!R90</f>
        <v>20424.764857142854</v>
      </c>
      <c r="D90" s="148">
        <f>(PCS!I96-PCS!F96)/C90</f>
        <v>11.468526634702151</v>
      </c>
      <c r="E90" s="381">
        <f>'Péréquation directe'!E96/C90</f>
        <v>-4.3346560709585678</v>
      </c>
      <c r="F90" s="148">
        <f>'Péréquation directe'!F96/Effort!C90</f>
        <v>-12.418304710798591</v>
      </c>
      <c r="G90" s="148">
        <f>'Péréquation directe'!G96/Effort!C90</f>
        <v>0</v>
      </c>
      <c r="H90" s="148">
        <f>'Péréquation directe'!J96/Effort!C90</f>
        <v>19.307090066389922</v>
      </c>
      <c r="I90" s="279">
        <f t="shared" si="3"/>
        <v>14.022655919334914</v>
      </c>
      <c r="J90" s="159">
        <f t="shared" si="4"/>
        <v>0</v>
      </c>
      <c r="K90" s="42">
        <f t="shared" si="5"/>
        <v>0</v>
      </c>
      <c r="L90" s="172"/>
    </row>
    <row r="91" spans="1:12" x14ac:dyDescent="0.25">
      <c r="A91" s="38">
        <f>Données!A91</f>
        <v>5553</v>
      </c>
      <c r="B91" s="128" t="str">
        <f>Données!B91</f>
        <v>Champagne</v>
      </c>
      <c r="C91" s="266">
        <f>VPI!R91</f>
        <v>36175.512923076931</v>
      </c>
      <c r="D91" s="148">
        <f>(PCS!I97-PCS!F97)/C91</f>
        <v>11.468526634702149</v>
      </c>
      <c r="E91" s="381">
        <f>'Péréquation directe'!E97/C91</f>
        <v>-4.3465029000509885</v>
      </c>
      <c r="F91" s="148">
        <f>'Péréquation directe'!F97/Effort!C91</f>
        <v>-7.8345116859953983</v>
      </c>
      <c r="G91" s="148">
        <f>'Péréquation directe'!G97/Effort!C91</f>
        <v>0</v>
      </c>
      <c r="H91" s="148">
        <f>'Péréquation directe'!J97/Effort!C91</f>
        <v>19.307090066389922</v>
      </c>
      <c r="I91" s="279">
        <f t="shared" si="3"/>
        <v>18.594602115045685</v>
      </c>
      <c r="J91" s="159">
        <f t="shared" si="4"/>
        <v>0</v>
      </c>
      <c r="K91" s="42">
        <f t="shared" si="5"/>
        <v>0</v>
      </c>
      <c r="L91" s="172"/>
    </row>
    <row r="92" spans="1:12" x14ac:dyDescent="0.25">
      <c r="A92" s="38">
        <f>Données!A92</f>
        <v>5554</v>
      </c>
      <c r="B92" s="128" t="str">
        <f>Données!B92</f>
        <v>Concise</v>
      </c>
      <c r="C92" s="266">
        <f>VPI!R92</f>
        <v>34308.622777777782</v>
      </c>
      <c r="D92" s="148">
        <f>(PCS!I98-PCS!F98)/C92</f>
        <v>11.468526634702146</v>
      </c>
      <c r="E92" s="381">
        <f>'Péréquation directe'!E98/C92</f>
        <v>-4.0585001093650286</v>
      </c>
      <c r="F92" s="148">
        <f>'Péréquation directe'!F98/Effort!C92</f>
        <v>-9.7999707235310769</v>
      </c>
      <c r="G92" s="148">
        <f>'Péréquation directe'!G98/Effort!C92</f>
        <v>0</v>
      </c>
      <c r="H92" s="148">
        <f>'Péréquation directe'!J98/Effort!C92</f>
        <v>19.307090066389922</v>
      </c>
      <c r="I92" s="279">
        <f t="shared" si="3"/>
        <v>16.917145868195963</v>
      </c>
      <c r="J92" s="159">
        <f t="shared" si="4"/>
        <v>0</v>
      </c>
      <c r="K92" s="42">
        <f t="shared" si="5"/>
        <v>0</v>
      </c>
      <c r="L92" s="172"/>
    </row>
    <row r="93" spans="1:12" x14ac:dyDescent="0.25">
      <c r="A93" s="38">
        <f>Données!A93</f>
        <v>5555</v>
      </c>
      <c r="B93" s="128" t="str">
        <f>Données!B93</f>
        <v>Corcelles-près-Concise</v>
      </c>
      <c r="C93" s="266">
        <f>VPI!R93</f>
        <v>13639.969855072464</v>
      </c>
      <c r="D93" s="148">
        <f>(PCS!I99-PCS!F99)/C93</f>
        <v>11.468526634702148</v>
      </c>
      <c r="E93" s="381">
        <f>'Péréquation directe'!E99/C93</f>
        <v>-4.0868006762814693</v>
      </c>
      <c r="F93" s="148">
        <f>'Péréquation directe'!F99/Effort!C93</f>
        <v>-10.288791895151897</v>
      </c>
      <c r="G93" s="148">
        <f>'Péréquation directe'!G99/Effort!C93</f>
        <v>0</v>
      </c>
      <c r="H93" s="148">
        <f>'Péréquation directe'!J99/Effort!C93</f>
        <v>19.307090066389922</v>
      </c>
      <c r="I93" s="279">
        <f t="shared" si="3"/>
        <v>16.400024129658703</v>
      </c>
      <c r="J93" s="159">
        <f t="shared" si="4"/>
        <v>0</v>
      </c>
      <c r="K93" s="42">
        <f t="shared" si="5"/>
        <v>0</v>
      </c>
      <c r="L93" s="172"/>
    </row>
    <row r="94" spans="1:12" x14ac:dyDescent="0.25">
      <c r="A94" s="38">
        <f>Données!A94</f>
        <v>5556</v>
      </c>
      <c r="B94" s="128" t="str">
        <f>Données!B94</f>
        <v>Fiez</v>
      </c>
      <c r="C94" s="266">
        <f>VPI!R94</f>
        <v>12931.397729468599</v>
      </c>
      <c r="D94" s="148">
        <f>(PCS!I100-PCS!F100)/C94</f>
        <v>11.468526634702149</v>
      </c>
      <c r="E94" s="381">
        <f>'Péréquation directe'!E100/C94</f>
        <v>-4.4223076974881561</v>
      </c>
      <c r="F94" s="148">
        <f>'Péréquation directe'!F100/Effort!C94</f>
        <v>-12.694533281715923</v>
      </c>
      <c r="G94" s="148">
        <f>'Péréquation directe'!G100/Effort!C94</f>
        <v>0</v>
      </c>
      <c r="H94" s="148">
        <f>'Péréquation directe'!J100/Effort!C94</f>
        <v>19.307090066389922</v>
      </c>
      <c r="I94" s="279">
        <f t="shared" si="3"/>
        <v>13.658775721887991</v>
      </c>
      <c r="J94" s="159">
        <f t="shared" si="4"/>
        <v>0</v>
      </c>
      <c r="K94" s="42">
        <f t="shared" si="5"/>
        <v>0</v>
      </c>
      <c r="L94" s="172"/>
    </row>
    <row r="95" spans="1:12" x14ac:dyDescent="0.25">
      <c r="A95" s="38">
        <f>Données!A95</f>
        <v>5557</v>
      </c>
      <c r="B95" s="128" t="str">
        <f>Données!B95</f>
        <v>Fontaines-sur-Grandson</v>
      </c>
      <c r="C95" s="266">
        <f>VPI!R95</f>
        <v>4700.3647826086954</v>
      </c>
      <c r="D95" s="148">
        <f>(PCS!I101-PCS!F101)/C95</f>
        <v>11.468526634702149</v>
      </c>
      <c r="E95" s="381">
        <f>'Péréquation directe'!E101/C95</f>
        <v>-5.5530227123946858</v>
      </c>
      <c r="F95" s="148">
        <f>'Péréquation directe'!F101/Effort!C95</f>
        <v>-20.802285834811499</v>
      </c>
      <c r="G95" s="148">
        <f>'Péréquation directe'!G101/Effort!C95</f>
        <v>0</v>
      </c>
      <c r="H95" s="148">
        <f>'Péréquation directe'!J101/Effort!C95</f>
        <v>19.307090066389922</v>
      </c>
      <c r="I95" s="279">
        <f t="shared" si="3"/>
        <v>4.4203081538858857</v>
      </c>
      <c r="J95" s="159">
        <f t="shared" si="4"/>
        <v>0</v>
      </c>
      <c r="K95" s="42">
        <f t="shared" si="5"/>
        <v>0</v>
      </c>
      <c r="L95" s="172"/>
    </row>
    <row r="96" spans="1:12" x14ac:dyDescent="0.25">
      <c r="A96" s="38">
        <f>Données!A96</f>
        <v>5559</v>
      </c>
      <c r="B96" s="128" t="str">
        <f>Données!B96</f>
        <v>Giez</v>
      </c>
      <c r="C96" s="266">
        <f>VPI!R96</f>
        <v>19760.849242424243</v>
      </c>
      <c r="D96" s="148">
        <f>(PCS!I102-PCS!F102)/C96</f>
        <v>11.468526634702148</v>
      </c>
      <c r="E96" s="381">
        <f>'Péréquation directe'!E102/C96</f>
        <v>-3.0465970531860012</v>
      </c>
      <c r="F96" s="148">
        <f>'Péréquation directe'!F102/Effort!C96</f>
        <v>-2.5893067849330849</v>
      </c>
      <c r="G96" s="148">
        <f>'Péréquation directe'!G102/Effort!C96</f>
        <v>0</v>
      </c>
      <c r="H96" s="148">
        <f>'Péréquation directe'!J102/Effort!C96</f>
        <v>19.307090066389922</v>
      </c>
      <c r="I96" s="279">
        <f t="shared" si="3"/>
        <v>25.139712862972985</v>
      </c>
      <c r="J96" s="159">
        <f t="shared" si="4"/>
        <v>0</v>
      </c>
      <c r="K96" s="42">
        <f t="shared" si="5"/>
        <v>0</v>
      </c>
      <c r="L96" s="172"/>
    </row>
    <row r="97" spans="1:12" x14ac:dyDescent="0.25">
      <c r="A97" s="38">
        <f>Données!A97</f>
        <v>5560</v>
      </c>
      <c r="B97" s="128" t="str">
        <f>Données!B97</f>
        <v>Grandevent</v>
      </c>
      <c r="C97" s="266">
        <f>VPI!R97</f>
        <v>8048.598285714289</v>
      </c>
      <c r="D97" s="148">
        <f>(PCS!I103-PCS!F103)/C97</f>
        <v>11.468526634702149</v>
      </c>
      <c r="E97" s="381">
        <f>'Péréquation directe'!E103/C97</f>
        <v>-3.8622113094050294</v>
      </c>
      <c r="F97" s="148">
        <f>'Péréquation directe'!F103/Effort!C97</f>
        <v>-8.9317517795018819</v>
      </c>
      <c r="G97" s="148">
        <f>'Péréquation directe'!G103/Effort!C97</f>
        <v>0</v>
      </c>
      <c r="H97" s="148">
        <f>'Péréquation directe'!J103/Effort!C97</f>
        <v>19.307090066389922</v>
      </c>
      <c r="I97" s="279">
        <f t="shared" si="3"/>
        <v>17.981653612185159</v>
      </c>
      <c r="J97" s="159">
        <f t="shared" si="4"/>
        <v>0</v>
      </c>
      <c r="K97" s="42">
        <f t="shared" si="5"/>
        <v>0</v>
      </c>
      <c r="L97" s="172"/>
    </row>
    <row r="98" spans="1:12" x14ac:dyDescent="0.25">
      <c r="A98" s="38">
        <f>Données!A98</f>
        <v>5561</v>
      </c>
      <c r="B98" s="128" t="str">
        <f>Données!B98</f>
        <v>Grandson</v>
      </c>
      <c r="C98" s="266">
        <f>VPI!R98</f>
        <v>179345.48057971016</v>
      </c>
      <c r="D98" s="148">
        <f>(PCS!I104-PCS!F104)/C98</f>
        <v>12.382358058082801</v>
      </c>
      <c r="E98" s="381">
        <f>'Péréquation directe'!E104/C98</f>
        <v>-5.9560078968189822</v>
      </c>
      <c r="F98" s="148">
        <f>'Péréquation directe'!F104/Effort!C98</f>
        <v>0</v>
      </c>
      <c r="G98" s="148">
        <f>'Péréquation directe'!G104/Effort!C98</f>
        <v>0</v>
      </c>
      <c r="H98" s="148">
        <f>'Péréquation directe'!J104/Effort!C98</f>
        <v>19.307090066389922</v>
      </c>
      <c r="I98" s="279">
        <f t="shared" si="3"/>
        <v>25.733440227653741</v>
      </c>
      <c r="J98" s="159">
        <f t="shared" si="4"/>
        <v>0</v>
      </c>
      <c r="K98" s="42">
        <f t="shared" si="5"/>
        <v>0</v>
      </c>
      <c r="L98" s="172"/>
    </row>
    <row r="99" spans="1:12" x14ac:dyDescent="0.25">
      <c r="A99" s="38">
        <f>Données!A99</f>
        <v>5562</v>
      </c>
      <c r="B99" s="128" t="str">
        <f>Données!B99</f>
        <v>Mauborget</v>
      </c>
      <c r="C99" s="266">
        <f>VPI!R99</f>
        <v>4951.6888333333327</v>
      </c>
      <c r="D99" s="148">
        <f>(PCS!I105-PCS!F105)/C99</f>
        <v>11.468526634702149</v>
      </c>
      <c r="E99" s="381">
        <f>'Péréquation directe'!E105/C99</f>
        <v>-3.5494363270643277</v>
      </c>
      <c r="F99" s="148">
        <f>'Péréquation directe'!F105/Effort!C99</f>
        <v>-6.6235316016966728</v>
      </c>
      <c r="G99" s="148">
        <f>'Péréquation directe'!G105/Effort!C99</f>
        <v>0</v>
      </c>
      <c r="H99" s="148">
        <f>'Péréquation directe'!J105/Effort!C99</f>
        <v>19.307090066389922</v>
      </c>
      <c r="I99" s="279">
        <f t="shared" si="3"/>
        <v>20.602648772331072</v>
      </c>
      <c r="J99" s="159">
        <f t="shared" si="4"/>
        <v>0</v>
      </c>
      <c r="K99" s="42">
        <f t="shared" si="5"/>
        <v>0</v>
      </c>
      <c r="L99" s="172"/>
    </row>
    <row r="100" spans="1:12" x14ac:dyDescent="0.25">
      <c r="A100" s="38">
        <f>Données!A100</f>
        <v>5563</v>
      </c>
      <c r="B100" s="128" t="str">
        <f>Données!B100</f>
        <v>Mutrux</v>
      </c>
      <c r="C100" s="266">
        <f>VPI!R100</f>
        <v>2911.2397499999997</v>
      </c>
      <c r="D100" s="148">
        <f>(PCS!I106-PCS!F106)/C100</f>
        <v>11.468526634702149</v>
      </c>
      <c r="E100" s="381">
        <f>'Péréquation directe'!E106/C100</f>
        <v>-6.5327790043719194</v>
      </c>
      <c r="F100" s="148">
        <f>'Péréquation directe'!F106/Effort!C100</f>
        <v>-37.407393920287092</v>
      </c>
      <c r="G100" s="148">
        <f>'Péréquation directe'!G106/Effort!C100</f>
        <v>0</v>
      </c>
      <c r="H100" s="148">
        <f>'Péréquation directe'!J106/Effort!C100</f>
        <v>19.307090066389922</v>
      </c>
      <c r="I100" s="279">
        <f t="shared" si="3"/>
        <v>-13.164556223566944</v>
      </c>
      <c r="J100" s="159">
        <f t="shared" si="4"/>
        <v>0</v>
      </c>
      <c r="K100" s="42">
        <f t="shared" si="5"/>
        <v>0</v>
      </c>
      <c r="L100" s="172"/>
    </row>
    <row r="101" spans="1:12" x14ac:dyDescent="0.25">
      <c r="A101" s="38">
        <f>Données!A101</f>
        <v>5564</v>
      </c>
      <c r="B101" s="128" t="str">
        <f>Données!B101</f>
        <v>Novalles</v>
      </c>
      <c r="C101" s="266">
        <f>VPI!R101</f>
        <v>2278.1877960526317</v>
      </c>
      <c r="D101" s="148">
        <f>(PCS!I107-PCS!F107)/C101</f>
        <v>11.468526634702149</v>
      </c>
      <c r="E101" s="381">
        <f>'Péréquation directe'!E107/C101</f>
        <v>-5.8724399937271388</v>
      </c>
      <c r="F101" s="148">
        <f>'Péréquation directe'!F107/Effort!C101</f>
        <v>-28.015791389808435</v>
      </c>
      <c r="G101" s="148">
        <f>'Péréquation directe'!G107/Effort!C101</f>
        <v>0</v>
      </c>
      <c r="H101" s="148">
        <f>'Péréquation directe'!J107/Effort!C101</f>
        <v>19.307090066389922</v>
      </c>
      <c r="I101" s="279">
        <f t="shared" si="3"/>
        <v>-3.1126146824435033</v>
      </c>
      <c r="J101" s="159">
        <f t="shared" si="4"/>
        <v>0</v>
      </c>
      <c r="K101" s="42">
        <f t="shared" si="5"/>
        <v>0</v>
      </c>
      <c r="L101" s="172"/>
    </row>
    <row r="102" spans="1:12" x14ac:dyDescent="0.25">
      <c r="A102" s="38">
        <f>Données!A102</f>
        <v>5565</v>
      </c>
      <c r="B102" s="128" t="str">
        <f>Données!B102</f>
        <v>Onnens</v>
      </c>
      <c r="C102" s="266">
        <f>VPI!R102</f>
        <v>21491.927559055119</v>
      </c>
      <c r="D102" s="148">
        <f>(PCS!I108-PCS!F108)/C102</f>
        <v>11.468526634702149</v>
      </c>
      <c r="E102" s="381">
        <f>'Péréquation directe'!E108/C102</f>
        <v>-3.0392184131623172</v>
      </c>
      <c r="F102" s="148">
        <f>'Péréquation directe'!F108/Effort!C102</f>
        <v>-2.3520525329997208</v>
      </c>
      <c r="G102" s="148">
        <f>'Péréquation directe'!G108/Effort!C102</f>
        <v>0</v>
      </c>
      <c r="H102" s="148">
        <f>'Péréquation directe'!J108/Effort!C102</f>
        <v>19.307090066389922</v>
      </c>
      <c r="I102" s="279">
        <f t="shared" si="3"/>
        <v>25.384345754930031</v>
      </c>
      <c r="J102" s="159">
        <f t="shared" si="4"/>
        <v>0</v>
      </c>
      <c r="K102" s="42">
        <f t="shared" si="5"/>
        <v>0</v>
      </c>
      <c r="L102" s="172"/>
    </row>
    <row r="103" spans="1:12" x14ac:dyDescent="0.25">
      <c r="A103" s="38">
        <f>Données!A103</f>
        <v>5566</v>
      </c>
      <c r="B103" s="128" t="str">
        <f>Données!B103</f>
        <v>Provence</v>
      </c>
      <c r="C103" s="266">
        <f>VPI!R103</f>
        <v>9668.921111111109</v>
      </c>
      <c r="D103" s="148">
        <f>(PCS!I109-PCS!F109)/C103</f>
        <v>11.468526634702149</v>
      </c>
      <c r="E103" s="381">
        <f>'Péréquation directe'!E109/C103</f>
        <v>-5.6296062078020235</v>
      </c>
      <c r="F103" s="148">
        <f>'Péréquation directe'!F109/Effort!C103</f>
        <v>-29.423797560489412</v>
      </c>
      <c r="G103" s="148">
        <f>'Péréquation directe'!G109/Effort!C103</f>
        <v>0</v>
      </c>
      <c r="H103" s="148">
        <f>'Péréquation directe'!J109/Effort!C103</f>
        <v>19.307090066389922</v>
      </c>
      <c r="I103" s="279">
        <f t="shared" si="3"/>
        <v>-4.2777870671993661</v>
      </c>
      <c r="J103" s="159">
        <f t="shared" si="4"/>
        <v>0</v>
      </c>
      <c r="K103" s="42">
        <f t="shared" si="5"/>
        <v>0</v>
      </c>
      <c r="L103" s="172"/>
    </row>
    <row r="104" spans="1:12" x14ac:dyDescent="0.25">
      <c r="A104" s="38">
        <f>Données!A104</f>
        <v>5568</v>
      </c>
      <c r="B104" s="128" t="str">
        <f>Données!B104</f>
        <v>Sainte-Croix</v>
      </c>
      <c r="C104" s="266">
        <f>VPI!R104</f>
        <v>108679.35057142857</v>
      </c>
      <c r="D104" s="148">
        <f>(PCS!I110-PCS!F110)/C104</f>
        <v>11.468526634702151</v>
      </c>
      <c r="E104" s="381">
        <f>'Péréquation directe'!E110/C104</f>
        <v>-17.915760714423136</v>
      </c>
      <c r="F104" s="148">
        <f>'Péréquation directe'!F110/Effort!C104</f>
        <v>-25.415996859254737</v>
      </c>
      <c r="G104" s="148">
        <f>'Péréquation directe'!G110/Effort!C104</f>
        <v>0</v>
      </c>
      <c r="H104" s="148">
        <f>'Péréquation directe'!J110/Effort!C104</f>
        <v>19.307090066389922</v>
      </c>
      <c r="I104" s="279">
        <f t="shared" si="3"/>
        <v>-12.5561408725858</v>
      </c>
      <c r="J104" s="159">
        <f t="shared" si="4"/>
        <v>0</v>
      </c>
      <c r="K104" s="42">
        <f t="shared" si="5"/>
        <v>0</v>
      </c>
      <c r="L104" s="172"/>
    </row>
    <row r="105" spans="1:12" x14ac:dyDescent="0.25">
      <c r="A105" s="38">
        <f>Données!A105</f>
        <v>5571</v>
      </c>
      <c r="B105" s="128" t="str">
        <f>Données!B105</f>
        <v>Tévenon</v>
      </c>
      <c r="C105" s="266">
        <f>VPI!R105</f>
        <v>25950.769557109554</v>
      </c>
      <c r="D105" s="148">
        <f>(PCS!I111-PCS!F111)/C105</f>
        <v>11.468526634702151</v>
      </c>
      <c r="E105" s="381">
        <f>'Péréquation directe'!E111/C105</f>
        <v>-4.3719360762740962</v>
      </c>
      <c r="F105" s="148">
        <f>'Péréquation directe'!F111/Effort!C105</f>
        <v>-13.243256597766498</v>
      </c>
      <c r="G105" s="148">
        <f>'Péréquation directe'!G111/Effort!C105</f>
        <v>0</v>
      </c>
      <c r="H105" s="148">
        <f>'Péréquation directe'!J111/Effort!C105</f>
        <v>19.307090066389922</v>
      </c>
      <c r="I105" s="279">
        <f t="shared" si="3"/>
        <v>13.160424027051478</v>
      </c>
      <c r="J105" s="159">
        <f t="shared" si="4"/>
        <v>0</v>
      </c>
      <c r="K105" s="42">
        <f t="shared" si="5"/>
        <v>0</v>
      </c>
      <c r="L105" s="172"/>
    </row>
    <row r="106" spans="1:12" x14ac:dyDescent="0.25">
      <c r="A106" s="38">
        <f>Données!A106</f>
        <v>5581</v>
      </c>
      <c r="B106" s="128" t="str">
        <f>Données!B106</f>
        <v>Belmont-sur-Lausanne</v>
      </c>
      <c r="C106" s="266">
        <f>VPI!R106</f>
        <v>216786.11745370374</v>
      </c>
      <c r="D106" s="148">
        <f>(PCS!I112-PCS!F112)/C106</f>
        <v>13.068874156508144</v>
      </c>
      <c r="E106" s="381">
        <f>'Péréquation directe'!E112/C106</f>
        <v>-6.1616192808657146</v>
      </c>
      <c r="F106" s="148">
        <f>'Péréquation directe'!F112/Effort!C106</f>
        <v>0</v>
      </c>
      <c r="G106" s="148">
        <f>'Péréquation directe'!G112/Effort!C106</f>
        <v>0</v>
      </c>
      <c r="H106" s="148">
        <f>'Péréquation directe'!J112/Effort!C106</f>
        <v>19.307090066389922</v>
      </c>
      <c r="I106" s="279">
        <f t="shared" si="3"/>
        <v>26.214344942032351</v>
      </c>
      <c r="J106" s="159">
        <f t="shared" si="4"/>
        <v>0</v>
      </c>
      <c r="K106" s="42">
        <f t="shared" si="5"/>
        <v>0</v>
      </c>
      <c r="L106" s="172"/>
    </row>
    <row r="107" spans="1:12" x14ac:dyDescent="0.25">
      <c r="A107" s="38">
        <f>Données!A107</f>
        <v>5582</v>
      </c>
      <c r="B107" s="128" t="str">
        <f>Données!B107</f>
        <v>Cheseaux-sur-Lausanne</v>
      </c>
      <c r="C107" s="266">
        <f>VPI!R107</f>
        <v>179452.21630136986</v>
      </c>
      <c r="D107" s="148">
        <f>(PCS!I113-PCS!F113)/C107</f>
        <v>11.468526634702151</v>
      </c>
      <c r="E107" s="381">
        <f>'Péréquation directe'!E113/C107</f>
        <v>-10.209238204439082</v>
      </c>
      <c r="F107" s="148">
        <f>'Péréquation directe'!F113/Effort!C107</f>
        <v>-7.1198854111971777</v>
      </c>
      <c r="G107" s="148">
        <f>'Péréquation directe'!G113/Effort!C107</f>
        <v>0</v>
      </c>
      <c r="H107" s="148">
        <f>'Péréquation directe'!J113/Effort!C107</f>
        <v>19.307090066389922</v>
      </c>
      <c r="I107" s="279">
        <f t="shared" si="3"/>
        <v>13.446493085455813</v>
      </c>
      <c r="J107" s="159">
        <f t="shared" si="4"/>
        <v>0</v>
      </c>
      <c r="K107" s="42">
        <f t="shared" si="5"/>
        <v>0</v>
      </c>
      <c r="L107" s="172"/>
    </row>
    <row r="108" spans="1:12" x14ac:dyDescent="0.25">
      <c r="A108" s="38">
        <f>Données!A108</f>
        <v>5583</v>
      </c>
      <c r="B108" s="128" t="str">
        <f>Données!B108</f>
        <v>Crissier</v>
      </c>
      <c r="C108" s="266">
        <f>VPI!R108</f>
        <v>371804.01181102369</v>
      </c>
      <c r="D108" s="148">
        <f>(PCS!I114-PCS!F114)/C108</f>
        <v>11.468526634702151</v>
      </c>
      <c r="E108" s="381">
        <f>'Péréquation directe'!E114/C108</f>
        <v>-12.708110344038555</v>
      </c>
      <c r="F108" s="148">
        <f>'Péréquation directe'!F114/Effort!C108</f>
        <v>-3.876863399964082</v>
      </c>
      <c r="G108" s="148">
        <f>'Péréquation directe'!G114/Effort!C108</f>
        <v>0</v>
      </c>
      <c r="H108" s="148">
        <f>'Péréquation directe'!J114/Effort!C108</f>
        <v>19.307090066389922</v>
      </c>
      <c r="I108" s="279">
        <f t="shared" si="3"/>
        <v>14.190642957089436</v>
      </c>
      <c r="J108" s="159">
        <f t="shared" si="4"/>
        <v>0</v>
      </c>
      <c r="K108" s="42">
        <f t="shared" si="5"/>
        <v>0</v>
      </c>
      <c r="L108" s="172"/>
    </row>
    <row r="109" spans="1:12" x14ac:dyDescent="0.25">
      <c r="A109" s="38">
        <f>Données!A109</f>
        <v>5584</v>
      </c>
      <c r="B109" s="128" t="str">
        <f>Données!B109</f>
        <v>Epalinges</v>
      </c>
      <c r="C109" s="266">
        <f>VPI!R109</f>
        <v>516751.95968992251</v>
      </c>
      <c r="D109" s="148">
        <f>(PCS!I115-PCS!F115)/C109</f>
        <v>12.132809231483865</v>
      </c>
      <c r="E109" s="381">
        <f>'Péréquation directe'!E115/C109</f>
        <v>-10.149753341476778</v>
      </c>
      <c r="F109" s="148">
        <f>'Péréquation directe'!F115/Effort!C109</f>
        <v>0</v>
      </c>
      <c r="G109" s="148">
        <f>'Péréquation directe'!G115/Effort!C109</f>
        <v>0</v>
      </c>
      <c r="H109" s="148">
        <f>'Péréquation directe'!J115/Effort!C109</f>
        <v>19.307090066389922</v>
      </c>
      <c r="I109" s="279">
        <f t="shared" si="3"/>
        <v>21.290145956397009</v>
      </c>
      <c r="J109" s="159">
        <f t="shared" si="4"/>
        <v>0</v>
      </c>
      <c r="K109" s="42">
        <f t="shared" si="5"/>
        <v>0</v>
      </c>
      <c r="L109" s="172"/>
    </row>
    <row r="110" spans="1:12" x14ac:dyDescent="0.25">
      <c r="A110" s="38">
        <f>Données!A110</f>
        <v>5585</v>
      </c>
      <c r="B110" s="128" t="str">
        <f>Données!B110</f>
        <v>Jouxtens-Mézery</v>
      </c>
      <c r="C110" s="266">
        <f>VPI!R110</f>
        <v>251674.37118644069</v>
      </c>
      <c r="D110" s="148">
        <f>(PCS!I116-PCS!F116)/C110</f>
        <v>30.076900083868274</v>
      </c>
      <c r="E110" s="381">
        <f>'Péréquation directe'!E116/C110</f>
        <v>-1.2405631780249384</v>
      </c>
      <c r="F110" s="148">
        <f>'Péréquation directe'!F116/Effort!C110</f>
        <v>0</v>
      </c>
      <c r="G110" s="148">
        <f>'Péréquation directe'!G116/Effort!C110</f>
        <v>0</v>
      </c>
      <c r="H110" s="148">
        <f>'Péréquation directe'!J116/Effort!C110</f>
        <v>19.307090066389922</v>
      </c>
      <c r="I110" s="279">
        <f t="shared" si="3"/>
        <v>48.143426972233257</v>
      </c>
      <c r="J110" s="159">
        <f t="shared" si="4"/>
        <v>0.14342697223325729</v>
      </c>
      <c r="K110" s="42">
        <f t="shared" si="5"/>
        <v>-36096.89304798012</v>
      </c>
      <c r="L110" s="172"/>
    </row>
    <row r="111" spans="1:12" x14ac:dyDescent="0.25">
      <c r="A111" s="38">
        <f>Données!A111</f>
        <v>5586</v>
      </c>
      <c r="B111" s="128" t="str">
        <f>Données!B111</f>
        <v>Lausanne</v>
      </c>
      <c r="C111" s="266">
        <f>VPI!R111</f>
        <v>6915333.6485774955</v>
      </c>
      <c r="D111" s="148">
        <f>(PCS!I117-PCS!F117)/C111</f>
        <v>11.468526634702149</v>
      </c>
      <c r="E111" s="381">
        <f>'Péréquation directe'!E117/C111</f>
        <v>-22.093817774114452</v>
      </c>
      <c r="F111" s="148">
        <f>'Péréquation directe'!F117/Effort!C111</f>
        <v>-0.80029737635975373</v>
      </c>
      <c r="G111" s="148">
        <f>'Péréquation directe'!G117/Effort!C111</f>
        <v>0</v>
      </c>
      <c r="H111" s="148">
        <f>'Péréquation directe'!J117/Effort!C111</f>
        <v>19.307090066389922</v>
      </c>
      <c r="I111" s="279">
        <f t="shared" si="3"/>
        <v>7.8815015506178643</v>
      </c>
      <c r="J111" s="159">
        <f t="shared" si="4"/>
        <v>0</v>
      </c>
      <c r="K111" s="42">
        <f t="shared" si="5"/>
        <v>0</v>
      </c>
      <c r="L111" s="172"/>
    </row>
    <row r="112" spans="1:12" x14ac:dyDescent="0.25">
      <c r="A112" s="38">
        <f>Données!A112</f>
        <v>5587</v>
      </c>
      <c r="B112" s="128" t="str">
        <f>Données!B112</f>
        <v>Le Mont-sur-Lausanne</v>
      </c>
      <c r="C112" s="266">
        <f>VPI!R112</f>
        <v>490592.89707482996</v>
      </c>
      <c r="D112" s="148">
        <f>(PCS!I118-PCS!F118)/C112</f>
        <v>12.424582675559739</v>
      </c>
      <c r="E112" s="381">
        <f>'Péréquation directe'!E118/C112</f>
        <v>-9.5346990584116327</v>
      </c>
      <c r="F112" s="148">
        <f>'Péréquation directe'!F118/Effort!C112</f>
        <v>0</v>
      </c>
      <c r="G112" s="148">
        <f>'Péréquation directe'!G118/Effort!C112</f>
        <v>0</v>
      </c>
      <c r="H112" s="148">
        <f>'Péréquation directe'!J118/Effort!C112</f>
        <v>19.307090066389922</v>
      </c>
      <c r="I112" s="279">
        <f t="shared" si="3"/>
        <v>22.196973683538026</v>
      </c>
      <c r="J112" s="159">
        <f t="shared" si="4"/>
        <v>0</v>
      </c>
      <c r="K112" s="42">
        <f t="shared" si="5"/>
        <v>0</v>
      </c>
      <c r="L112" s="172"/>
    </row>
    <row r="113" spans="1:12" x14ac:dyDescent="0.25">
      <c r="A113" s="38">
        <f>Données!A113</f>
        <v>5588</v>
      </c>
      <c r="B113" s="128" t="str">
        <f>Données!B113</f>
        <v>Paudex</v>
      </c>
      <c r="C113" s="266">
        <f>VPI!R113</f>
        <v>123433.64683136411</v>
      </c>
      <c r="D113" s="148">
        <f>(PCS!I119-PCS!F119)/C113</f>
        <v>18.807009836185031</v>
      </c>
      <c r="E113" s="381">
        <f>'Péréquation directe'!E119/C113</f>
        <v>-2.6633286355568497</v>
      </c>
      <c r="F113" s="148">
        <f>'Péréquation directe'!F119/Effort!C113</f>
        <v>0</v>
      </c>
      <c r="G113" s="148">
        <f>'Péréquation directe'!G119/Effort!C113</f>
        <v>0</v>
      </c>
      <c r="H113" s="148">
        <f>'Péréquation directe'!J119/Effort!C113</f>
        <v>19.307090066389922</v>
      </c>
      <c r="I113" s="279">
        <f t="shared" si="3"/>
        <v>35.450771267018098</v>
      </c>
      <c r="J113" s="159">
        <f t="shared" si="4"/>
        <v>0</v>
      </c>
      <c r="K113" s="42">
        <f t="shared" si="5"/>
        <v>0</v>
      </c>
      <c r="L113" s="172"/>
    </row>
    <row r="114" spans="1:12" x14ac:dyDescent="0.25">
      <c r="A114" s="38">
        <f>Données!A114</f>
        <v>5589</v>
      </c>
      <c r="B114" s="128" t="str">
        <f>Données!B114</f>
        <v>Prilly</v>
      </c>
      <c r="C114" s="266">
        <f>VPI!R114</f>
        <v>450278.56075331569</v>
      </c>
      <c r="D114" s="148">
        <f>(PCS!I120-PCS!F120)/C114</f>
        <v>11.468526634702149</v>
      </c>
      <c r="E114" s="381">
        <f>'Péréquation directe'!E120/C114</f>
        <v>-16.810970759180471</v>
      </c>
      <c r="F114" s="148">
        <f>'Péréquation directe'!F120/Effort!C114</f>
        <v>-7.6903382103621007</v>
      </c>
      <c r="G114" s="148">
        <f>'Péréquation directe'!G120/Effort!C114</f>
        <v>0</v>
      </c>
      <c r="H114" s="148">
        <f>'Péréquation directe'!J120/Effort!C114</f>
        <v>19.307090066389922</v>
      </c>
      <c r="I114" s="279">
        <f t="shared" si="3"/>
        <v>6.2743077315494986</v>
      </c>
      <c r="J114" s="159">
        <f t="shared" si="4"/>
        <v>0</v>
      </c>
      <c r="K114" s="42">
        <f t="shared" si="5"/>
        <v>0</v>
      </c>
      <c r="L114" s="172"/>
    </row>
    <row r="115" spans="1:12" x14ac:dyDescent="0.25">
      <c r="A115" s="38">
        <f>Données!A115</f>
        <v>5590</v>
      </c>
      <c r="B115" s="128" t="str">
        <f>Données!B115</f>
        <v>Pully</v>
      </c>
      <c r="C115" s="266">
        <f>VPI!R115</f>
        <v>1605465.5341920371</v>
      </c>
      <c r="D115" s="148">
        <f>(PCS!I121-PCS!F121)/C115</f>
        <v>18.823910933344717</v>
      </c>
      <c r="E115" s="381">
        <f>'Péréquation directe'!E121/C115</f>
        <v>-9.3382466202468208</v>
      </c>
      <c r="F115" s="148">
        <f>'Péréquation directe'!F121/Effort!C115</f>
        <v>0</v>
      </c>
      <c r="G115" s="148">
        <f>'Péréquation directe'!G121/Effort!C115</f>
        <v>0</v>
      </c>
      <c r="H115" s="148">
        <f>'Péréquation directe'!J121/Effort!C115</f>
        <v>19.307090066389922</v>
      </c>
      <c r="I115" s="279">
        <f t="shared" si="3"/>
        <v>28.792754379487818</v>
      </c>
      <c r="J115" s="159">
        <f t="shared" si="4"/>
        <v>0</v>
      </c>
      <c r="K115" s="42">
        <f t="shared" si="5"/>
        <v>0</v>
      </c>
      <c r="L115" s="172"/>
    </row>
    <row r="116" spans="1:12" x14ac:dyDescent="0.25">
      <c r="A116" s="38">
        <f>Données!A116</f>
        <v>5591</v>
      </c>
      <c r="B116" s="128" t="str">
        <f>Données!B116</f>
        <v>Renens</v>
      </c>
      <c r="C116" s="266">
        <f>VPI!R116</f>
        <v>640589.63196660485</v>
      </c>
      <c r="D116" s="148">
        <f>(PCS!I122-PCS!F122)/C116</f>
        <v>11.468526634702149</v>
      </c>
      <c r="E116" s="381">
        <f>'Péréquation directe'!E122/C116</f>
        <v>-27.132580879651353</v>
      </c>
      <c r="F116" s="148">
        <f>'Péréquation directe'!F122/Effort!C116</f>
        <v>-15.566826528853291</v>
      </c>
      <c r="G116" s="148">
        <f>'Péréquation directe'!G122/Effort!C116</f>
        <v>0</v>
      </c>
      <c r="H116" s="148">
        <f>'Péréquation directe'!J122/Effort!C116</f>
        <v>19.307090066389922</v>
      </c>
      <c r="I116" s="279">
        <f t="shared" si="3"/>
        <v>-11.923790707412575</v>
      </c>
      <c r="J116" s="159">
        <f t="shared" si="4"/>
        <v>0</v>
      </c>
      <c r="K116" s="42">
        <f t="shared" si="5"/>
        <v>0</v>
      </c>
      <c r="L116" s="172"/>
    </row>
    <row r="117" spans="1:12" x14ac:dyDescent="0.25">
      <c r="A117" s="38">
        <f>Données!A117</f>
        <v>5592</v>
      </c>
      <c r="B117" s="128" t="str">
        <f>Données!B117</f>
        <v>Romanel-sur-Lausanne</v>
      </c>
      <c r="C117" s="266">
        <f>VPI!R117</f>
        <v>135992.91645390069</v>
      </c>
      <c r="D117" s="148">
        <f>(PCS!I123-PCS!F123)/C117</f>
        <v>11.468526634702149</v>
      </c>
      <c r="E117" s="381">
        <f>'Péréquation directe'!E123/C117</f>
        <v>-10.1925876321634</v>
      </c>
      <c r="F117" s="148">
        <f>'Péréquation directe'!F123/Effort!C117</f>
        <v>-8.9698184146614803</v>
      </c>
      <c r="G117" s="148">
        <f>'Péréquation directe'!G123/Effort!C117</f>
        <v>0</v>
      </c>
      <c r="H117" s="148">
        <f>'Péréquation directe'!J123/Effort!C117</f>
        <v>19.307090066389922</v>
      </c>
      <c r="I117" s="279">
        <f t="shared" si="3"/>
        <v>11.61321065426719</v>
      </c>
      <c r="J117" s="159">
        <f t="shared" si="4"/>
        <v>0</v>
      </c>
      <c r="K117" s="42">
        <f t="shared" si="5"/>
        <v>0</v>
      </c>
      <c r="L117" s="172"/>
    </row>
    <row r="118" spans="1:12" x14ac:dyDescent="0.25">
      <c r="A118" s="38">
        <f>Données!A118</f>
        <v>5601</v>
      </c>
      <c r="B118" s="128" t="str">
        <f>Données!B118</f>
        <v>Chexbres</v>
      </c>
      <c r="C118" s="266">
        <f>VPI!R118</f>
        <v>102021.70311111111</v>
      </c>
      <c r="D118" s="148">
        <f>(PCS!I124-PCS!F124)/C118</f>
        <v>11.468526634702149</v>
      </c>
      <c r="E118" s="381">
        <f>'Péréquation directe'!E124/C118</f>
        <v>-5.7133314289224</v>
      </c>
      <c r="F118" s="148">
        <f>'Péréquation directe'!F124/Effort!C118</f>
        <v>-1.4755900302099823</v>
      </c>
      <c r="G118" s="148">
        <f>'Péréquation directe'!G124/Effort!C118</f>
        <v>0</v>
      </c>
      <c r="H118" s="148">
        <f>'Péréquation directe'!J124/Effort!C118</f>
        <v>19.307090066389922</v>
      </c>
      <c r="I118" s="279">
        <f t="shared" si="3"/>
        <v>23.586695241959688</v>
      </c>
      <c r="J118" s="159">
        <f t="shared" si="4"/>
        <v>0</v>
      </c>
      <c r="K118" s="42">
        <f t="shared" si="5"/>
        <v>0</v>
      </c>
      <c r="L118" s="172"/>
    </row>
    <row r="119" spans="1:12" x14ac:dyDescent="0.25">
      <c r="A119" s="38">
        <f>Données!A119</f>
        <v>5604</v>
      </c>
      <c r="B119" s="128" t="str">
        <f>Données!B119</f>
        <v>Forel (Lavaux)</v>
      </c>
      <c r="C119" s="266">
        <f>VPI!R119</f>
        <v>75702.239275362328</v>
      </c>
      <c r="D119" s="148">
        <f>(PCS!I125-PCS!F125)/C119</f>
        <v>11.468526634702149</v>
      </c>
      <c r="E119" s="381">
        <f>'Péréquation directe'!E125/C119</f>
        <v>-6.9137813808990671</v>
      </c>
      <c r="F119" s="148">
        <f>'Péréquation directe'!F125/Effort!C119</f>
        <v>-6.6764804835210763</v>
      </c>
      <c r="G119" s="148">
        <f>'Péréquation directe'!G125/Effort!C119</f>
        <v>0</v>
      </c>
      <c r="H119" s="148">
        <f>'Péréquation directe'!J125/Effort!C119</f>
        <v>19.307090066389922</v>
      </c>
      <c r="I119" s="279">
        <f t="shared" si="3"/>
        <v>17.185354836671927</v>
      </c>
      <c r="J119" s="159">
        <f t="shared" si="4"/>
        <v>0</v>
      </c>
      <c r="K119" s="42">
        <f t="shared" si="5"/>
        <v>0</v>
      </c>
      <c r="L119" s="172"/>
    </row>
    <row r="120" spans="1:12" x14ac:dyDescent="0.25">
      <c r="A120" s="38">
        <f>Données!A120</f>
        <v>5606</v>
      </c>
      <c r="B120" s="128" t="str">
        <f>Données!B120</f>
        <v>Lutry</v>
      </c>
      <c r="C120" s="266">
        <f>VPI!R120</f>
        <v>997292.15626984113</v>
      </c>
      <c r="D120" s="148">
        <f>(PCS!I126-PCS!F126)/C120</f>
        <v>19.479752009441061</v>
      </c>
      <c r="E120" s="381">
        <f>'Péréquation directe'!E126/C120</f>
        <v>-6.0515161374956605</v>
      </c>
      <c r="F120" s="148">
        <f>'Péréquation directe'!F126/Effort!C120</f>
        <v>0</v>
      </c>
      <c r="G120" s="148">
        <f>'Péréquation directe'!G126/Effort!C120</f>
        <v>0</v>
      </c>
      <c r="H120" s="148">
        <f>'Péréquation directe'!J126/Effort!C120</f>
        <v>19.307090066389922</v>
      </c>
      <c r="I120" s="279">
        <f t="shared" si="3"/>
        <v>32.735325938335322</v>
      </c>
      <c r="J120" s="159">
        <f t="shared" si="4"/>
        <v>0</v>
      </c>
      <c r="K120" s="42">
        <f t="shared" si="5"/>
        <v>0</v>
      </c>
      <c r="L120" s="172"/>
    </row>
    <row r="121" spans="1:12" x14ac:dyDescent="0.25">
      <c r="A121" s="38">
        <f>Données!A121</f>
        <v>5607</v>
      </c>
      <c r="B121" s="128" t="str">
        <f>Données!B121</f>
        <v>Puidoux</v>
      </c>
      <c r="C121" s="266">
        <f>VPI!R121</f>
        <v>134658.72766105999</v>
      </c>
      <c r="D121" s="148">
        <f>(PCS!I127-PCS!F127)/C121</f>
        <v>11.468526634702149</v>
      </c>
      <c r="E121" s="381">
        <f>'Péréquation directe'!E127/C121</f>
        <v>-6.475367797378536</v>
      </c>
      <c r="F121" s="148">
        <f>'Péréquation directe'!F127/Effort!C121</f>
        <v>-1.9919530203931011</v>
      </c>
      <c r="G121" s="148">
        <f>'Péréquation directe'!G127/Effort!C121</f>
        <v>0</v>
      </c>
      <c r="H121" s="148">
        <f>'Péréquation directe'!J127/Effort!C121</f>
        <v>19.307090066389922</v>
      </c>
      <c r="I121" s="279">
        <f t="shared" si="3"/>
        <v>22.308295883320433</v>
      </c>
      <c r="J121" s="159">
        <f t="shared" si="4"/>
        <v>0</v>
      </c>
      <c r="K121" s="42">
        <f t="shared" si="5"/>
        <v>0</v>
      </c>
      <c r="L121" s="172"/>
    </row>
    <row r="122" spans="1:12" x14ac:dyDescent="0.25">
      <c r="A122" s="38">
        <f>Données!A122</f>
        <v>5609</v>
      </c>
      <c r="B122" s="128" t="str">
        <f>Données!B122</f>
        <v>Rivaz</v>
      </c>
      <c r="C122" s="266">
        <f>VPI!R122</f>
        <v>13979.892580645163</v>
      </c>
      <c r="D122" s="148">
        <f>(PCS!I128-PCS!F128)/C122</f>
        <v>11.468526634702151</v>
      </c>
      <c r="E122" s="381">
        <f>'Péréquation directe'!E128/C122</f>
        <v>-3.0585930879111309</v>
      </c>
      <c r="F122" s="148">
        <f>'Péréquation directe'!F128/Effort!C122</f>
        <v>-2.3544118640521949</v>
      </c>
      <c r="G122" s="148">
        <f>'Péréquation directe'!G128/Effort!C122</f>
        <v>0</v>
      </c>
      <c r="H122" s="148">
        <f>'Péréquation directe'!J128/Effort!C122</f>
        <v>19.307090066389922</v>
      </c>
      <c r="I122" s="279">
        <f t="shared" si="3"/>
        <v>25.362611749128746</v>
      </c>
      <c r="J122" s="159">
        <f t="shared" si="4"/>
        <v>0</v>
      </c>
      <c r="K122" s="42">
        <f t="shared" si="5"/>
        <v>0</v>
      </c>
      <c r="L122" s="172"/>
    </row>
    <row r="123" spans="1:12" x14ac:dyDescent="0.25">
      <c r="A123" s="38">
        <f>Données!A123</f>
        <v>5610</v>
      </c>
      <c r="B123" s="128" t="str">
        <f>Données!B123</f>
        <v>St-Saphorin (Lavaux)</v>
      </c>
      <c r="C123" s="266">
        <f>VPI!R123</f>
        <v>19286.757384259257</v>
      </c>
      <c r="D123" s="148">
        <f>(PCS!I129-PCS!F129)/C123</f>
        <v>11.468526634702149</v>
      </c>
      <c r="E123" s="381">
        <f>'Péréquation directe'!E129/C123</f>
        <v>-2.6590437139926282</v>
      </c>
      <c r="F123" s="148">
        <f>'Péréquation directe'!F129/Effort!C123</f>
        <v>-5.5651426779320431E-2</v>
      </c>
      <c r="G123" s="148">
        <f>'Péréquation directe'!G129/Effort!C123</f>
        <v>0</v>
      </c>
      <c r="H123" s="148">
        <f>'Péréquation directe'!J129/Effort!C123</f>
        <v>19.307090066389922</v>
      </c>
      <c r="I123" s="279">
        <f t="shared" si="3"/>
        <v>28.060921560320121</v>
      </c>
      <c r="J123" s="159">
        <f t="shared" si="4"/>
        <v>0</v>
      </c>
      <c r="K123" s="42">
        <f t="shared" si="5"/>
        <v>0</v>
      </c>
      <c r="L123" s="172"/>
    </row>
    <row r="124" spans="1:12" x14ac:dyDescent="0.25">
      <c r="A124" s="38">
        <f>Données!A124</f>
        <v>5611</v>
      </c>
      <c r="B124" s="128" t="str">
        <f>Données!B124</f>
        <v>Savigny</v>
      </c>
      <c r="C124" s="266">
        <f>VPI!R124</f>
        <v>143902.95567632848</v>
      </c>
      <c r="D124" s="148">
        <f>(PCS!I130-PCS!F130)/C124</f>
        <v>11.468526634702151</v>
      </c>
      <c r="E124" s="381">
        <f>'Péréquation directe'!E130/C124</f>
        <v>-7.6489830416088997</v>
      </c>
      <c r="F124" s="148">
        <f>'Péréquation directe'!F130/Effort!C124</f>
        <v>-3.5192834916349365</v>
      </c>
      <c r="G124" s="148">
        <f>'Péréquation directe'!G130/Effort!C124</f>
        <v>0</v>
      </c>
      <c r="H124" s="148">
        <f>'Péréquation directe'!J130/Effort!C124</f>
        <v>19.307090066389922</v>
      </c>
      <c r="I124" s="279">
        <f t="shared" si="3"/>
        <v>19.607350167848235</v>
      </c>
      <c r="J124" s="159">
        <f t="shared" si="4"/>
        <v>0</v>
      </c>
      <c r="K124" s="42">
        <f t="shared" si="5"/>
        <v>0</v>
      </c>
      <c r="L124" s="172"/>
    </row>
    <row r="125" spans="1:12" x14ac:dyDescent="0.25">
      <c r="A125" s="38">
        <f>Données!A125</f>
        <v>5613</v>
      </c>
      <c r="B125" s="128" t="str">
        <f>Données!B125</f>
        <v>Bourg-en-Lavaux</v>
      </c>
      <c r="C125" s="266">
        <f>VPI!R125</f>
        <v>363833.56800000003</v>
      </c>
      <c r="D125" s="148">
        <f>(PCS!I131-PCS!F131)/C125</f>
        <v>15.507161674911467</v>
      </c>
      <c r="E125" s="381">
        <f>'Péréquation directe'!E131/C125</f>
        <v>-5.9744930593115662</v>
      </c>
      <c r="F125" s="148">
        <f>'Péréquation directe'!F131/Effort!C125</f>
        <v>0</v>
      </c>
      <c r="G125" s="148">
        <f>'Péréquation directe'!G131/Effort!C125</f>
        <v>0</v>
      </c>
      <c r="H125" s="148">
        <f>'Péréquation directe'!J131/Effort!C125</f>
        <v>19.307090066389922</v>
      </c>
      <c r="I125" s="279">
        <f t="shared" si="3"/>
        <v>28.839758681989821</v>
      </c>
      <c r="J125" s="159">
        <f t="shared" si="4"/>
        <v>0</v>
      </c>
      <c r="K125" s="42">
        <f t="shared" si="5"/>
        <v>0</v>
      </c>
      <c r="L125" s="172"/>
    </row>
    <row r="126" spans="1:12" x14ac:dyDescent="0.25">
      <c r="A126" s="38">
        <f>Données!A126</f>
        <v>5621</v>
      </c>
      <c r="B126" s="128" t="str">
        <f>Données!B126</f>
        <v>Aclens</v>
      </c>
      <c r="C126" s="266">
        <f>VPI!R126</f>
        <v>33787.730043988267</v>
      </c>
      <c r="D126" s="148">
        <f>(PCS!I132-PCS!F132)/C126</f>
        <v>13.376999374183816</v>
      </c>
      <c r="E126" s="381">
        <f>'Péréquation directe'!E132/C126</f>
        <v>-2.2437618514061359</v>
      </c>
      <c r="F126" s="148">
        <f>'Péréquation directe'!F132/Effort!C126</f>
        <v>0</v>
      </c>
      <c r="G126" s="148">
        <f>'Péréquation directe'!G132/Effort!C126</f>
        <v>0</v>
      </c>
      <c r="H126" s="148">
        <f>'Péréquation directe'!J132/Effort!C126</f>
        <v>19.307090066389922</v>
      </c>
      <c r="I126" s="279">
        <f t="shared" si="3"/>
        <v>30.440327589167602</v>
      </c>
      <c r="J126" s="159">
        <f t="shared" si="4"/>
        <v>0</v>
      </c>
      <c r="K126" s="42">
        <f t="shared" si="5"/>
        <v>0</v>
      </c>
      <c r="L126" s="172"/>
    </row>
    <row r="127" spans="1:12" x14ac:dyDescent="0.25">
      <c r="A127" s="38">
        <f>Données!A127</f>
        <v>5622</v>
      </c>
      <c r="B127" s="128" t="str">
        <f>Données!B127</f>
        <v>Bremblens</v>
      </c>
      <c r="C127" s="266">
        <f>VPI!R127</f>
        <v>29905.330441176469</v>
      </c>
      <c r="D127" s="148">
        <f>(PCS!I133-PCS!F133)/C127</f>
        <v>11.468526634702149</v>
      </c>
      <c r="E127" s="381">
        <f>'Péréquation directe'!E133/C127</f>
        <v>-2.692946358263252</v>
      </c>
      <c r="F127" s="148">
        <f>'Péréquation directe'!F133/Effort!C127</f>
        <v>-0.28574217541838981</v>
      </c>
      <c r="G127" s="148">
        <f>'Péréquation directe'!G133/Effort!C127</f>
        <v>0</v>
      </c>
      <c r="H127" s="148">
        <f>'Péréquation directe'!J133/Effort!C127</f>
        <v>19.307090066389918</v>
      </c>
      <c r="I127" s="279">
        <f t="shared" si="3"/>
        <v>27.796928167410428</v>
      </c>
      <c r="J127" s="159">
        <f t="shared" si="4"/>
        <v>0</v>
      </c>
      <c r="K127" s="42">
        <f t="shared" si="5"/>
        <v>0</v>
      </c>
      <c r="L127" s="172"/>
    </row>
    <row r="128" spans="1:12" x14ac:dyDescent="0.25">
      <c r="A128" s="38">
        <f>Données!A128</f>
        <v>5623</v>
      </c>
      <c r="B128" s="128" t="str">
        <f>Données!B128</f>
        <v>Buchillon</v>
      </c>
      <c r="C128" s="266">
        <f>VPI!R128</f>
        <v>94247.214615384597</v>
      </c>
      <c r="D128" s="148">
        <f>(PCS!I134-PCS!F134)/C128</f>
        <v>24.907805756312488</v>
      </c>
      <c r="E128" s="381">
        <f>'Péréquation directe'!E134/C128</f>
        <v>-0.95608421973648794</v>
      </c>
      <c r="F128" s="148">
        <f>'Péréquation directe'!F134/Effort!C128</f>
        <v>0</v>
      </c>
      <c r="G128" s="148">
        <f>'Péréquation directe'!G134/Effort!C128</f>
        <v>0</v>
      </c>
      <c r="H128" s="148">
        <f>'Péréquation directe'!J134/Effort!C128</f>
        <v>19.307090066389922</v>
      </c>
      <c r="I128" s="279">
        <f t="shared" si="3"/>
        <v>43.25881160296592</v>
      </c>
      <c r="J128" s="159">
        <f t="shared" si="4"/>
        <v>0</v>
      </c>
      <c r="K128" s="42">
        <f t="shared" si="5"/>
        <v>0</v>
      </c>
      <c r="L128" s="172"/>
    </row>
    <row r="129" spans="1:12" x14ac:dyDescent="0.25">
      <c r="A129" s="38">
        <f>Données!A129</f>
        <v>5624</v>
      </c>
      <c r="B129" s="128" t="str">
        <f>Données!B129</f>
        <v>Bussigny</v>
      </c>
      <c r="C129" s="266">
        <f>VPI!R129</f>
        <v>412146.03071999998</v>
      </c>
      <c r="D129" s="148">
        <f>(PCS!I135-PCS!F135)/C129</f>
        <v>11.468526634702149</v>
      </c>
      <c r="E129" s="381">
        <f>'Péréquation directe'!E135/C129</f>
        <v>-14.31641220584101</v>
      </c>
      <c r="F129" s="148">
        <f>'Péréquation directe'!F135/Effort!C129</f>
        <v>-4.3286083670188038</v>
      </c>
      <c r="G129" s="148">
        <f>'Péréquation directe'!G135/Effort!C129</f>
        <v>0</v>
      </c>
      <c r="H129" s="148">
        <f>'Péréquation directe'!J135/Effort!C129</f>
        <v>19.307090066389922</v>
      </c>
      <c r="I129" s="279">
        <f t="shared" si="3"/>
        <v>12.130596128232257</v>
      </c>
      <c r="J129" s="159">
        <f t="shared" si="4"/>
        <v>0</v>
      </c>
      <c r="K129" s="42">
        <f t="shared" si="5"/>
        <v>0</v>
      </c>
      <c r="L129" s="172"/>
    </row>
    <row r="130" spans="1:12" x14ac:dyDescent="0.25">
      <c r="A130" s="38">
        <f>Données!A130</f>
        <v>5627</v>
      </c>
      <c r="B130" s="128" t="str">
        <f>Données!B130</f>
        <v>Chavannes-près-Renens</v>
      </c>
      <c r="C130" s="266">
        <f>VPI!R130</f>
        <v>197756.36438709678</v>
      </c>
      <c r="D130" s="148">
        <f>(PCS!I136-PCS!F136)/C130</f>
        <v>11.468526634702149</v>
      </c>
      <c r="E130" s="381">
        <f>'Péréquation directe'!E136/C130</f>
        <v>-23.937765225441634</v>
      </c>
      <c r="F130" s="148">
        <f>'Péréquation directe'!F136/Effort!C130</f>
        <v>-32.030253574074905</v>
      </c>
      <c r="G130" s="148">
        <f>'Péréquation directe'!G136/Effort!C130</f>
        <v>0</v>
      </c>
      <c r="H130" s="148">
        <f>'Péréquation directe'!J136/Effort!C130</f>
        <v>19.307090066389922</v>
      </c>
      <c r="I130" s="279">
        <f t="shared" si="3"/>
        <v>-25.19240209842447</v>
      </c>
      <c r="J130" s="159">
        <f t="shared" si="4"/>
        <v>0</v>
      </c>
      <c r="K130" s="42">
        <f t="shared" si="5"/>
        <v>0</v>
      </c>
      <c r="L130" s="172"/>
    </row>
    <row r="131" spans="1:12" x14ac:dyDescent="0.25">
      <c r="A131" s="38">
        <f>Données!A131</f>
        <v>5628</v>
      </c>
      <c r="B131" s="128" t="str">
        <f>Données!B131</f>
        <v>Chigny</v>
      </c>
      <c r="C131" s="266">
        <f>VPI!R131</f>
        <v>29701.321935483869</v>
      </c>
      <c r="D131" s="148">
        <f>(PCS!I137-PCS!F137)/C131</f>
        <v>16.126479551097521</v>
      </c>
      <c r="E131" s="381">
        <f>'Péréquation directe'!E137/C131</f>
        <v>-1.8635652727143279</v>
      </c>
      <c r="F131" s="148">
        <f>'Péréquation directe'!F137/Effort!C131</f>
        <v>0</v>
      </c>
      <c r="G131" s="148">
        <f>'Péréquation directe'!G137/Effort!C131</f>
        <v>0</v>
      </c>
      <c r="H131" s="148">
        <f>'Péréquation directe'!J137/Effort!C131</f>
        <v>19.307090066389922</v>
      </c>
      <c r="I131" s="279">
        <f t="shared" si="3"/>
        <v>33.57000434477311</v>
      </c>
      <c r="J131" s="159">
        <f t="shared" si="4"/>
        <v>0</v>
      </c>
      <c r="K131" s="42">
        <f t="shared" si="5"/>
        <v>0</v>
      </c>
      <c r="L131" s="172"/>
    </row>
    <row r="132" spans="1:12" x14ac:dyDescent="0.25">
      <c r="A132" s="38">
        <f>Données!A132</f>
        <v>5629</v>
      </c>
      <c r="B132" s="128" t="str">
        <f>Données!B132</f>
        <v>Clarmont</v>
      </c>
      <c r="C132" s="266">
        <f>VPI!R132</f>
        <v>11214.945694444446</v>
      </c>
      <c r="D132" s="148">
        <f>(PCS!I138-PCS!F138)/C132</f>
        <v>11.960752231491597</v>
      </c>
      <c r="E132" s="381">
        <f>'Péréquation directe'!E138/C132</f>
        <v>-2.5612671352671077</v>
      </c>
      <c r="F132" s="148">
        <f>'Péréquation directe'!F138/Effort!C132</f>
        <v>0</v>
      </c>
      <c r="G132" s="148">
        <f>'Péréquation directe'!G138/Effort!C132</f>
        <v>0</v>
      </c>
      <c r="H132" s="148">
        <f>'Péréquation directe'!J138/Effort!C132</f>
        <v>19.307090066389922</v>
      </c>
      <c r="I132" s="279">
        <f t="shared" si="3"/>
        <v>28.70657516261441</v>
      </c>
      <c r="J132" s="159">
        <f t="shared" si="4"/>
        <v>0</v>
      </c>
      <c r="K132" s="42">
        <f t="shared" si="5"/>
        <v>0</v>
      </c>
      <c r="L132" s="172"/>
    </row>
    <row r="133" spans="1:12" x14ac:dyDescent="0.25">
      <c r="A133" s="38">
        <f>Données!A133</f>
        <v>5631</v>
      </c>
      <c r="B133" s="128" t="str">
        <f>Données!B133</f>
        <v>Denens</v>
      </c>
      <c r="C133" s="266">
        <f>VPI!R133</f>
        <v>47500.25692307693</v>
      </c>
      <c r="D133" s="148">
        <f>(PCS!I139-PCS!F139)/C133</f>
        <v>14.898393045940137</v>
      </c>
      <c r="E133" s="381">
        <f>'Péréquation directe'!E139/C133</f>
        <v>-2.0488769830486904</v>
      </c>
      <c r="F133" s="148">
        <f>'Péréquation directe'!F139/Effort!C133</f>
        <v>0</v>
      </c>
      <c r="G133" s="148">
        <f>'Péréquation directe'!G139/Effort!C133</f>
        <v>0</v>
      </c>
      <c r="H133" s="148">
        <f>'Péréquation directe'!J139/Effort!C133</f>
        <v>19.307090066389922</v>
      </c>
      <c r="I133" s="279">
        <f t="shared" si="3"/>
        <v>32.156606129281371</v>
      </c>
      <c r="J133" s="159">
        <f t="shared" si="4"/>
        <v>0</v>
      </c>
      <c r="K133" s="42">
        <f t="shared" si="5"/>
        <v>0</v>
      </c>
      <c r="L133" s="172"/>
    </row>
    <row r="134" spans="1:12" x14ac:dyDescent="0.25">
      <c r="A134" s="38">
        <f>Données!A134</f>
        <v>5632</v>
      </c>
      <c r="B134" s="128" t="str">
        <f>Données!B134</f>
        <v>Denges</v>
      </c>
      <c r="C134" s="266">
        <f>VPI!R134</f>
        <v>89815.216612903241</v>
      </c>
      <c r="D134" s="148">
        <f>(PCS!I140-PCS!F140)/C134</f>
        <v>11.468526634702149</v>
      </c>
      <c r="E134" s="381">
        <f>'Péréquation directe'!E140/C134</f>
        <v>-4.8174143423921327</v>
      </c>
      <c r="F134" s="148">
        <f>'Péréquation directe'!F140/Effort!C134</f>
        <v>-4.2772207669594074E-2</v>
      </c>
      <c r="G134" s="148">
        <f>'Péréquation directe'!G140/Effort!C134</f>
        <v>0</v>
      </c>
      <c r="H134" s="148">
        <f>'Péréquation directe'!J140/Effort!C134</f>
        <v>19.307090066389922</v>
      </c>
      <c r="I134" s="279">
        <f t="shared" si="3"/>
        <v>25.915430151030343</v>
      </c>
      <c r="J134" s="159">
        <f t="shared" si="4"/>
        <v>0</v>
      </c>
      <c r="K134" s="42">
        <f t="shared" si="5"/>
        <v>0</v>
      </c>
      <c r="L134" s="172"/>
    </row>
    <row r="135" spans="1:12" x14ac:dyDescent="0.25">
      <c r="A135" s="38">
        <f>Données!A135</f>
        <v>5633</v>
      </c>
      <c r="B135" s="128" t="str">
        <f>Données!B135</f>
        <v>Echandens</v>
      </c>
      <c r="C135" s="266">
        <f>VPI!R135</f>
        <v>146616.96727272726</v>
      </c>
      <c r="D135" s="148">
        <f>(PCS!I141-PCS!F141)/C135</f>
        <v>11.690553662324135</v>
      </c>
      <c r="E135" s="381">
        <f>'Péréquation directe'!E141/C135</f>
        <v>-5.6788529504523195</v>
      </c>
      <c r="F135" s="148">
        <f>'Péréquation directe'!F141/Effort!C135</f>
        <v>0</v>
      </c>
      <c r="G135" s="148">
        <f>'Péréquation directe'!G141/Effort!C135</f>
        <v>0</v>
      </c>
      <c r="H135" s="148">
        <f>'Péréquation directe'!J141/Effort!C135</f>
        <v>19.307090066389922</v>
      </c>
      <c r="I135" s="279">
        <f t="shared" ref="I135:I198" si="6">SUM(D135:H135)</f>
        <v>25.318790778261736</v>
      </c>
      <c r="J135" s="159">
        <f t="shared" ref="J135:J198" si="7">IF(I135&gt;J$5,I135-J$5,0)</f>
        <v>0</v>
      </c>
      <c r="K135" s="42">
        <f t="shared" ref="K135:K198" si="8">-J135*C135</f>
        <v>0</v>
      </c>
      <c r="L135" s="172"/>
    </row>
    <row r="136" spans="1:12" x14ac:dyDescent="0.25">
      <c r="A136" s="38">
        <f>Données!A136</f>
        <v>5634</v>
      </c>
      <c r="B136" s="128" t="str">
        <f>Données!B136</f>
        <v>Echichens</v>
      </c>
      <c r="C136" s="266">
        <f>VPI!R136</f>
        <v>181424.03242424241</v>
      </c>
      <c r="D136" s="148">
        <f>(PCS!I142-PCS!F142)/C136</f>
        <v>13.221544890861226</v>
      </c>
      <c r="E136" s="381">
        <f>'Péréquation directe'!E142/C136</f>
        <v>-5.2949450458900644</v>
      </c>
      <c r="F136" s="148">
        <f>'Péréquation directe'!F142/Effort!C136</f>
        <v>0</v>
      </c>
      <c r="G136" s="148">
        <f>'Péréquation directe'!G142/Effort!C136</f>
        <v>0</v>
      </c>
      <c r="H136" s="148">
        <f>'Péréquation directe'!J142/Effort!C136</f>
        <v>19.307090066389922</v>
      </c>
      <c r="I136" s="279">
        <f t="shared" si="6"/>
        <v>27.233689911361083</v>
      </c>
      <c r="J136" s="159">
        <f t="shared" si="7"/>
        <v>0</v>
      </c>
      <c r="K136" s="42">
        <f t="shared" si="8"/>
        <v>0</v>
      </c>
      <c r="L136" s="172"/>
    </row>
    <row r="137" spans="1:12" x14ac:dyDescent="0.25">
      <c r="A137" s="38">
        <f>Données!A137</f>
        <v>5635</v>
      </c>
      <c r="B137" s="128" t="str">
        <f>Données!B137</f>
        <v>Ecublens</v>
      </c>
      <c r="C137" s="266">
        <f>VPI!R137</f>
        <v>505560.77512000001</v>
      </c>
      <c r="D137" s="148">
        <f>(PCS!I143-PCS!F143)/C137</f>
        <v>11.468526634702151</v>
      </c>
      <c r="E137" s="381">
        <f>'Péréquation directe'!E143/C137</f>
        <v>-16.830299847926458</v>
      </c>
      <c r="F137" s="148">
        <f>'Péréquation directe'!F143/Effort!C137</f>
        <v>-4.7502724009080666</v>
      </c>
      <c r="G137" s="148">
        <f>'Péréquation directe'!G143/Effort!C137</f>
        <v>0</v>
      </c>
      <c r="H137" s="148">
        <f>'Péréquation directe'!J143/Effort!C137</f>
        <v>19.307090066389922</v>
      </c>
      <c r="I137" s="279">
        <f t="shared" si="6"/>
        <v>9.1950444522575481</v>
      </c>
      <c r="J137" s="159">
        <f t="shared" si="7"/>
        <v>0</v>
      </c>
      <c r="K137" s="42">
        <f t="shared" si="8"/>
        <v>0</v>
      </c>
      <c r="L137" s="172"/>
    </row>
    <row r="138" spans="1:12" x14ac:dyDescent="0.25">
      <c r="A138" s="38">
        <f>Données!A138</f>
        <v>5636</v>
      </c>
      <c r="B138" s="128" t="str">
        <f>Données!B138</f>
        <v>Etoy</v>
      </c>
      <c r="C138" s="266">
        <f>VPI!R138</f>
        <v>236704.12550000002</v>
      </c>
      <c r="D138" s="148">
        <f>(PCS!I144-PCS!F144)/C138</f>
        <v>18.262747728566417</v>
      </c>
      <c r="E138" s="381">
        <f>'Péréquation directe'!E144/C138</f>
        <v>-3.5330551617038291</v>
      </c>
      <c r="F138" s="148">
        <f>'Péréquation directe'!F144/Effort!C138</f>
        <v>0</v>
      </c>
      <c r="G138" s="148">
        <f>'Péréquation directe'!G144/Effort!C138</f>
        <v>0</v>
      </c>
      <c r="H138" s="148">
        <f>'Péréquation directe'!J144/Effort!C138</f>
        <v>19.307090066389922</v>
      </c>
      <c r="I138" s="279">
        <f t="shared" si="6"/>
        <v>34.036782633252514</v>
      </c>
      <c r="J138" s="159">
        <f t="shared" si="7"/>
        <v>0</v>
      </c>
      <c r="K138" s="42">
        <f t="shared" si="8"/>
        <v>0</v>
      </c>
      <c r="L138" s="172"/>
    </row>
    <row r="139" spans="1:12" x14ac:dyDescent="0.25">
      <c r="A139" s="38">
        <f>Données!A139</f>
        <v>5637</v>
      </c>
      <c r="B139" s="128" t="str">
        <f>Données!B139</f>
        <v>Lavigny</v>
      </c>
      <c r="C139" s="266">
        <f>VPI!R139</f>
        <v>38282.802876712332</v>
      </c>
      <c r="D139" s="148">
        <f>(PCS!I145-PCS!F145)/C139</f>
        <v>11.468526634702151</v>
      </c>
      <c r="E139" s="381">
        <f>'Péréquation directe'!E145/C139</f>
        <v>-3.9249778918612308</v>
      </c>
      <c r="F139" s="148">
        <f>'Péréquation directe'!F145/Effort!C139</f>
        <v>-7.6436946220963859</v>
      </c>
      <c r="G139" s="148">
        <f>'Péréquation directe'!G145/Effort!C139</f>
        <v>0</v>
      </c>
      <c r="H139" s="148">
        <f>'Péréquation directe'!J145/Effort!C139</f>
        <v>19.307090066389922</v>
      </c>
      <c r="I139" s="279">
        <f t="shared" si="6"/>
        <v>19.206944187134457</v>
      </c>
      <c r="J139" s="159">
        <f t="shared" si="7"/>
        <v>0</v>
      </c>
      <c r="K139" s="42">
        <f t="shared" si="8"/>
        <v>0</v>
      </c>
      <c r="L139" s="172"/>
    </row>
    <row r="140" spans="1:12" x14ac:dyDescent="0.25">
      <c r="A140" s="38">
        <f>Données!A140</f>
        <v>5638</v>
      </c>
      <c r="B140" s="128" t="str">
        <f>Données!B140</f>
        <v>Lonay</v>
      </c>
      <c r="C140" s="266">
        <f>VPI!R140</f>
        <v>168507.09218181815</v>
      </c>
      <c r="D140" s="148">
        <f>(PCS!I146-PCS!F146)/C140</f>
        <v>14.05686383664295</v>
      </c>
      <c r="E140" s="381">
        <f>'Péréquation directe'!E146/C140</f>
        <v>-4.4681928419142904</v>
      </c>
      <c r="F140" s="148">
        <f>'Péréquation directe'!F146/Effort!C140</f>
        <v>0</v>
      </c>
      <c r="G140" s="148">
        <f>'Péréquation directe'!G146/Effort!C140</f>
        <v>0</v>
      </c>
      <c r="H140" s="148">
        <f>'Péréquation directe'!J146/Effort!C140</f>
        <v>19.307090066389922</v>
      </c>
      <c r="I140" s="279">
        <f t="shared" si="6"/>
        <v>28.895761061118581</v>
      </c>
      <c r="J140" s="159">
        <f t="shared" si="7"/>
        <v>0</v>
      </c>
      <c r="K140" s="42">
        <f t="shared" si="8"/>
        <v>0</v>
      </c>
      <c r="L140" s="172"/>
    </row>
    <row r="141" spans="1:12" x14ac:dyDescent="0.25">
      <c r="A141" s="38">
        <f>Données!A141</f>
        <v>5639</v>
      </c>
      <c r="B141" s="128" t="str">
        <f>Données!B141</f>
        <v>Lully</v>
      </c>
      <c r="C141" s="266">
        <f>VPI!R141</f>
        <v>50946.176393442627</v>
      </c>
      <c r="D141" s="148">
        <f>(PCS!I147-PCS!F147)/C141</f>
        <v>13.98291458719288</v>
      </c>
      <c r="E141" s="381">
        <f>'Péréquation directe'!E147/C141</f>
        <v>-2.1445755161573623</v>
      </c>
      <c r="F141" s="148">
        <f>'Péréquation directe'!F147/Effort!C141</f>
        <v>0</v>
      </c>
      <c r="G141" s="148">
        <f>'Péréquation directe'!G147/Effort!C141</f>
        <v>0</v>
      </c>
      <c r="H141" s="148">
        <f>'Péréquation directe'!J147/Effort!C141</f>
        <v>19.307090066389922</v>
      </c>
      <c r="I141" s="279">
        <f t="shared" si="6"/>
        <v>31.145429137425438</v>
      </c>
      <c r="J141" s="159">
        <f t="shared" si="7"/>
        <v>0</v>
      </c>
      <c r="K141" s="42">
        <f t="shared" si="8"/>
        <v>0</v>
      </c>
      <c r="L141" s="172"/>
    </row>
    <row r="142" spans="1:12" x14ac:dyDescent="0.25">
      <c r="A142" s="38">
        <f>Données!A142</f>
        <v>5640</v>
      </c>
      <c r="B142" s="128" t="str">
        <f>Données!B142</f>
        <v>Lussy-sur-Morges</v>
      </c>
      <c r="C142" s="266">
        <f>VPI!R142</f>
        <v>53692.239837398381</v>
      </c>
      <c r="D142" s="148">
        <f>(PCS!I148-PCS!F148)/C142</f>
        <v>16.648467471386251</v>
      </c>
      <c r="E142" s="381">
        <f>'Péréquation directe'!E148/C142</f>
        <v>-1.7881646150549899</v>
      </c>
      <c r="F142" s="148">
        <f>'Péréquation directe'!F148/Effort!C142</f>
        <v>0</v>
      </c>
      <c r="G142" s="148">
        <f>'Péréquation directe'!G148/Effort!C142</f>
        <v>0</v>
      </c>
      <c r="H142" s="148">
        <f>'Péréquation directe'!J148/Effort!C142</f>
        <v>19.307090066389922</v>
      </c>
      <c r="I142" s="279">
        <f t="shared" si="6"/>
        <v>34.167392922721184</v>
      </c>
      <c r="J142" s="159">
        <f t="shared" si="7"/>
        <v>0</v>
      </c>
      <c r="K142" s="42">
        <f t="shared" si="8"/>
        <v>0</v>
      </c>
      <c r="L142" s="172"/>
    </row>
    <row r="143" spans="1:12" x14ac:dyDescent="0.25">
      <c r="A143" s="38">
        <f>Données!A143</f>
        <v>5642</v>
      </c>
      <c r="B143" s="128" t="str">
        <f>Données!B143</f>
        <v>Morges</v>
      </c>
      <c r="C143" s="266">
        <f>VPI!R143</f>
        <v>1132235.5279104479</v>
      </c>
      <c r="D143" s="148">
        <f>(PCS!I149-PCS!F149)/C143</f>
        <v>14.939880753308913</v>
      </c>
      <c r="E143" s="381">
        <f>'Péréquation directe'!E149/C143</f>
        <v>-11.739798144142934</v>
      </c>
      <c r="F143" s="148">
        <f>'Péréquation directe'!F149/Effort!C143</f>
        <v>0</v>
      </c>
      <c r="G143" s="148">
        <f>'Péréquation directe'!G149/Effort!C143</f>
        <v>0</v>
      </c>
      <c r="H143" s="148">
        <f>'Péréquation directe'!J149/Effort!C143</f>
        <v>19.307090066389922</v>
      </c>
      <c r="I143" s="279">
        <f t="shared" si="6"/>
        <v>22.5071726755559</v>
      </c>
      <c r="J143" s="159">
        <f t="shared" si="7"/>
        <v>0</v>
      </c>
      <c r="K143" s="42">
        <f t="shared" si="8"/>
        <v>0</v>
      </c>
      <c r="L143" s="172"/>
    </row>
    <row r="144" spans="1:12" x14ac:dyDescent="0.25">
      <c r="A144" s="38">
        <f>Données!A144</f>
        <v>5643</v>
      </c>
      <c r="B144" s="128" t="str">
        <f>Données!B144</f>
        <v>Préverenges</v>
      </c>
      <c r="C144" s="266">
        <f>VPI!R144</f>
        <v>249027.28047999999</v>
      </c>
      <c r="D144" s="148">
        <f>(PCS!I150-PCS!F150)/C144</f>
        <v>11.468526634702149</v>
      </c>
      <c r="E144" s="381">
        <f>'Péréquation directe'!E150/C144</f>
        <v>-8.2535558329937775</v>
      </c>
      <c r="F144" s="148">
        <f>'Péréquation directe'!F150/Effort!C144</f>
        <v>-0.58257017335594408</v>
      </c>
      <c r="G144" s="148">
        <f>'Péréquation directe'!G150/Effort!C144</f>
        <v>0</v>
      </c>
      <c r="H144" s="148">
        <f>'Péréquation directe'!J150/Effort!C144</f>
        <v>19.307090066389922</v>
      </c>
      <c r="I144" s="279">
        <f t="shared" si="6"/>
        <v>21.93949069474235</v>
      </c>
      <c r="J144" s="159">
        <f t="shared" si="7"/>
        <v>0</v>
      </c>
      <c r="K144" s="42">
        <f t="shared" si="8"/>
        <v>0</v>
      </c>
      <c r="L144" s="172"/>
    </row>
    <row r="145" spans="1:12" x14ac:dyDescent="0.25">
      <c r="A145" s="38">
        <f>Données!A145</f>
        <v>5645</v>
      </c>
      <c r="B145" s="128" t="str">
        <f>Données!B145</f>
        <v>Romanel-sur-Morges</v>
      </c>
      <c r="C145" s="266">
        <f>VPI!R145</f>
        <v>27135.573571428577</v>
      </c>
      <c r="D145" s="148">
        <f>(PCS!I151-PCS!F151)/C145</f>
        <v>13.237277921495487</v>
      </c>
      <c r="E145" s="381">
        <f>'Péréquation directe'!E151/C145</f>
        <v>-2.2331140643262</v>
      </c>
      <c r="F145" s="148">
        <f>'Péréquation directe'!F151/Effort!C145</f>
        <v>0</v>
      </c>
      <c r="G145" s="148">
        <f>'Péréquation directe'!G151/Effort!C145</f>
        <v>0</v>
      </c>
      <c r="H145" s="148">
        <f>'Péréquation directe'!J151/Effort!C145</f>
        <v>19.307090066389922</v>
      </c>
      <c r="I145" s="279">
        <f t="shared" si="6"/>
        <v>30.311253923559207</v>
      </c>
      <c r="J145" s="159">
        <f t="shared" si="7"/>
        <v>0</v>
      </c>
      <c r="K145" s="42">
        <f t="shared" si="8"/>
        <v>0</v>
      </c>
      <c r="L145" s="172"/>
    </row>
    <row r="146" spans="1:12" x14ac:dyDescent="0.25">
      <c r="A146" s="38">
        <f>Données!A146</f>
        <v>5646</v>
      </c>
      <c r="B146" s="128" t="str">
        <f>Données!B146</f>
        <v>Saint-Prex</v>
      </c>
      <c r="C146" s="266">
        <f>VPI!R146</f>
        <v>525095.71629943512</v>
      </c>
      <c r="D146" s="148">
        <f>(PCS!I152-PCS!F152)/C146</f>
        <v>19.639924829822188</v>
      </c>
      <c r="E146" s="381">
        <f>'Péréquation directe'!E152/C146</f>
        <v>-4.73435884568927</v>
      </c>
      <c r="F146" s="148">
        <f>'Péréquation directe'!F152/Effort!C146</f>
        <v>0</v>
      </c>
      <c r="G146" s="148">
        <f>'Péréquation directe'!G152/Effort!C146</f>
        <v>0</v>
      </c>
      <c r="H146" s="148">
        <f>'Péréquation directe'!J152/Effort!C146</f>
        <v>19.307090066389922</v>
      </c>
      <c r="I146" s="279">
        <f t="shared" si="6"/>
        <v>34.212656050522838</v>
      </c>
      <c r="J146" s="159">
        <f t="shared" si="7"/>
        <v>0</v>
      </c>
      <c r="K146" s="42">
        <f t="shared" si="8"/>
        <v>0</v>
      </c>
      <c r="L146" s="172"/>
    </row>
    <row r="147" spans="1:12" x14ac:dyDescent="0.25">
      <c r="A147" s="38">
        <f>Données!A147</f>
        <v>5648</v>
      </c>
      <c r="B147" s="128" t="str">
        <f>Données!B147</f>
        <v>Saint-Sulpice</v>
      </c>
      <c r="C147" s="266">
        <f>VPI!R147</f>
        <v>396373.38209090912</v>
      </c>
      <c r="D147" s="148">
        <f>(PCS!I153-PCS!F153)/C147</f>
        <v>16.895631954158016</v>
      </c>
      <c r="E147" s="381">
        <f>'Péréquation directe'!E153/C147</f>
        <v>-5.0504059286557013</v>
      </c>
      <c r="F147" s="148">
        <f>'Péréquation directe'!F153/Effort!C147</f>
        <v>0</v>
      </c>
      <c r="G147" s="148">
        <f>'Péréquation directe'!G153/Effort!C147</f>
        <v>0</v>
      </c>
      <c r="H147" s="148">
        <f>'Péréquation directe'!J153/Effort!C147</f>
        <v>19.307090066389922</v>
      </c>
      <c r="I147" s="279">
        <f t="shared" si="6"/>
        <v>31.152316091892239</v>
      </c>
      <c r="J147" s="159">
        <f t="shared" si="7"/>
        <v>0</v>
      </c>
      <c r="K147" s="42">
        <f t="shared" si="8"/>
        <v>0</v>
      </c>
      <c r="L147" s="172"/>
    </row>
    <row r="148" spans="1:12" x14ac:dyDescent="0.25">
      <c r="A148" s="38">
        <f>Données!A148</f>
        <v>5649</v>
      </c>
      <c r="B148" s="128" t="str">
        <f>Données!B148</f>
        <v>Tolochenaz</v>
      </c>
      <c r="C148" s="266">
        <f>VPI!R148</f>
        <v>281314.52828124992</v>
      </c>
      <c r="D148" s="148">
        <f>(PCS!I154-PCS!F154)/C148</f>
        <v>28.978666149977791</v>
      </c>
      <c r="E148" s="381">
        <f>'Péréquation directe'!E154/C148</f>
        <v>-1.6699091980069982</v>
      </c>
      <c r="F148" s="148">
        <f>'Péréquation directe'!F154/Effort!C148</f>
        <v>0</v>
      </c>
      <c r="G148" s="148">
        <f>'Péréquation directe'!G154/Effort!C148</f>
        <v>0</v>
      </c>
      <c r="H148" s="148">
        <f>'Péréquation directe'!J154/Effort!C148</f>
        <v>19.307090066389922</v>
      </c>
      <c r="I148" s="279">
        <f t="shared" si="6"/>
        <v>46.615847018360711</v>
      </c>
      <c r="J148" s="159">
        <f t="shared" si="7"/>
        <v>0</v>
      </c>
      <c r="K148" s="42">
        <f t="shared" si="8"/>
        <v>0</v>
      </c>
      <c r="L148" s="172"/>
    </row>
    <row r="149" spans="1:12" x14ac:dyDescent="0.25">
      <c r="A149" s="38">
        <f>Données!A149</f>
        <v>5650</v>
      </c>
      <c r="B149" s="128" t="str">
        <f>Données!B149</f>
        <v>Vaux-sur-Morges</v>
      </c>
      <c r="C149" s="266">
        <f>VPI!R149</f>
        <v>96067.741964285728</v>
      </c>
      <c r="D149" s="148">
        <f>(PCS!I155-PCS!F155)/C149</f>
        <v>40.034646281136986</v>
      </c>
      <c r="E149" s="381">
        <f>'Péréquation directe'!E155/C149</f>
        <v>-0.24575528108440844</v>
      </c>
      <c r="F149" s="148">
        <f>'Péréquation directe'!F155/Effort!C149</f>
        <v>0</v>
      </c>
      <c r="G149" s="148">
        <f>'Péréquation directe'!G155/Effort!C149</f>
        <v>0</v>
      </c>
      <c r="H149" s="148">
        <f>'Péréquation directe'!J155/Effort!C149</f>
        <v>19.307090066389922</v>
      </c>
      <c r="I149" s="279">
        <f t="shared" si="6"/>
        <v>59.095981066442505</v>
      </c>
      <c r="J149" s="159">
        <f t="shared" si="7"/>
        <v>11.095981066442505</v>
      </c>
      <c r="K149" s="42">
        <f t="shared" si="8"/>
        <v>-1065965.8459315985</v>
      </c>
      <c r="L149" s="172"/>
    </row>
    <row r="150" spans="1:12" x14ac:dyDescent="0.25">
      <c r="A150" s="38">
        <f>Données!A150</f>
        <v>5651</v>
      </c>
      <c r="B150" s="128" t="str">
        <f>Données!B150</f>
        <v>Villars-Sainte-Croix</v>
      </c>
      <c r="C150" s="266">
        <f>VPI!R150</f>
        <v>61414.015041322302</v>
      </c>
      <c r="D150" s="148">
        <f>(PCS!I156-PCS!F156)/C150</f>
        <v>14.338921077186219</v>
      </c>
      <c r="E150" s="381">
        <f>'Péréquation directe'!E156/C150</f>
        <v>-2.0929869559558862</v>
      </c>
      <c r="F150" s="148">
        <f>'Péréquation directe'!F156/Effort!C150</f>
        <v>0</v>
      </c>
      <c r="G150" s="148">
        <f>'Péréquation directe'!G156/Effort!C150</f>
        <v>0</v>
      </c>
      <c r="H150" s="148">
        <f>'Péréquation directe'!J156/Effort!C150</f>
        <v>19.307090066389922</v>
      </c>
      <c r="I150" s="279">
        <f t="shared" si="6"/>
        <v>31.553024187620252</v>
      </c>
      <c r="J150" s="159">
        <f t="shared" si="7"/>
        <v>0</v>
      </c>
      <c r="K150" s="42">
        <f t="shared" si="8"/>
        <v>0</v>
      </c>
      <c r="L150" s="172"/>
    </row>
    <row r="151" spans="1:12" x14ac:dyDescent="0.25">
      <c r="A151" s="38">
        <f>Données!A151</f>
        <v>5652</v>
      </c>
      <c r="B151" s="128" t="str">
        <f>Données!B151</f>
        <v>Villars-sous-Yens</v>
      </c>
      <c r="C151" s="266">
        <f>VPI!R151</f>
        <v>29186.92625</v>
      </c>
      <c r="D151" s="148">
        <f>(PCS!I157-PCS!F157)/C151</f>
        <v>11.468526634702149</v>
      </c>
      <c r="E151" s="381">
        <f>'Péréquation directe'!E157/C151</f>
        <v>-2.736760978558693</v>
      </c>
      <c r="F151" s="148">
        <f>'Péréquation directe'!F157/Effort!C151</f>
        <v>-0.73808006156475625</v>
      </c>
      <c r="G151" s="148">
        <f>'Péréquation directe'!G157/Effort!C151</f>
        <v>0</v>
      </c>
      <c r="H151" s="148">
        <f>'Péréquation directe'!J157/Effort!C151</f>
        <v>19.307090066389922</v>
      </c>
      <c r="I151" s="279">
        <f t="shared" si="6"/>
        <v>27.300775660968622</v>
      </c>
      <c r="J151" s="159">
        <f t="shared" si="7"/>
        <v>0</v>
      </c>
      <c r="K151" s="42">
        <f t="shared" si="8"/>
        <v>0</v>
      </c>
      <c r="L151" s="172"/>
    </row>
    <row r="152" spans="1:12" x14ac:dyDescent="0.25">
      <c r="A152" s="38">
        <f>Données!A152</f>
        <v>5653</v>
      </c>
      <c r="B152" s="128" t="str">
        <f>Données!B152</f>
        <v>Vufflens-le-Château</v>
      </c>
      <c r="C152" s="266">
        <f>VPI!R152</f>
        <v>66751.135840000003</v>
      </c>
      <c r="D152" s="148">
        <f>(PCS!I158-PCS!F158)/C152</f>
        <v>17.27140989965277</v>
      </c>
      <c r="E152" s="381">
        <f>'Péréquation directe'!E158/C152</f>
        <v>-1.7330770135840365</v>
      </c>
      <c r="F152" s="148">
        <f>'Péréquation directe'!F158/Effort!C152</f>
        <v>0</v>
      </c>
      <c r="G152" s="148">
        <f>'Péréquation directe'!G158/Effort!C152</f>
        <v>0</v>
      </c>
      <c r="H152" s="148">
        <f>'Péréquation directe'!J158/Effort!C152</f>
        <v>19.307090066389922</v>
      </c>
      <c r="I152" s="279">
        <f t="shared" si="6"/>
        <v>34.845422952458655</v>
      </c>
      <c r="J152" s="159">
        <f t="shared" si="7"/>
        <v>0</v>
      </c>
      <c r="K152" s="42">
        <f t="shared" si="8"/>
        <v>0</v>
      </c>
      <c r="L152" s="172"/>
    </row>
    <row r="153" spans="1:12" x14ac:dyDescent="0.25">
      <c r="A153" s="38">
        <f>Données!A153</f>
        <v>5654</v>
      </c>
      <c r="B153" s="128" t="str">
        <f>Données!B153</f>
        <v>Vullierens</v>
      </c>
      <c r="C153" s="266">
        <f>VPI!R153</f>
        <v>21960.434210526313</v>
      </c>
      <c r="D153" s="148">
        <f>(PCS!I159-PCS!F159)/C153</f>
        <v>11.468526634702148</v>
      </c>
      <c r="E153" s="381">
        <f>'Péréquation directe'!E159/C153</f>
        <v>-3.4103827455102955</v>
      </c>
      <c r="F153" s="148">
        <f>'Péréquation directe'!F159/Effort!C153</f>
        <v>-6.5980102439722055</v>
      </c>
      <c r="G153" s="148">
        <f>'Péréquation directe'!G159/Effort!C153</f>
        <v>0</v>
      </c>
      <c r="H153" s="148">
        <f>'Péréquation directe'!J159/Effort!C153</f>
        <v>19.307090066389922</v>
      </c>
      <c r="I153" s="279">
        <f t="shared" si="6"/>
        <v>20.767223711609567</v>
      </c>
      <c r="J153" s="159">
        <f t="shared" si="7"/>
        <v>0</v>
      </c>
      <c r="K153" s="42">
        <f t="shared" si="8"/>
        <v>0</v>
      </c>
      <c r="L153" s="172"/>
    </row>
    <row r="154" spans="1:12" x14ac:dyDescent="0.25">
      <c r="A154" s="38">
        <f>Données!A154</f>
        <v>5655</v>
      </c>
      <c r="B154" s="128" t="str">
        <f>Données!B154</f>
        <v>Yens</v>
      </c>
      <c r="C154" s="266">
        <f>VPI!R154</f>
        <v>83347.731285714282</v>
      </c>
      <c r="D154" s="148">
        <f>(PCS!I160-PCS!F160)/C154</f>
        <v>12.965390547705566</v>
      </c>
      <c r="E154" s="381">
        <f>'Péréquation directe'!E160/C154</f>
        <v>-3.7988436531597491</v>
      </c>
      <c r="F154" s="148">
        <f>'Péréquation directe'!F160/Effort!C154</f>
        <v>0</v>
      </c>
      <c r="G154" s="148">
        <f>'Péréquation directe'!G160/Effort!C154</f>
        <v>0</v>
      </c>
      <c r="H154" s="148">
        <f>'Péréquation directe'!J160/Effort!C154</f>
        <v>19.307090066389922</v>
      </c>
      <c r="I154" s="279">
        <f t="shared" si="6"/>
        <v>28.473636960935739</v>
      </c>
      <c r="J154" s="159">
        <f t="shared" si="7"/>
        <v>0</v>
      </c>
      <c r="K154" s="42">
        <f t="shared" si="8"/>
        <v>0</v>
      </c>
      <c r="L154" s="172"/>
    </row>
    <row r="155" spans="1:12" x14ac:dyDescent="0.25">
      <c r="A155" s="38">
        <f>Données!A155</f>
        <v>5656</v>
      </c>
      <c r="B155" s="128" t="str">
        <f>Données!B155</f>
        <v>Hautemorges</v>
      </c>
      <c r="C155" s="266">
        <f>VPI!R155</f>
        <v>167962.47422535214</v>
      </c>
      <c r="D155" s="148">
        <f>(PCS!I161-PCS!F161)/C155</f>
        <v>11.468526634702148</v>
      </c>
      <c r="E155" s="381">
        <f>'Péréquation directe'!E161/C155</f>
        <v>-9.348940196330755</v>
      </c>
      <c r="F155" s="148">
        <f>'Péréquation directe'!F161/Effort!C155</f>
        <v>-5.6146732682518303</v>
      </c>
      <c r="G155" s="148">
        <f>'Péréquation directe'!G161/Effort!C155</f>
        <v>0</v>
      </c>
      <c r="H155" s="148">
        <f>'Péréquation directe'!J161/Effort!C155</f>
        <v>19.307090066389922</v>
      </c>
      <c r="I155" s="279">
        <f t="shared" si="6"/>
        <v>15.812003236509483</v>
      </c>
      <c r="J155" s="159">
        <f t="shared" si="7"/>
        <v>0</v>
      </c>
      <c r="K155" s="42">
        <f t="shared" si="8"/>
        <v>0</v>
      </c>
      <c r="L155" s="172"/>
    </row>
    <row r="156" spans="1:12" x14ac:dyDescent="0.25">
      <c r="A156" s="38">
        <f>Données!A156</f>
        <v>5661</v>
      </c>
      <c r="B156" s="128" t="str">
        <f>Données!B156</f>
        <v>Boulens</v>
      </c>
      <c r="C156" s="266">
        <f>VPI!R156</f>
        <v>10042.510349650349</v>
      </c>
      <c r="D156" s="148">
        <f>(PCS!I162-PCS!F162)/C156</f>
        <v>11.468526634702149</v>
      </c>
      <c r="E156" s="381">
        <f>'Péréquation directe'!E162/C156</f>
        <v>-4.9499961257868579</v>
      </c>
      <c r="F156" s="148">
        <f>'Péréquation directe'!F162/Effort!C156</f>
        <v>-17.694016679527422</v>
      </c>
      <c r="G156" s="148">
        <f>'Péréquation directe'!G162/Effort!C156</f>
        <v>0</v>
      </c>
      <c r="H156" s="148">
        <f>'Péréquation directe'!J162/Effort!C156</f>
        <v>19.307090066389922</v>
      </c>
      <c r="I156" s="279">
        <f t="shared" si="6"/>
        <v>8.1316038957777899</v>
      </c>
      <c r="J156" s="159">
        <f t="shared" si="7"/>
        <v>0</v>
      </c>
      <c r="K156" s="42">
        <f t="shared" si="8"/>
        <v>0</v>
      </c>
      <c r="L156" s="172"/>
    </row>
    <row r="157" spans="1:12" x14ac:dyDescent="0.25">
      <c r="A157" s="38">
        <f>Données!A157</f>
        <v>5663</v>
      </c>
      <c r="B157" s="128" t="str">
        <f>Données!B157</f>
        <v>Bussy-sur-Moudon</v>
      </c>
      <c r="C157" s="266">
        <f>VPI!R157</f>
        <v>7115.4099363057312</v>
      </c>
      <c r="D157" s="148">
        <f>(PCS!I163-PCS!F163)/C157</f>
        <v>11.468526634702149</v>
      </c>
      <c r="E157" s="381">
        <f>'Péréquation directe'!E163/C157</f>
        <v>-4.6268107142496051</v>
      </c>
      <c r="F157" s="148">
        <f>'Péréquation directe'!F163/Effort!C157</f>
        <v>-18.328733169762383</v>
      </c>
      <c r="G157" s="148">
        <f>'Péréquation directe'!G163/Effort!C157</f>
        <v>0</v>
      </c>
      <c r="H157" s="148">
        <f>'Péréquation directe'!J163/Effort!C157</f>
        <v>19.307090066389922</v>
      </c>
      <c r="I157" s="279">
        <f t="shared" si="6"/>
        <v>7.8200728170800815</v>
      </c>
      <c r="J157" s="159">
        <f t="shared" si="7"/>
        <v>0</v>
      </c>
      <c r="K157" s="42">
        <f t="shared" si="8"/>
        <v>0</v>
      </c>
      <c r="L157" s="172"/>
    </row>
    <row r="158" spans="1:12" x14ac:dyDescent="0.25">
      <c r="A158" s="38">
        <f>Données!A158</f>
        <v>5665</v>
      </c>
      <c r="B158" s="128" t="str">
        <f>Données!B158</f>
        <v>Chavannes-sur-Moudon</v>
      </c>
      <c r="C158" s="266">
        <f>VPI!R158</f>
        <v>5907.4868571428569</v>
      </c>
      <c r="D158" s="148">
        <f>(PCS!I164-PCS!F164)/C158</f>
        <v>11.468526634702151</v>
      </c>
      <c r="E158" s="381">
        <f>'Péréquation directe'!E164/C158</f>
        <v>-5.2842350817979575</v>
      </c>
      <c r="F158" s="148">
        <f>'Péréquation directe'!F164/Effort!C158</f>
        <v>-19.426018105382855</v>
      </c>
      <c r="G158" s="148">
        <f>'Péréquation directe'!G164/Effort!C158</f>
        <v>0</v>
      </c>
      <c r="H158" s="148">
        <f>'Péréquation directe'!J164/Effort!C158</f>
        <v>19.307090066389922</v>
      </c>
      <c r="I158" s="279">
        <f t="shared" si="6"/>
        <v>6.0653635139112598</v>
      </c>
      <c r="J158" s="159">
        <f t="shared" si="7"/>
        <v>0</v>
      </c>
      <c r="K158" s="42">
        <f t="shared" si="8"/>
        <v>0</v>
      </c>
      <c r="L158" s="172"/>
    </row>
    <row r="159" spans="1:12" x14ac:dyDescent="0.25">
      <c r="A159" s="38">
        <f>Données!A159</f>
        <v>5669</v>
      </c>
      <c r="B159" s="128" t="str">
        <f>Données!B159</f>
        <v>Curtilles</v>
      </c>
      <c r="C159" s="266">
        <f>VPI!R159</f>
        <v>9466.6579452054793</v>
      </c>
      <c r="D159" s="148">
        <f>(PCS!I165-PCS!F165)/C159</f>
        <v>11.468526634702151</v>
      </c>
      <c r="E159" s="381">
        <f>'Péréquation directe'!E165/C159</f>
        <v>-4.2950966965272634</v>
      </c>
      <c r="F159" s="148">
        <f>'Péréquation directe'!F165/Effort!C159</f>
        <v>-13.188039557273568</v>
      </c>
      <c r="G159" s="148">
        <f>'Péréquation directe'!G165/Effort!C159</f>
        <v>0</v>
      </c>
      <c r="H159" s="148">
        <f>'Péréquation directe'!J165/Effort!C159</f>
        <v>19.307090066389922</v>
      </c>
      <c r="I159" s="279">
        <f t="shared" si="6"/>
        <v>13.292480447291242</v>
      </c>
      <c r="J159" s="159">
        <f t="shared" si="7"/>
        <v>0</v>
      </c>
      <c r="K159" s="42">
        <f t="shared" si="8"/>
        <v>0</v>
      </c>
      <c r="L159" s="172"/>
    </row>
    <row r="160" spans="1:12" x14ac:dyDescent="0.25">
      <c r="A160" s="38">
        <f>Données!A160</f>
        <v>5671</v>
      </c>
      <c r="B160" s="128" t="str">
        <f>Données!B160</f>
        <v>Dompierre</v>
      </c>
      <c r="C160" s="266">
        <f>VPI!R160</f>
        <v>8071.3430769230772</v>
      </c>
      <c r="D160" s="148">
        <f>(PCS!I166-PCS!F166)/C160</f>
        <v>11.468526634702149</v>
      </c>
      <c r="E160" s="381">
        <f>'Péréquation directe'!E166/C160</f>
        <v>-4.1113329661473994</v>
      </c>
      <c r="F160" s="148">
        <f>'Péréquation directe'!F166/Effort!C160</f>
        <v>-13.372659887840733</v>
      </c>
      <c r="G160" s="148">
        <f>'Péréquation directe'!G166/Effort!C160</f>
        <v>0</v>
      </c>
      <c r="H160" s="148">
        <f>'Péréquation directe'!J166/Effort!C160</f>
        <v>19.307090066389922</v>
      </c>
      <c r="I160" s="279">
        <f t="shared" si="6"/>
        <v>13.291623847103939</v>
      </c>
      <c r="J160" s="159">
        <f t="shared" si="7"/>
        <v>0</v>
      </c>
      <c r="K160" s="42">
        <f t="shared" si="8"/>
        <v>0</v>
      </c>
      <c r="L160" s="172"/>
    </row>
    <row r="161" spans="1:12" x14ac:dyDescent="0.25">
      <c r="A161" s="38">
        <f>Données!A161</f>
        <v>5673</v>
      </c>
      <c r="B161" s="128" t="str">
        <f>Données!B161</f>
        <v>Hermenches</v>
      </c>
      <c r="C161" s="266">
        <f>VPI!R161</f>
        <v>11048.340272108846</v>
      </c>
      <c r="D161" s="148">
        <f>(PCS!I167-PCS!F167)/C161</f>
        <v>11.468526634702149</v>
      </c>
      <c r="E161" s="381">
        <f>'Péréquation directe'!E167/C161</f>
        <v>-4.4756101063534048</v>
      </c>
      <c r="F161" s="148">
        <f>'Péréquation directe'!F167/Effort!C161</f>
        <v>-14.838016995544193</v>
      </c>
      <c r="G161" s="148">
        <f>'Péréquation directe'!G167/Effort!C161</f>
        <v>0</v>
      </c>
      <c r="H161" s="148">
        <f>'Péréquation directe'!J167/Effort!C161</f>
        <v>19.307090066389922</v>
      </c>
      <c r="I161" s="279">
        <f t="shared" si="6"/>
        <v>11.461989599194474</v>
      </c>
      <c r="J161" s="159">
        <f t="shared" si="7"/>
        <v>0</v>
      </c>
      <c r="K161" s="42">
        <f t="shared" si="8"/>
        <v>0</v>
      </c>
      <c r="L161" s="172"/>
    </row>
    <row r="162" spans="1:12" x14ac:dyDescent="0.25">
      <c r="A162" s="38">
        <f>Données!A162</f>
        <v>5674</v>
      </c>
      <c r="B162" s="128" t="str">
        <f>Données!B162</f>
        <v>Lovatens</v>
      </c>
      <c r="C162" s="266">
        <f>VPI!R162</f>
        <v>4104.2373333333326</v>
      </c>
      <c r="D162" s="148">
        <f>(PCS!I168-PCS!F168)/C162</f>
        <v>11.468526634702149</v>
      </c>
      <c r="E162" s="381">
        <f>'Péréquation directe'!E168/C162</f>
        <v>-4.5379929295836696</v>
      </c>
      <c r="F162" s="148">
        <f>'Péréquation directe'!F168/Effort!C162</f>
        <v>-15.978320180895523</v>
      </c>
      <c r="G162" s="148">
        <f>'Péréquation directe'!G168/Effort!C162</f>
        <v>0</v>
      </c>
      <c r="H162" s="148">
        <f>'Péréquation directe'!J168/Effort!C162</f>
        <v>19.307090066389922</v>
      </c>
      <c r="I162" s="279">
        <f t="shared" si="6"/>
        <v>10.259303590612879</v>
      </c>
      <c r="J162" s="159">
        <f t="shared" si="7"/>
        <v>0</v>
      </c>
      <c r="K162" s="42">
        <f t="shared" si="8"/>
        <v>0</v>
      </c>
      <c r="L162" s="172"/>
    </row>
    <row r="163" spans="1:12" x14ac:dyDescent="0.25">
      <c r="A163" s="38">
        <f>Données!A163</f>
        <v>5675</v>
      </c>
      <c r="B163" s="128" t="str">
        <f>Données!B163</f>
        <v>Lucens</v>
      </c>
      <c r="C163" s="266">
        <f>VPI!R163</f>
        <v>97920.060444735136</v>
      </c>
      <c r="D163" s="148">
        <f>(PCS!I169-PCS!F169)/C163</f>
        <v>11.468526634702149</v>
      </c>
      <c r="E163" s="381">
        <f>'Péréquation directe'!E169/C163</f>
        <v>-17.407883309850867</v>
      </c>
      <c r="F163" s="148">
        <f>'Péréquation directe'!F169/Effort!C163</f>
        <v>-25.522432096750201</v>
      </c>
      <c r="G163" s="148">
        <f>'Péréquation directe'!G169/Effort!C163</f>
        <v>0</v>
      </c>
      <c r="H163" s="148">
        <f>'Péréquation directe'!J169/Effort!C163</f>
        <v>19.307090066389922</v>
      </c>
      <c r="I163" s="279">
        <f t="shared" si="6"/>
        <v>-12.154698705508995</v>
      </c>
      <c r="J163" s="159">
        <f t="shared" si="7"/>
        <v>0</v>
      </c>
      <c r="K163" s="42">
        <f t="shared" si="8"/>
        <v>0</v>
      </c>
      <c r="L163" s="172"/>
    </row>
    <row r="164" spans="1:12" x14ac:dyDescent="0.25">
      <c r="A164" s="38">
        <f>Données!A164</f>
        <v>5678</v>
      </c>
      <c r="B164" s="128" t="str">
        <f>Données!B164</f>
        <v>Moudon</v>
      </c>
      <c r="C164" s="266">
        <f>VPI!R164</f>
        <v>133786.12827586205</v>
      </c>
      <c r="D164" s="148">
        <f>(PCS!I170-PCS!F170)/C164</f>
        <v>11.468526634702148</v>
      </c>
      <c r="E164" s="381">
        <f>'Péréquation directe'!E170/C164</f>
        <v>-20.784171263879742</v>
      </c>
      <c r="F164" s="148">
        <f>'Péréquation directe'!F170/Effort!C164</f>
        <v>-28.483365900101738</v>
      </c>
      <c r="G164" s="148">
        <f>'Péréquation directe'!G170/Effort!C164</f>
        <v>0</v>
      </c>
      <c r="H164" s="148">
        <f>'Péréquation directe'!J170/Effort!C164</f>
        <v>19.307090066389922</v>
      </c>
      <c r="I164" s="279">
        <f t="shared" si="6"/>
        <v>-18.491920462889407</v>
      </c>
      <c r="J164" s="159">
        <f t="shared" si="7"/>
        <v>0</v>
      </c>
      <c r="K164" s="42">
        <f t="shared" si="8"/>
        <v>0</v>
      </c>
      <c r="L164" s="172"/>
    </row>
    <row r="165" spans="1:12" x14ac:dyDescent="0.25">
      <c r="A165" s="38">
        <f>Données!A165</f>
        <v>5680</v>
      </c>
      <c r="B165" s="128" t="str">
        <f>Données!B165</f>
        <v>Ogens</v>
      </c>
      <c r="C165" s="266">
        <f>VPI!R165</f>
        <v>7909.509316239315</v>
      </c>
      <c r="D165" s="148">
        <f>(PCS!I171-PCS!F171)/C165</f>
        <v>11.468526634702151</v>
      </c>
      <c r="E165" s="381">
        <f>'Péréquation directe'!E171/C165</f>
        <v>-5.5054963470972629</v>
      </c>
      <c r="F165" s="148">
        <f>'Péréquation directe'!F171/Effort!C165</f>
        <v>-26.147398471031988</v>
      </c>
      <c r="G165" s="148">
        <f>'Péréquation directe'!G171/Effort!C165</f>
        <v>0</v>
      </c>
      <c r="H165" s="148">
        <f>'Péréquation directe'!J171/Effort!C165</f>
        <v>19.307090066389922</v>
      </c>
      <c r="I165" s="279">
        <f t="shared" si="6"/>
        <v>-0.87727811703717862</v>
      </c>
      <c r="J165" s="159">
        <f t="shared" si="7"/>
        <v>0</v>
      </c>
      <c r="K165" s="42">
        <f t="shared" si="8"/>
        <v>0</v>
      </c>
      <c r="L165" s="172"/>
    </row>
    <row r="166" spans="1:12" x14ac:dyDescent="0.25">
      <c r="A166" s="38">
        <f>Données!A166</f>
        <v>5683</v>
      </c>
      <c r="B166" s="128" t="str">
        <f>Données!B166</f>
        <v>Prévonloup</v>
      </c>
      <c r="C166" s="266">
        <f>VPI!R166</f>
        <v>6488.9761379310348</v>
      </c>
      <c r="D166" s="148">
        <f>(PCS!I172-PCS!F172)/C166</f>
        <v>11.468526634702149</v>
      </c>
      <c r="E166" s="381">
        <f>'Péréquation directe'!E172/C166</f>
        <v>-4.5681483494026454</v>
      </c>
      <c r="F166" s="148">
        <f>'Péréquation directe'!F172/Effort!C166</f>
        <v>-15.169573476238572</v>
      </c>
      <c r="G166" s="148">
        <f>'Péréquation directe'!G172/Effort!C166</f>
        <v>0</v>
      </c>
      <c r="H166" s="148">
        <f>'Péréquation directe'!J172/Effort!C166</f>
        <v>19.307090066389922</v>
      </c>
      <c r="I166" s="279">
        <f t="shared" si="6"/>
        <v>11.037894875450853</v>
      </c>
      <c r="J166" s="159">
        <f t="shared" si="7"/>
        <v>0</v>
      </c>
      <c r="K166" s="42">
        <f t="shared" si="8"/>
        <v>0</v>
      </c>
      <c r="L166" s="172"/>
    </row>
    <row r="167" spans="1:12" x14ac:dyDescent="0.25">
      <c r="A167" s="38">
        <f>Données!A167</f>
        <v>5684</v>
      </c>
      <c r="B167" s="128" t="str">
        <f>Données!B167</f>
        <v>Rossenges</v>
      </c>
      <c r="C167" s="266">
        <f>VPI!R167</f>
        <v>5023.6746428571432</v>
      </c>
      <c r="D167" s="148">
        <f>(PCS!I173-PCS!F173)/C167</f>
        <v>13.339179971074403</v>
      </c>
      <c r="E167" s="381">
        <f>'Péréquation directe'!E173/C167</f>
        <v>-2.2975718655542283</v>
      </c>
      <c r="F167" s="148">
        <f>'Péréquation directe'!F173/Effort!C167</f>
        <v>0</v>
      </c>
      <c r="G167" s="148">
        <f>'Péréquation directe'!G173/Effort!C167</f>
        <v>0</v>
      </c>
      <c r="H167" s="148">
        <f>'Péréquation directe'!J173/Effort!C167</f>
        <v>19.307090066389922</v>
      </c>
      <c r="I167" s="279">
        <f t="shared" si="6"/>
        <v>30.348698171910094</v>
      </c>
      <c r="J167" s="159">
        <f t="shared" si="7"/>
        <v>0</v>
      </c>
      <c r="K167" s="42">
        <f t="shared" si="8"/>
        <v>0</v>
      </c>
      <c r="L167" s="172"/>
    </row>
    <row r="168" spans="1:12" x14ac:dyDescent="0.25">
      <c r="A168" s="38">
        <f>Données!A168</f>
        <v>5688</v>
      </c>
      <c r="B168" s="128" t="str">
        <f>Données!B168</f>
        <v>Syens</v>
      </c>
      <c r="C168" s="266">
        <f>VPI!R168</f>
        <v>5225.3353846153841</v>
      </c>
      <c r="D168" s="148">
        <f>(PCS!I174-PCS!F174)/C168</f>
        <v>11.468526634702149</v>
      </c>
      <c r="E168" s="381">
        <f>'Péréquation directe'!E174/C168</f>
        <v>-4.1667923150058765</v>
      </c>
      <c r="F168" s="148">
        <f>'Péréquation directe'!F174/Effort!C168</f>
        <v>-9.6394685264382627</v>
      </c>
      <c r="G168" s="148">
        <f>'Péréquation directe'!G174/Effort!C168</f>
        <v>0</v>
      </c>
      <c r="H168" s="148">
        <f>'Péréquation directe'!J174/Effort!C168</f>
        <v>19.307090066389922</v>
      </c>
      <c r="I168" s="279">
        <f t="shared" si="6"/>
        <v>16.969355859647933</v>
      </c>
      <c r="J168" s="159">
        <f t="shared" si="7"/>
        <v>0</v>
      </c>
      <c r="K168" s="42">
        <f t="shared" si="8"/>
        <v>0</v>
      </c>
      <c r="L168" s="172"/>
    </row>
    <row r="169" spans="1:12" x14ac:dyDescent="0.25">
      <c r="A169" s="38">
        <f>Données!A169</f>
        <v>5690</v>
      </c>
      <c r="B169" s="128" t="str">
        <f>Données!B169</f>
        <v>Villars-le-Comte</v>
      </c>
      <c r="C169" s="266">
        <f>VPI!R169</f>
        <v>4383.2226470588239</v>
      </c>
      <c r="D169" s="148">
        <f>(PCS!I175-PCS!F175)/C169</f>
        <v>11.468526634702149</v>
      </c>
      <c r="E169" s="381">
        <f>'Péréquation directe'!E175/C169</f>
        <v>-4.0396912552604505</v>
      </c>
      <c r="F169" s="148">
        <f>'Péréquation directe'!F175/Effort!C169</f>
        <v>-9.6646508916601839</v>
      </c>
      <c r="G169" s="148">
        <f>'Péréquation directe'!G175/Effort!C169</f>
        <v>0</v>
      </c>
      <c r="H169" s="148">
        <f>'Péréquation directe'!J175/Effort!C169</f>
        <v>19.307090066389922</v>
      </c>
      <c r="I169" s="279">
        <f t="shared" si="6"/>
        <v>17.071274554171438</v>
      </c>
      <c r="J169" s="159">
        <f t="shared" si="7"/>
        <v>0</v>
      </c>
      <c r="K169" s="42">
        <f t="shared" si="8"/>
        <v>0</v>
      </c>
      <c r="L169" s="172"/>
    </row>
    <row r="170" spans="1:12" x14ac:dyDescent="0.25">
      <c r="A170" s="38">
        <f>Données!A170</f>
        <v>5692</v>
      </c>
      <c r="B170" s="128" t="str">
        <f>Données!B170</f>
        <v>Vucherens</v>
      </c>
      <c r="C170" s="266">
        <f>VPI!R170</f>
        <v>18408.334805194805</v>
      </c>
      <c r="D170" s="148">
        <f>(PCS!I176-PCS!F176)/C170</f>
        <v>11.468526634702148</v>
      </c>
      <c r="E170" s="381">
        <f>'Péréquation directe'!E176/C170</f>
        <v>-4.5244642165663098</v>
      </c>
      <c r="F170" s="148">
        <f>'Péréquation directe'!F176/Effort!C170</f>
        <v>-16.721054014657199</v>
      </c>
      <c r="G170" s="148">
        <f>'Péréquation directe'!G176/Effort!C170</f>
        <v>0</v>
      </c>
      <c r="H170" s="148">
        <f>'Péréquation directe'!J176/Effort!C170</f>
        <v>19.307090066389922</v>
      </c>
      <c r="I170" s="279">
        <f t="shared" si="6"/>
        <v>9.5300984698685607</v>
      </c>
      <c r="J170" s="159">
        <f t="shared" si="7"/>
        <v>0</v>
      </c>
      <c r="K170" s="42">
        <f t="shared" si="8"/>
        <v>0</v>
      </c>
      <c r="L170" s="172"/>
    </row>
    <row r="171" spans="1:12" x14ac:dyDescent="0.25">
      <c r="A171" s="38">
        <f>Données!A171</f>
        <v>5693</v>
      </c>
      <c r="B171" s="128" t="str">
        <f>Données!B171</f>
        <v>Montanaire</v>
      </c>
      <c r="C171" s="266">
        <f>VPI!R171</f>
        <v>74596.156714285724</v>
      </c>
      <c r="D171" s="148">
        <f>(PCS!I177-PCS!F177)/C171</f>
        <v>11.468526634702149</v>
      </c>
      <c r="E171" s="381">
        <f>'Péréquation directe'!E177/C171</f>
        <v>-10.792408329857214</v>
      </c>
      <c r="F171" s="148">
        <f>'Péréquation directe'!F177/Effort!C171</f>
        <v>-17.215973606791216</v>
      </c>
      <c r="G171" s="148">
        <f>'Péréquation directe'!G177/Effort!C171</f>
        <v>0</v>
      </c>
      <c r="H171" s="148">
        <f>'Péréquation directe'!J177/Effort!C171</f>
        <v>19.307090066389922</v>
      </c>
      <c r="I171" s="279">
        <f t="shared" si="6"/>
        <v>2.7672347644436392</v>
      </c>
      <c r="J171" s="159">
        <f t="shared" si="7"/>
        <v>0</v>
      </c>
      <c r="K171" s="42">
        <f t="shared" si="8"/>
        <v>0</v>
      </c>
      <c r="L171" s="172"/>
    </row>
    <row r="172" spans="1:12" x14ac:dyDescent="0.25">
      <c r="A172" s="38">
        <f>Données!A172</f>
        <v>5701</v>
      </c>
      <c r="B172" s="128" t="str">
        <f>Données!B172</f>
        <v>Arnex-sur-Nyon</v>
      </c>
      <c r="C172" s="266">
        <f>VPI!R172</f>
        <v>14428.628999999999</v>
      </c>
      <c r="D172" s="148">
        <f>(PCS!I178-PCS!F178)/C172</f>
        <v>13.886780470090207</v>
      </c>
      <c r="E172" s="381">
        <f>'Péréquation directe'!E178/C172</f>
        <v>-2.1998761755603105</v>
      </c>
      <c r="F172" s="148">
        <f>'Péréquation directe'!F178/Effort!C172</f>
        <v>0</v>
      </c>
      <c r="G172" s="148">
        <f>'Péréquation directe'!G178/Effort!C172</f>
        <v>0</v>
      </c>
      <c r="H172" s="148">
        <f>'Péréquation directe'!J178/Effort!C172</f>
        <v>19.307090066389922</v>
      </c>
      <c r="I172" s="279">
        <f t="shared" si="6"/>
        <v>30.993994360919817</v>
      </c>
      <c r="J172" s="159">
        <f t="shared" si="7"/>
        <v>0</v>
      </c>
      <c r="K172" s="42">
        <f t="shared" si="8"/>
        <v>0</v>
      </c>
      <c r="L172" s="172"/>
    </row>
    <row r="173" spans="1:12" x14ac:dyDescent="0.25">
      <c r="A173" s="38">
        <f>Données!A173</f>
        <v>5702</v>
      </c>
      <c r="B173" s="128" t="str">
        <f>Données!B173</f>
        <v>Arzier-Le Muids</v>
      </c>
      <c r="C173" s="266">
        <f>VPI!R173</f>
        <v>188642.38078125002</v>
      </c>
      <c r="D173" s="148">
        <f>(PCS!I179-PCS!F179)/C173</f>
        <v>14.71555692078153</v>
      </c>
      <c r="E173" s="381">
        <f>'Péréquation directe'!E179/C173</f>
        <v>-4.5324844736947618</v>
      </c>
      <c r="F173" s="148">
        <f>'Péréquation directe'!F179/Effort!C173</f>
        <v>0</v>
      </c>
      <c r="G173" s="148">
        <f>'Péréquation directe'!G179/Effort!C173</f>
        <v>0</v>
      </c>
      <c r="H173" s="148">
        <f>'Péréquation directe'!J179/Effort!C173</f>
        <v>19.307090066389922</v>
      </c>
      <c r="I173" s="279">
        <f t="shared" si="6"/>
        <v>29.49016251347669</v>
      </c>
      <c r="J173" s="159">
        <f t="shared" si="7"/>
        <v>0</v>
      </c>
      <c r="K173" s="42">
        <f t="shared" si="8"/>
        <v>0</v>
      </c>
      <c r="L173" s="172"/>
    </row>
    <row r="174" spans="1:12" x14ac:dyDescent="0.25">
      <c r="A174" s="38">
        <f>Données!A174</f>
        <v>5703</v>
      </c>
      <c r="B174" s="128" t="str">
        <f>Données!B174</f>
        <v>Bassins</v>
      </c>
      <c r="C174" s="266">
        <f>VPI!R174</f>
        <v>66120.332571428575</v>
      </c>
      <c r="D174" s="148">
        <f>(PCS!I180-PCS!F180)/C174</f>
        <v>11.468526634702148</v>
      </c>
      <c r="E174" s="381">
        <f>'Péréquation directe'!E180/C174</f>
        <v>-4.6664227255949635</v>
      </c>
      <c r="F174" s="148">
        <f>'Péréquation directe'!F180/Effort!C174</f>
        <v>-2.2948747247439196</v>
      </c>
      <c r="G174" s="148">
        <f>'Péréquation directe'!G180/Effort!C174</f>
        <v>0</v>
      </c>
      <c r="H174" s="148">
        <f>'Péréquation directe'!J180/Effort!C174</f>
        <v>19.307090066389922</v>
      </c>
      <c r="I174" s="279">
        <f t="shared" si="6"/>
        <v>23.814319250753186</v>
      </c>
      <c r="J174" s="159">
        <f t="shared" si="7"/>
        <v>0</v>
      </c>
      <c r="K174" s="42">
        <f t="shared" si="8"/>
        <v>0</v>
      </c>
      <c r="L174" s="172"/>
    </row>
    <row r="175" spans="1:12" x14ac:dyDescent="0.25">
      <c r="A175" s="38">
        <f>Données!A175</f>
        <v>5704</v>
      </c>
      <c r="B175" s="128" t="str">
        <f>Données!B175</f>
        <v>Begnins</v>
      </c>
      <c r="C175" s="266">
        <f>VPI!R175</f>
        <v>140338.01370666668</v>
      </c>
      <c r="D175" s="148">
        <f>(PCS!I181-PCS!F181)/C175</f>
        <v>16.064937503413304</v>
      </c>
      <c r="E175" s="381">
        <f>'Péréquation directe'!E181/C175</f>
        <v>-3.5724712633790396</v>
      </c>
      <c r="F175" s="148">
        <f>'Péréquation directe'!F181/Effort!C175</f>
        <v>0</v>
      </c>
      <c r="G175" s="148">
        <f>'Péréquation directe'!G181/Effort!C175</f>
        <v>0</v>
      </c>
      <c r="H175" s="148">
        <f>'Péréquation directe'!J181/Effort!C175</f>
        <v>19.307090066389922</v>
      </c>
      <c r="I175" s="279">
        <f t="shared" si="6"/>
        <v>31.799556306424186</v>
      </c>
      <c r="J175" s="159">
        <f t="shared" si="7"/>
        <v>0</v>
      </c>
      <c r="K175" s="42">
        <f t="shared" si="8"/>
        <v>0</v>
      </c>
      <c r="L175" s="172"/>
    </row>
    <row r="176" spans="1:12" x14ac:dyDescent="0.25">
      <c r="A176" s="38">
        <f>Données!A176</f>
        <v>5705</v>
      </c>
      <c r="B176" s="128" t="str">
        <f>Données!B176</f>
        <v>Bogis-Bossey</v>
      </c>
      <c r="C176" s="266">
        <f>VPI!R176</f>
        <v>55817.342916666668</v>
      </c>
      <c r="D176" s="148">
        <f>(PCS!I182-PCS!F182)/C176</f>
        <v>13.325710484476689</v>
      </c>
      <c r="E176" s="381">
        <f>'Péréquation directe'!E182/C176</f>
        <v>-2.3098953044459747</v>
      </c>
      <c r="F176" s="148">
        <f>'Péréquation directe'!F182/Effort!C176</f>
        <v>0</v>
      </c>
      <c r="G176" s="148">
        <f>'Péréquation directe'!G182/Effort!C176</f>
        <v>0</v>
      </c>
      <c r="H176" s="148">
        <f>'Péréquation directe'!J182/Effort!C176</f>
        <v>19.307090066389922</v>
      </c>
      <c r="I176" s="279">
        <f t="shared" si="6"/>
        <v>30.322905246420635</v>
      </c>
      <c r="J176" s="159">
        <f t="shared" si="7"/>
        <v>0</v>
      </c>
      <c r="K176" s="42">
        <f t="shared" si="8"/>
        <v>0</v>
      </c>
      <c r="L176" s="172"/>
    </row>
    <row r="177" spans="1:12" x14ac:dyDescent="0.25">
      <c r="A177" s="38">
        <f>Données!A177</f>
        <v>5706</v>
      </c>
      <c r="B177" s="128" t="str">
        <f>Données!B177</f>
        <v>Borex</v>
      </c>
      <c r="C177" s="266">
        <f>VPI!R177</f>
        <v>71534.631578947388</v>
      </c>
      <c r="D177" s="148">
        <f>(PCS!I183-PCS!F183)/C177</f>
        <v>14.254805357591957</v>
      </c>
      <c r="E177" s="381">
        <f>'Péréquation directe'!E183/C177</f>
        <v>-2.5266251211992068</v>
      </c>
      <c r="F177" s="148">
        <f>'Péréquation directe'!F183/Effort!C177</f>
        <v>0</v>
      </c>
      <c r="G177" s="148">
        <f>'Péréquation directe'!G183/Effort!C177</f>
        <v>0</v>
      </c>
      <c r="H177" s="148">
        <f>'Péréquation directe'!J183/Effort!C177</f>
        <v>19.307090066389922</v>
      </c>
      <c r="I177" s="279">
        <f t="shared" si="6"/>
        <v>31.035270302782671</v>
      </c>
      <c r="J177" s="159">
        <f t="shared" si="7"/>
        <v>0</v>
      </c>
      <c r="K177" s="42">
        <f t="shared" si="8"/>
        <v>0</v>
      </c>
      <c r="L177" s="172"/>
    </row>
    <row r="178" spans="1:12" x14ac:dyDescent="0.25">
      <c r="A178" s="38">
        <f>Données!A178</f>
        <v>5707</v>
      </c>
      <c r="B178" s="128" t="str">
        <f>Données!B178</f>
        <v>Chavannes-de-Bogis</v>
      </c>
      <c r="C178" s="266">
        <f>VPI!R178</f>
        <v>92416.422643678146</v>
      </c>
      <c r="D178" s="148">
        <f>(PCS!I184-PCS!F184)/C178</f>
        <v>15.022033403281577</v>
      </c>
      <c r="E178" s="381">
        <f>'Péréquation directe'!E184/C178</f>
        <v>-2.9849657805792598</v>
      </c>
      <c r="F178" s="148">
        <f>'Péréquation directe'!F184/Effort!C178</f>
        <v>0</v>
      </c>
      <c r="G178" s="148">
        <f>'Péréquation directe'!G184/Effort!C178</f>
        <v>0</v>
      </c>
      <c r="H178" s="148">
        <f>'Péréquation directe'!J184/Effort!C178</f>
        <v>19.307090066389922</v>
      </c>
      <c r="I178" s="279">
        <f t="shared" si="6"/>
        <v>31.344157689092238</v>
      </c>
      <c r="J178" s="159">
        <f t="shared" si="7"/>
        <v>0</v>
      </c>
      <c r="K178" s="42">
        <f t="shared" si="8"/>
        <v>0</v>
      </c>
      <c r="L178" s="172"/>
    </row>
    <row r="179" spans="1:12" x14ac:dyDescent="0.25">
      <c r="A179" s="38">
        <f>Données!A179</f>
        <v>5708</v>
      </c>
      <c r="B179" s="128" t="str">
        <f>Données!B179</f>
        <v>Chavannes-des-Bois</v>
      </c>
      <c r="C179" s="266">
        <f>VPI!R179</f>
        <v>78320.692500000005</v>
      </c>
      <c r="D179" s="148">
        <f>(PCS!I185-PCS!F185)/C179</f>
        <v>18.263854874060343</v>
      </c>
      <c r="E179" s="381">
        <f>'Péréquation directe'!E185/C179</f>
        <v>-1.7262584924588129</v>
      </c>
      <c r="F179" s="148">
        <f>'Péréquation directe'!F185/Effort!C179</f>
        <v>0</v>
      </c>
      <c r="G179" s="148">
        <f>'Péréquation directe'!G185/Effort!C179</f>
        <v>0</v>
      </c>
      <c r="H179" s="148">
        <f>'Péréquation directe'!J185/Effort!C179</f>
        <v>19.307090066389922</v>
      </c>
      <c r="I179" s="279">
        <f t="shared" si="6"/>
        <v>35.84468644799145</v>
      </c>
      <c r="J179" s="159">
        <f t="shared" si="7"/>
        <v>0</v>
      </c>
      <c r="K179" s="42">
        <f t="shared" si="8"/>
        <v>0</v>
      </c>
      <c r="L179" s="172"/>
    </row>
    <row r="180" spans="1:12" x14ac:dyDescent="0.25">
      <c r="A180" s="38">
        <f>Données!A180</f>
        <v>5709</v>
      </c>
      <c r="B180" s="128" t="str">
        <f>Données!B180</f>
        <v>Chéserex</v>
      </c>
      <c r="C180" s="266">
        <f>VPI!R180</f>
        <v>110451.70315789471</v>
      </c>
      <c r="D180" s="148">
        <f>(PCS!I186-PCS!F186)/C180</f>
        <v>18.961206100699616</v>
      </c>
      <c r="E180" s="381">
        <f>'Péréquation directe'!E186/C180</f>
        <v>-2.1052092182731705</v>
      </c>
      <c r="F180" s="148">
        <f>'Péréquation directe'!F186/Effort!C180</f>
        <v>0</v>
      </c>
      <c r="G180" s="148">
        <f>'Péréquation directe'!G186/Effort!C180</f>
        <v>0</v>
      </c>
      <c r="H180" s="148">
        <f>'Péréquation directe'!J186/Effort!C180</f>
        <v>19.307090066389922</v>
      </c>
      <c r="I180" s="279">
        <f t="shared" si="6"/>
        <v>36.163086948816371</v>
      </c>
      <c r="J180" s="159">
        <f t="shared" si="7"/>
        <v>0</v>
      </c>
      <c r="K180" s="42">
        <f t="shared" si="8"/>
        <v>0</v>
      </c>
      <c r="L180" s="172"/>
    </row>
    <row r="181" spans="1:12" x14ac:dyDescent="0.25">
      <c r="A181" s="38">
        <f>Données!A181</f>
        <v>5710</v>
      </c>
      <c r="B181" s="128" t="str">
        <f>Données!B181</f>
        <v>Coinsins</v>
      </c>
      <c r="C181" s="266">
        <f>VPI!R181</f>
        <v>31247.070588235296</v>
      </c>
      <c r="D181" s="148">
        <f>(PCS!I187-PCS!F187)/C181</f>
        <v>13.361687166851791</v>
      </c>
      <c r="E181" s="381">
        <f>'Péréquation directe'!E187/C181</f>
        <v>-2.1785422472822646</v>
      </c>
      <c r="F181" s="148">
        <f>'Péréquation directe'!F187/Effort!C181</f>
        <v>0</v>
      </c>
      <c r="G181" s="148">
        <f>'Péréquation directe'!G187/Effort!C181</f>
        <v>0</v>
      </c>
      <c r="H181" s="148">
        <f>'Péréquation directe'!J187/Effort!C181</f>
        <v>19.307090066389922</v>
      </c>
      <c r="I181" s="279">
        <f t="shared" si="6"/>
        <v>30.490234985959447</v>
      </c>
      <c r="J181" s="159">
        <f t="shared" si="7"/>
        <v>0</v>
      </c>
      <c r="K181" s="42">
        <f t="shared" si="8"/>
        <v>0</v>
      </c>
      <c r="L181" s="172"/>
    </row>
    <row r="182" spans="1:12" x14ac:dyDescent="0.25">
      <c r="A182" s="38">
        <f>Données!A182</f>
        <v>5711</v>
      </c>
      <c r="B182" s="128" t="str">
        <f>Données!B182</f>
        <v>Commugny</v>
      </c>
      <c r="C182" s="266">
        <f>VPI!R182</f>
        <v>264202.11623481783</v>
      </c>
      <c r="D182" s="148">
        <f>(PCS!I188-PCS!F188)/C182</f>
        <v>19.258158488375418</v>
      </c>
      <c r="E182" s="381">
        <f>'Péréquation directe'!E188/C182</f>
        <v>-3.2668104697144598</v>
      </c>
      <c r="F182" s="148">
        <f>'Péréquation directe'!F188/Effort!C182</f>
        <v>0</v>
      </c>
      <c r="G182" s="148">
        <f>'Péréquation directe'!G188/Effort!C182</f>
        <v>0</v>
      </c>
      <c r="H182" s="148">
        <f>'Péréquation directe'!J188/Effort!C182</f>
        <v>19.307090066389922</v>
      </c>
      <c r="I182" s="279">
        <f t="shared" si="6"/>
        <v>35.298438085050876</v>
      </c>
      <c r="J182" s="159">
        <f t="shared" si="7"/>
        <v>0</v>
      </c>
      <c r="K182" s="42">
        <f t="shared" si="8"/>
        <v>0</v>
      </c>
      <c r="L182" s="172"/>
    </row>
    <row r="183" spans="1:12" x14ac:dyDescent="0.25">
      <c r="A183" s="38">
        <f>Données!A183</f>
        <v>5712</v>
      </c>
      <c r="B183" s="128" t="str">
        <f>Données!B183</f>
        <v>Coppet</v>
      </c>
      <c r="C183" s="266">
        <f>VPI!R183</f>
        <v>381890.66242424241</v>
      </c>
      <c r="D183" s="148">
        <f>(PCS!I189-PCS!F189)/C183</f>
        <v>23.777633916550062</v>
      </c>
      <c r="E183" s="381">
        <f>'Péréquation directe'!E189/C183</f>
        <v>-2.5182065760918202</v>
      </c>
      <c r="F183" s="148">
        <f>'Péréquation directe'!F189/Effort!C183</f>
        <v>0</v>
      </c>
      <c r="G183" s="148">
        <f>'Péréquation directe'!G189/Effort!C183</f>
        <v>0</v>
      </c>
      <c r="H183" s="148">
        <f>'Péréquation directe'!J189/Effort!C183</f>
        <v>19.307090066389922</v>
      </c>
      <c r="I183" s="279">
        <f t="shared" si="6"/>
        <v>40.566517406848163</v>
      </c>
      <c r="J183" s="159">
        <f t="shared" si="7"/>
        <v>0</v>
      </c>
      <c r="K183" s="42">
        <f t="shared" si="8"/>
        <v>0</v>
      </c>
      <c r="L183" s="172"/>
    </row>
    <row r="184" spans="1:12" x14ac:dyDescent="0.25">
      <c r="A184" s="38">
        <f>Données!A184</f>
        <v>5713</v>
      </c>
      <c r="B184" s="128" t="str">
        <f>Données!B184</f>
        <v>Crans</v>
      </c>
      <c r="C184" s="266">
        <f>VPI!R184</f>
        <v>303238.4722033898</v>
      </c>
      <c r="D184" s="148">
        <f>(PCS!I190-PCS!F190)/C184</f>
        <v>25.339809338776039</v>
      </c>
      <c r="E184" s="381">
        <f>'Péréquation directe'!E190/C184</f>
        <v>-2.1571503812245516</v>
      </c>
      <c r="F184" s="148">
        <f>'Péréquation directe'!F190/Effort!C184</f>
        <v>0</v>
      </c>
      <c r="G184" s="148">
        <f>'Péréquation directe'!G190/Effort!C184</f>
        <v>0</v>
      </c>
      <c r="H184" s="148">
        <f>'Péréquation directe'!J190/Effort!C184</f>
        <v>19.307090066389922</v>
      </c>
      <c r="I184" s="279">
        <f t="shared" si="6"/>
        <v>42.489749023941414</v>
      </c>
      <c r="J184" s="159">
        <f t="shared" si="7"/>
        <v>0</v>
      </c>
      <c r="K184" s="42">
        <f t="shared" si="8"/>
        <v>0</v>
      </c>
      <c r="L184" s="172"/>
    </row>
    <row r="185" spans="1:12" x14ac:dyDescent="0.25">
      <c r="A185" s="38">
        <f>Données!A185</f>
        <v>5714</v>
      </c>
      <c r="B185" s="128" t="str">
        <f>Données!B185</f>
        <v>Crassier</v>
      </c>
      <c r="C185" s="266">
        <f>VPI!R185</f>
        <v>66120.939097744369</v>
      </c>
      <c r="D185" s="148">
        <f>(PCS!I191-PCS!F191)/C185</f>
        <v>12.103991973069906</v>
      </c>
      <c r="E185" s="381">
        <f>'Péréquation directe'!E191/C185</f>
        <v>-3.4999833072014881</v>
      </c>
      <c r="F185" s="148">
        <f>'Péréquation directe'!F191/Effort!C185</f>
        <v>0</v>
      </c>
      <c r="G185" s="148">
        <f>'Péréquation directe'!G191/Effort!C185</f>
        <v>0</v>
      </c>
      <c r="H185" s="148">
        <f>'Péréquation directe'!J191/Effort!C185</f>
        <v>19.307090066389922</v>
      </c>
      <c r="I185" s="279">
        <f t="shared" si="6"/>
        <v>27.911098732258338</v>
      </c>
      <c r="J185" s="159">
        <f t="shared" si="7"/>
        <v>0</v>
      </c>
      <c r="K185" s="42">
        <f t="shared" si="8"/>
        <v>0</v>
      </c>
      <c r="L185" s="172"/>
    </row>
    <row r="186" spans="1:12" x14ac:dyDescent="0.25">
      <c r="A186" s="38">
        <f>Données!A186</f>
        <v>5715</v>
      </c>
      <c r="B186" s="128" t="str">
        <f>Données!B186</f>
        <v>Duillier</v>
      </c>
      <c r="C186" s="266">
        <f>VPI!R186</f>
        <v>62085.974545454548</v>
      </c>
      <c r="D186" s="148">
        <f>(PCS!I192-PCS!F192)/C186</f>
        <v>12.943779057690616</v>
      </c>
      <c r="E186" s="381">
        <f>'Péréquation directe'!E192/C186</f>
        <v>-2.7928389306930526</v>
      </c>
      <c r="F186" s="148">
        <f>'Péréquation directe'!F192/Effort!C186</f>
        <v>0</v>
      </c>
      <c r="G186" s="148">
        <f>'Péréquation directe'!G192/Effort!C186</f>
        <v>0</v>
      </c>
      <c r="H186" s="148">
        <f>'Péréquation directe'!J192/Effort!C186</f>
        <v>19.307090066389922</v>
      </c>
      <c r="I186" s="279">
        <f t="shared" si="6"/>
        <v>29.458030193387486</v>
      </c>
      <c r="J186" s="159">
        <f t="shared" si="7"/>
        <v>0</v>
      </c>
      <c r="K186" s="42">
        <f t="shared" si="8"/>
        <v>0</v>
      </c>
      <c r="L186" s="172"/>
    </row>
    <row r="187" spans="1:12" x14ac:dyDescent="0.25">
      <c r="A187" s="38">
        <f>Données!A187</f>
        <v>5716</v>
      </c>
      <c r="B187" s="128" t="str">
        <f>Données!B187</f>
        <v>Eysins</v>
      </c>
      <c r="C187" s="266">
        <f>VPI!R187</f>
        <v>264344.77579831937</v>
      </c>
      <c r="D187" s="148">
        <f>(PCS!I193-PCS!F193)/C187</f>
        <v>28.389816620540504</v>
      </c>
      <c r="E187" s="381">
        <f>'Péréquation directe'!E193/C187</f>
        <v>-1.5228684687561027</v>
      </c>
      <c r="F187" s="148">
        <f>'Péréquation directe'!F193/Effort!C187</f>
        <v>0</v>
      </c>
      <c r="G187" s="148">
        <f>'Péréquation directe'!G193/Effort!C187</f>
        <v>0</v>
      </c>
      <c r="H187" s="148">
        <f>'Péréquation directe'!J193/Effort!C187</f>
        <v>19.307090066389922</v>
      </c>
      <c r="I187" s="279">
        <f t="shared" si="6"/>
        <v>46.174038218174324</v>
      </c>
      <c r="J187" s="159">
        <f t="shared" si="7"/>
        <v>0</v>
      </c>
      <c r="K187" s="42">
        <f t="shared" si="8"/>
        <v>0</v>
      </c>
      <c r="L187" s="172"/>
    </row>
    <row r="188" spans="1:12" x14ac:dyDescent="0.25">
      <c r="A188" s="38">
        <f>Données!A188</f>
        <v>5717</v>
      </c>
      <c r="B188" s="128" t="str">
        <f>Données!B188</f>
        <v>Founex</v>
      </c>
      <c r="C188" s="266">
        <f>VPI!R188</f>
        <v>391171.86561403517</v>
      </c>
      <c r="D188" s="148">
        <f>(PCS!I194-PCS!F194)/C188</f>
        <v>21.658095040620349</v>
      </c>
      <c r="E188" s="381">
        <f>'Péréquation directe'!E194/C188</f>
        <v>-3.2752614731991128</v>
      </c>
      <c r="F188" s="148">
        <f>'Péréquation directe'!F194/Effort!C188</f>
        <v>0</v>
      </c>
      <c r="G188" s="148">
        <f>'Péréquation directe'!G194/Effort!C188</f>
        <v>0</v>
      </c>
      <c r="H188" s="148">
        <f>'Péréquation directe'!J194/Effort!C188</f>
        <v>19.307090066389922</v>
      </c>
      <c r="I188" s="279">
        <f t="shared" si="6"/>
        <v>37.689923633811162</v>
      </c>
      <c r="J188" s="159">
        <f t="shared" si="7"/>
        <v>0</v>
      </c>
      <c r="K188" s="42">
        <f t="shared" si="8"/>
        <v>0</v>
      </c>
      <c r="L188" s="172"/>
    </row>
    <row r="189" spans="1:12" x14ac:dyDescent="0.25">
      <c r="A189" s="38">
        <f>Données!A189</f>
        <v>5718</v>
      </c>
      <c r="B189" s="128" t="str">
        <f>Données!B189</f>
        <v>Genolier</v>
      </c>
      <c r="C189" s="266">
        <f>VPI!R189</f>
        <v>199612.23730769227</v>
      </c>
      <c r="D189" s="148">
        <f>(PCS!I195-PCS!F195)/C189</f>
        <v>19.927069920867101</v>
      </c>
      <c r="E189" s="381">
        <f>'Péréquation directe'!E195/C189</f>
        <v>-2.5668322427084913</v>
      </c>
      <c r="F189" s="148">
        <f>'Péréquation directe'!F195/Effort!C189</f>
        <v>0</v>
      </c>
      <c r="G189" s="148">
        <f>'Péréquation directe'!G195/Effort!C189</f>
        <v>0</v>
      </c>
      <c r="H189" s="148">
        <f>'Péréquation directe'!J195/Effort!C189</f>
        <v>19.307090066389922</v>
      </c>
      <c r="I189" s="279">
        <f t="shared" si="6"/>
        <v>36.66732774454853</v>
      </c>
      <c r="J189" s="159">
        <f t="shared" si="7"/>
        <v>0</v>
      </c>
      <c r="K189" s="42">
        <f t="shared" si="8"/>
        <v>0</v>
      </c>
      <c r="L189" s="172"/>
    </row>
    <row r="190" spans="1:12" x14ac:dyDescent="0.25">
      <c r="A190" s="38">
        <f>Données!A190</f>
        <v>5719</v>
      </c>
      <c r="B190" s="128" t="str">
        <f>Données!B190</f>
        <v>Gingins</v>
      </c>
      <c r="C190" s="266">
        <f>VPI!R190</f>
        <v>144024.32127777775</v>
      </c>
      <c r="D190" s="148">
        <f>(PCS!I196-PCS!F196)/C190</f>
        <v>24.046535991109145</v>
      </c>
      <c r="E190" s="381">
        <f>'Péréquation directe'!E196/C190</f>
        <v>-1.5787777532910419</v>
      </c>
      <c r="F190" s="148">
        <f>'Péréquation directe'!F196/Effort!C190</f>
        <v>0</v>
      </c>
      <c r="G190" s="148">
        <f>'Péréquation directe'!G196/Effort!C190</f>
        <v>0</v>
      </c>
      <c r="H190" s="148">
        <f>'Péréquation directe'!J196/Effort!C190</f>
        <v>19.307090066389922</v>
      </c>
      <c r="I190" s="279">
        <f t="shared" si="6"/>
        <v>41.774848304208021</v>
      </c>
      <c r="J190" s="159">
        <f t="shared" si="7"/>
        <v>0</v>
      </c>
      <c r="K190" s="42">
        <f t="shared" si="8"/>
        <v>0</v>
      </c>
      <c r="L190" s="172"/>
    </row>
    <row r="191" spans="1:12" x14ac:dyDescent="0.25">
      <c r="A191" s="38">
        <f>Données!A191</f>
        <v>5720</v>
      </c>
      <c r="B191" s="128" t="str">
        <f>Données!B191</f>
        <v>Givrins</v>
      </c>
      <c r="C191" s="266">
        <f>VPI!R191</f>
        <v>79448.9027363184</v>
      </c>
      <c r="D191" s="148">
        <f>(PCS!I197-PCS!F197)/C191</f>
        <v>18.292590239835878</v>
      </c>
      <c r="E191" s="381">
        <f>'Péréquation directe'!E197/C191</f>
        <v>-1.7387249411217687</v>
      </c>
      <c r="F191" s="148">
        <f>'Péréquation directe'!F197/Effort!C191</f>
        <v>0</v>
      </c>
      <c r="G191" s="148">
        <f>'Péréquation directe'!G197/Effort!C191</f>
        <v>0</v>
      </c>
      <c r="H191" s="148">
        <f>'Péréquation directe'!J197/Effort!C191</f>
        <v>19.307090066389922</v>
      </c>
      <c r="I191" s="279">
        <f t="shared" si="6"/>
        <v>35.860955365104033</v>
      </c>
      <c r="J191" s="159">
        <f t="shared" si="7"/>
        <v>0</v>
      </c>
      <c r="K191" s="42">
        <f t="shared" si="8"/>
        <v>0</v>
      </c>
      <c r="L191" s="172"/>
    </row>
    <row r="192" spans="1:12" x14ac:dyDescent="0.25">
      <c r="A192" s="38">
        <f>Données!A192</f>
        <v>5721</v>
      </c>
      <c r="B192" s="128" t="str">
        <f>Données!B192</f>
        <v>Gland</v>
      </c>
      <c r="C192" s="266">
        <f>VPI!R192</f>
        <v>729933.83950819669</v>
      </c>
      <c r="D192" s="148">
        <f>(PCS!I198-PCS!F198)/C192</f>
        <v>12.11518993460157</v>
      </c>
      <c r="E192" s="381">
        <f>'Péréquation directe'!E198/C192</f>
        <v>-12.579752885727867</v>
      </c>
      <c r="F192" s="148">
        <f>'Péréquation directe'!F198/Effort!C192</f>
        <v>0</v>
      </c>
      <c r="G192" s="148">
        <f>'Péréquation directe'!G198/Effort!C192</f>
        <v>0</v>
      </c>
      <c r="H192" s="148">
        <f>'Péréquation directe'!J198/Effort!C192</f>
        <v>19.307090066389922</v>
      </c>
      <c r="I192" s="279">
        <f t="shared" si="6"/>
        <v>18.842527115263625</v>
      </c>
      <c r="J192" s="159">
        <f t="shared" si="7"/>
        <v>0</v>
      </c>
      <c r="K192" s="42">
        <f t="shared" si="8"/>
        <v>0</v>
      </c>
      <c r="L192" s="172"/>
    </row>
    <row r="193" spans="1:12" x14ac:dyDescent="0.25">
      <c r="A193" s="38">
        <f>Données!A193</f>
        <v>5722</v>
      </c>
      <c r="B193" s="128" t="str">
        <f>Données!B193</f>
        <v>Grens</v>
      </c>
      <c r="C193" s="266">
        <f>VPI!R193</f>
        <v>21839.736451612909</v>
      </c>
      <c r="D193" s="148">
        <f>(PCS!I199-PCS!F199)/C193</f>
        <v>12.860522998296348</v>
      </c>
      <c r="E193" s="381">
        <f>'Péréquation directe'!E199/C193</f>
        <v>-2.3542176468869127</v>
      </c>
      <c r="F193" s="148">
        <f>'Péréquation directe'!F199/Effort!C193</f>
        <v>0</v>
      </c>
      <c r="G193" s="148">
        <f>'Péréquation directe'!G199/Effort!C193</f>
        <v>0</v>
      </c>
      <c r="H193" s="148">
        <f>'Péréquation directe'!J199/Effort!C193</f>
        <v>19.307090066389922</v>
      </c>
      <c r="I193" s="279">
        <f t="shared" si="6"/>
        <v>29.813395417799356</v>
      </c>
      <c r="J193" s="159">
        <f t="shared" si="7"/>
        <v>0</v>
      </c>
      <c r="K193" s="42">
        <f t="shared" si="8"/>
        <v>0</v>
      </c>
      <c r="L193" s="172"/>
    </row>
    <row r="194" spans="1:12" x14ac:dyDescent="0.25">
      <c r="A194" s="38">
        <f>Données!A194</f>
        <v>5723</v>
      </c>
      <c r="B194" s="128" t="str">
        <f>Données!B194</f>
        <v>Mies</v>
      </c>
      <c r="C194" s="266">
        <f>VPI!R194</f>
        <v>253199.57134615383</v>
      </c>
      <c r="D194" s="148">
        <f>(PCS!I200-PCS!F200)/C194</f>
        <v>22.693672257135773</v>
      </c>
      <c r="E194" s="381">
        <f>'Péréquation directe'!E200/C194</f>
        <v>-2.216496031516475</v>
      </c>
      <c r="F194" s="148">
        <f>'Péréquation directe'!F200/Effort!C194</f>
        <v>0</v>
      </c>
      <c r="G194" s="148">
        <f>'Péréquation directe'!G200/Effort!C194</f>
        <v>0</v>
      </c>
      <c r="H194" s="148">
        <f>'Péréquation directe'!J200/Effort!C194</f>
        <v>19.307090066389922</v>
      </c>
      <c r="I194" s="279">
        <f t="shared" si="6"/>
        <v>39.784266292009221</v>
      </c>
      <c r="J194" s="159">
        <f t="shared" si="7"/>
        <v>0</v>
      </c>
      <c r="K194" s="42">
        <f t="shared" si="8"/>
        <v>0</v>
      </c>
      <c r="L194" s="172"/>
    </row>
    <row r="195" spans="1:12" x14ac:dyDescent="0.25">
      <c r="A195" s="38">
        <f>Données!A195</f>
        <v>5724</v>
      </c>
      <c r="B195" s="128" t="str">
        <f>Données!B195</f>
        <v>Nyon</v>
      </c>
      <c r="C195" s="266">
        <f>VPI!R195</f>
        <v>1663090.0153005463</v>
      </c>
      <c r="D195" s="148">
        <f>(PCS!I201-PCS!F201)/C195</f>
        <v>16.429489312789176</v>
      </c>
      <c r="E195" s="381">
        <f>'Péréquation directe'!E201/C195</f>
        <v>-11.452604366931363</v>
      </c>
      <c r="F195" s="148">
        <f>'Péréquation directe'!F201/Effort!C195</f>
        <v>0</v>
      </c>
      <c r="G195" s="148">
        <f>'Péréquation directe'!G201/Effort!C195</f>
        <v>0</v>
      </c>
      <c r="H195" s="148">
        <f>'Péréquation directe'!J201/Effort!C195</f>
        <v>19.307090066389922</v>
      </c>
      <c r="I195" s="279">
        <f t="shared" si="6"/>
        <v>24.283975012247737</v>
      </c>
      <c r="J195" s="159">
        <f t="shared" si="7"/>
        <v>0</v>
      </c>
      <c r="K195" s="42">
        <f t="shared" si="8"/>
        <v>0</v>
      </c>
      <c r="L195" s="172"/>
    </row>
    <row r="196" spans="1:12" x14ac:dyDescent="0.25">
      <c r="A196" s="38">
        <f>Données!A196</f>
        <v>5725</v>
      </c>
      <c r="B196" s="128" t="str">
        <f>Données!B196</f>
        <v>Prangins</v>
      </c>
      <c r="C196" s="266">
        <f>VPI!R196</f>
        <v>341674.87389610388</v>
      </c>
      <c r="D196" s="148">
        <f>(PCS!I202-PCS!F202)/C196</f>
        <v>17.43809662695757</v>
      </c>
      <c r="E196" s="381">
        <f>'Péréquation directe'!E202/C196</f>
        <v>-4.5052095398636895</v>
      </c>
      <c r="F196" s="148">
        <f>'Péréquation directe'!F202/Effort!C196</f>
        <v>0</v>
      </c>
      <c r="G196" s="148">
        <f>'Péréquation directe'!G202/Effort!C196</f>
        <v>0</v>
      </c>
      <c r="H196" s="148">
        <f>'Péréquation directe'!J202/Effort!C196</f>
        <v>19.307090066389922</v>
      </c>
      <c r="I196" s="279">
        <f t="shared" si="6"/>
        <v>32.239977153483807</v>
      </c>
      <c r="J196" s="159">
        <f t="shared" si="7"/>
        <v>0</v>
      </c>
      <c r="K196" s="42">
        <f t="shared" si="8"/>
        <v>0</v>
      </c>
      <c r="L196" s="172"/>
    </row>
    <row r="197" spans="1:12" x14ac:dyDescent="0.25">
      <c r="A197" s="38">
        <f>Données!A197</f>
        <v>5726</v>
      </c>
      <c r="B197" s="128" t="str">
        <f>Données!B197</f>
        <v>La Rippe</v>
      </c>
      <c r="C197" s="266">
        <f>VPI!R197</f>
        <v>71131.071496062999</v>
      </c>
      <c r="D197" s="148">
        <f>(PCS!I203-PCS!F203)/C197</f>
        <v>13.518765098803629</v>
      </c>
      <c r="E197" s="381">
        <f>'Péréquation directe'!E203/C197</f>
        <v>-2.9075366479548328</v>
      </c>
      <c r="F197" s="148">
        <f>'Péréquation directe'!F203/Effort!C197</f>
        <v>0</v>
      </c>
      <c r="G197" s="148">
        <f>'Péréquation directe'!G203/Effort!C197</f>
        <v>0</v>
      </c>
      <c r="H197" s="148">
        <f>'Péréquation directe'!J203/Effort!C197</f>
        <v>19.307090066389922</v>
      </c>
      <c r="I197" s="279">
        <f t="shared" si="6"/>
        <v>29.918318517238717</v>
      </c>
      <c r="J197" s="159">
        <f t="shared" si="7"/>
        <v>0</v>
      </c>
      <c r="K197" s="42">
        <f t="shared" si="8"/>
        <v>0</v>
      </c>
      <c r="L197" s="172"/>
    </row>
    <row r="198" spans="1:12" x14ac:dyDescent="0.25">
      <c r="A198" s="38">
        <f>Données!A198</f>
        <v>5727</v>
      </c>
      <c r="B198" s="128" t="str">
        <f>Données!B198</f>
        <v>Saint-Cergue</v>
      </c>
      <c r="C198" s="266">
        <f>VPI!R198</f>
        <v>108766.91914141414</v>
      </c>
      <c r="D198" s="148">
        <f>(PCS!I204-PCS!F204)/C198</f>
        <v>11.468526634702149</v>
      </c>
      <c r="E198" s="381">
        <f>'Péréquation directe'!E204/C198</f>
        <v>-7.6753090452480484</v>
      </c>
      <c r="F198" s="148">
        <f>'Péréquation directe'!F204/Effort!C198</f>
        <v>-5.671468581491764</v>
      </c>
      <c r="G198" s="148">
        <f>'Péréquation directe'!G204/Effort!C198</f>
        <v>0</v>
      </c>
      <c r="H198" s="148">
        <f>'Péréquation directe'!J204/Effort!C198</f>
        <v>19.307090066389922</v>
      </c>
      <c r="I198" s="279">
        <f t="shared" si="6"/>
        <v>17.428839074352258</v>
      </c>
      <c r="J198" s="159">
        <f t="shared" si="7"/>
        <v>0</v>
      </c>
      <c r="K198" s="42">
        <f t="shared" si="8"/>
        <v>0</v>
      </c>
      <c r="L198" s="172"/>
    </row>
    <row r="199" spans="1:12" x14ac:dyDescent="0.25">
      <c r="A199" s="38">
        <f>Données!A199</f>
        <v>5728</v>
      </c>
      <c r="B199" s="128" t="str">
        <f>Données!B199</f>
        <v>Signy-Avenex</v>
      </c>
      <c r="C199" s="266">
        <f>VPI!R199</f>
        <v>54935.229999999996</v>
      </c>
      <c r="D199" s="148">
        <f>(PCS!I205-PCS!F205)/C199</f>
        <v>19.795624029946932</v>
      </c>
      <c r="E199" s="381">
        <f>'Péréquation directe'!E205/C199</f>
        <v>-1.4468703403913563</v>
      </c>
      <c r="F199" s="148">
        <f>'Péréquation directe'!F205/Effort!C199</f>
        <v>0</v>
      </c>
      <c r="G199" s="148">
        <f>'Péréquation directe'!G205/Effort!C199</f>
        <v>0</v>
      </c>
      <c r="H199" s="148">
        <f>'Péréquation directe'!J205/Effort!C199</f>
        <v>19.307090066389922</v>
      </c>
      <c r="I199" s="279">
        <f t="shared" ref="I199:I262" si="9">SUM(D199:H199)</f>
        <v>37.655843755945497</v>
      </c>
      <c r="J199" s="159">
        <f t="shared" ref="J199:J262" si="10">IF(I199&gt;J$5,I199-J$5,0)</f>
        <v>0</v>
      </c>
      <c r="K199" s="42">
        <f t="shared" ref="K199:K262" si="11">-J199*C199</f>
        <v>0</v>
      </c>
      <c r="L199" s="172"/>
    </row>
    <row r="200" spans="1:12" x14ac:dyDescent="0.25">
      <c r="A200" s="38">
        <f>Données!A200</f>
        <v>5729</v>
      </c>
      <c r="B200" s="128" t="str">
        <f>Données!B200</f>
        <v>Tannay</v>
      </c>
      <c r="C200" s="266">
        <f>VPI!R200</f>
        <v>200776.3305785124</v>
      </c>
      <c r="D200" s="148">
        <f>(PCS!I206-PCS!F206)/C200</f>
        <v>24.593549730688231</v>
      </c>
      <c r="E200" s="381">
        <f>'Péréquation directe'!E206/C200</f>
        <v>-1.9611287759970628</v>
      </c>
      <c r="F200" s="148">
        <f>'Péréquation directe'!F206/Effort!C200</f>
        <v>0</v>
      </c>
      <c r="G200" s="148">
        <f>'Péréquation directe'!G206/Effort!C200</f>
        <v>0</v>
      </c>
      <c r="H200" s="148">
        <f>'Péréquation directe'!J206/Effort!C200</f>
        <v>19.307090066389922</v>
      </c>
      <c r="I200" s="279">
        <f t="shared" si="9"/>
        <v>41.939511021081088</v>
      </c>
      <c r="J200" s="159">
        <f t="shared" si="10"/>
        <v>0</v>
      </c>
      <c r="K200" s="42">
        <f t="shared" si="11"/>
        <v>0</v>
      </c>
      <c r="L200" s="172"/>
    </row>
    <row r="201" spans="1:12" x14ac:dyDescent="0.25">
      <c r="A201" s="38">
        <f>Données!A201</f>
        <v>5730</v>
      </c>
      <c r="B201" s="128" t="str">
        <f>Données!B201</f>
        <v>Trélex</v>
      </c>
      <c r="C201" s="266">
        <f>VPI!R201</f>
        <v>146462.65611611609</v>
      </c>
      <c r="D201" s="148">
        <f>(PCS!I207-PCS!F207)/C201</f>
        <v>21.048414122538965</v>
      </c>
      <c r="E201" s="381">
        <f>'Péréquation directe'!E207/C201</f>
        <v>-2.0163794895301757</v>
      </c>
      <c r="F201" s="148">
        <f>'Péréquation directe'!F207/Effort!C201</f>
        <v>0</v>
      </c>
      <c r="G201" s="148">
        <f>'Péréquation directe'!G207/Effort!C201</f>
        <v>0</v>
      </c>
      <c r="H201" s="148">
        <f>'Péréquation directe'!J207/Effort!C201</f>
        <v>19.307090066389922</v>
      </c>
      <c r="I201" s="279">
        <f t="shared" si="9"/>
        <v>38.33912469939871</v>
      </c>
      <c r="J201" s="159">
        <f t="shared" si="10"/>
        <v>0</v>
      </c>
      <c r="K201" s="42">
        <f t="shared" si="11"/>
        <v>0</v>
      </c>
      <c r="L201" s="172"/>
    </row>
    <row r="202" spans="1:12" x14ac:dyDescent="0.25">
      <c r="A202" s="38">
        <f>Données!A202</f>
        <v>5731</v>
      </c>
      <c r="B202" s="128" t="str">
        <f>Données!B202</f>
        <v>Le Vaud</v>
      </c>
      <c r="C202" s="266">
        <f>VPI!R202</f>
        <v>70899.219223744294</v>
      </c>
      <c r="D202" s="148">
        <f>(PCS!I208-PCS!F208)/C202</f>
        <v>11.677168844177013</v>
      </c>
      <c r="E202" s="381">
        <f>'Péréquation directe'!E208/C202</f>
        <v>-3.9892918307570739</v>
      </c>
      <c r="F202" s="148">
        <f>'Péréquation directe'!F208/Effort!C202</f>
        <v>0</v>
      </c>
      <c r="G202" s="148">
        <f>'Péréquation directe'!G208/Effort!C202</f>
        <v>0</v>
      </c>
      <c r="H202" s="148">
        <f>'Péréquation directe'!J208/Effort!C202</f>
        <v>19.307090066389922</v>
      </c>
      <c r="I202" s="279">
        <f t="shared" si="9"/>
        <v>26.994967079809861</v>
      </c>
      <c r="J202" s="159">
        <f t="shared" si="10"/>
        <v>0</v>
      </c>
      <c r="K202" s="42">
        <f t="shared" si="11"/>
        <v>0</v>
      </c>
      <c r="L202" s="172"/>
    </row>
    <row r="203" spans="1:12" x14ac:dyDescent="0.25">
      <c r="A203" s="38">
        <f>Données!A203</f>
        <v>5732</v>
      </c>
      <c r="B203" s="128" t="str">
        <f>Données!B203</f>
        <v>Vich</v>
      </c>
      <c r="C203" s="266">
        <f>VPI!R203</f>
        <v>83913.803650793649</v>
      </c>
      <c r="D203" s="148">
        <f>(PCS!I209-PCS!F209)/C203</f>
        <v>16.418551841690359</v>
      </c>
      <c r="E203" s="381">
        <f>'Péréquation directe'!E209/C203</f>
        <v>-2.324576839810518</v>
      </c>
      <c r="F203" s="148">
        <f>'Péréquation directe'!F209/Effort!C203</f>
        <v>0</v>
      </c>
      <c r="G203" s="148">
        <f>'Péréquation directe'!G209/Effort!C203</f>
        <v>0</v>
      </c>
      <c r="H203" s="148">
        <f>'Péréquation directe'!J209/Effort!C203</f>
        <v>19.307090066389922</v>
      </c>
      <c r="I203" s="279">
        <f t="shared" si="9"/>
        <v>33.401065068269759</v>
      </c>
      <c r="J203" s="159">
        <f t="shared" si="10"/>
        <v>0</v>
      </c>
      <c r="K203" s="42">
        <f t="shared" si="11"/>
        <v>0</v>
      </c>
      <c r="L203" s="172"/>
    </row>
    <row r="204" spans="1:12" x14ac:dyDescent="0.25">
      <c r="A204" s="38">
        <f>Données!A204</f>
        <v>5741</v>
      </c>
      <c r="B204" s="128" t="str">
        <f>Données!B204</f>
        <v>L'Abergement</v>
      </c>
      <c r="C204" s="266">
        <f>VPI!R204</f>
        <v>8275.7188124999993</v>
      </c>
      <c r="D204" s="148">
        <f>(PCS!I210-PCS!F210)/C204</f>
        <v>11.468526634702149</v>
      </c>
      <c r="E204" s="381">
        <f>'Péréquation directe'!E210/C204</f>
        <v>-4.2475353799611986</v>
      </c>
      <c r="F204" s="148">
        <f>'Péréquation directe'!F210/Effort!C204</f>
        <v>-15.380075753282599</v>
      </c>
      <c r="G204" s="148">
        <f>'Péréquation directe'!G210/Effort!C204</f>
        <v>0</v>
      </c>
      <c r="H204" s="148">
        <f>'Péréquation directe'!J210/Effort!C204</f>
        <v>19.307090066389922</v>
      </c>
      <c r="I204" s="279">
        <f t="shared" si="9"/>
        <v>11.148005567848273</v>
      </c>
      <c r="J204" s="159">
        <f t="shared" si="10"/>
        <v>0</v>
      </c>
      <c r="K204" s="42">
        <f t="shared" si="11"/>
        <v>0</v>
      </c>
      <c r="L204" s="172"/>
    </row>
    <row r="205" spans="1:12" x14ac:dyDescent="0.25">
      <c r="A205" s="38">
        <f>Données!A205</f>
        <v>5742</v>
      </c>
      <c r="B205" s="128" t="str">
        <f>Données!B205</f>
        <v>Agiez</v>
      </c>
      <c r="C205" s="266">
        <f>VPI!R205</f>
        <v>9208.6422368421081</v>
      </c>
      <c r="D205" s="148">
        <f>(PCS!I211-PCS!F211)/C205</f>
        <v>11.468526634702149</v>
      </c>
      <c r="E205" s="381">
        <f>'Péréquation directe'!E211/C205</f>
        <v>-5.4552054384615278</v>
      </c>
      <c r="F205" s="148">
        <f>'Péréquation directe'!F211/Effort!C205</f>
        <v>-24.386209503509374</v>
      </c>
      <c r="G205" s="148">
        <f>'Péréquation directe'!G211/Effort!C205</f>
        <v>0</v>
      </c>
      <c r="H205" s="148">
        <f>'Péréquation directe'!J211/Effort!C205</f>
        <v>19.307090066389922</v>
      </c>
      <c r="I205" s="279">
        <f t="shared" si="9"/>
        <v>0.93420175912116932</v>
      </c>
      <c r="J205" s="159">
        <f t="shared" si="10"/>
        <v>0</v>
      </c>
      <c r="K205" s="42">
        <f t="shared" si="11"/>
        <v>0</v>
      </c>
      <c r="L205" s="172"/>
    </row>
    <row r="206" spans="1:12" x14ac:dyDescent="0.25">
      <c r="A206" s="38">
        <f>Données!A206</f>
        <v>5743</v>
      </c>
      <c r="B206" s="128" t="str">
        <f>Données!B206</f>
        <v>Arnex-sur-Orbe</v>
      </c>
      <c r="C206" s="266">
        <f>VPI!R206</f>
        <v>19122.067147887326</v>
      </c>
      <c r="D206" s="148">
        <f>(PCS!I212-PCS!F212)/C206</f>
        <v>11.468526634702149</v>
      </c>
      <c r="E206" s="381">
        <f>'Péréquation directe'!E212/C206</f>
        <v>-4.533927357841141</v>
      </c>
      <c r="F206" s="148">
        <f>'Péréquation directe'!F212/Effort!C206</f>
        <v>-14.288548966325285</v>
      </c>
      <c r="G206" s="148">
        <f>'Péréquation directe'!G212/Effort!C206</f>
        <v>0</v>
      </c>
      <c r="H206" s="148">
        <f>'Péréquation directe'!J212/Effort!C206</f>
        <v>19.307090066389922</v>
      </c>
      <c r="I206" s="279">
        <f t="shared" si="9"/>
        <v>11.953140376925646</v>
      </c>
      <c r="J206" s="159">
        <f t="shared" si="10"/>
        <v>0</v>
      </c>
      <c r="K206" s="42">
        <f t="shared" si="11"/>
        <v>0</v>
      </c>
      <c r="L206" s="172"/>
    </row>
    <row r="207" spans="1:12" x14ac:dyDescent="0.25">
      <c r="A207" s="38">
        <f>Données!A207</f>
        <v>5744</v>
      </c>
      <c r="B207" s="128" t="str">
        <f>Données!B207</f>
        <v>Ballaigues</v>
      </c>
      <c r="C207" s="266">
        <f>VPI!R207</f>
        <v>60998.783230769215</v>
      </c>
      <c r="D207" s="148">
        <f>(PCS!I213-PCS!F213)/C207</f>
        <v>11.893444528015241</v>
      </c>
      <c r="E207" s="381">
        <f>'Péréquation directe'!E213/C207</f>
        <v>-3.3122283873120932</v>
      </c>
      <c r="F207" s="148">
        <f>'Péréquation directe'!F213/Effort!C207</f>
        <v>0</v>
      </c>
      <c r="G207" s="148">
        <f>'Péréquation directe'!G213/Effort!C207</f>
        <v>0</v>
      </c>
      <c r="H207" s="148">
        <f>'Péréquation directe'!J213/Effort!C207</f>
        <v>19.307090066389922</v>
      </c>
      <c r="I207" s="279">
        <f t="shared" si="9"/>
        <v>27.88830620709307</v>
      </c>
      <c r="J207" s="159">
        <f t="shared" si="10"/>
        <v>0</v>
      </c>
      <c r="K207" s="42">
        <f t="shared" si="11"/>
        <v>0</v>
      </c>
      <c r="L207" s="172"/>
    </row>
    <row r="208" spans="1:12" x14ac:dyDescent="0.25">
      <c r="A208" s="38">
        <f>Données!A208</f>
        <v>5745</v>
      </c>
      <c r="B208" s="128" t="str">
        <f>Données!B208</f>
        <v>Baulmes</v>
      </c>
      <c r="C208" s="266">
        <f>VPI!R208</f>
        <v>29147.980130718955</v>
      </c>
      <c r="D208" s="148">
        <f>(PCS!I214-PCS!F214)/C208</f>
        <v>11.468526634702151</v>
      </c>
      <c r="E208" s="381">
        <f>'Péréquation directe'!E214/C208</f>
        <v>-6.3394096293057673</v>
      </c>
      <c r="F208" s="148">
        <f>'Péréquation directe'!F214/Effort!C208</f>
        <v>-22.078394762693236</v>
      </c>
      <c r="G208" s="148">
        <f>'Péréquation directe'!G214/Effort!C208</f>
        <v>0</v>
      </c>
      <c r="H208" s="148">
        <f>'Péréquation directe'!J214/Effort!C208</f>
        <v>19.307090066389922</v>
      </c>
      <c r="I208" s="279">
        <f t="shared" si="9"/>
        <v>2.3578123090930703</v>
      </c>
      <c r="J208" s="159">
        <f t="shared" si="10"/>
        <v>0</v>
      </c>
      <c r="K208" s="42">
        <f t="shared" si="11"/>
        <v>0</v>
      </c>
      <c r="L208" s="172"/>
    </row>
    <row r="209" spans="1:12" x14ac:dyDescent="0.25">
      <c r="A209" s="38">
        <f>Données!A209</f>
        <v>5746</v>
      </c>
      <c r="B209" s="128" t="str">
        <f>Données!B209</f>
        <v>Bavois</v>
      </c>
      <c r="C209" s="266">
        <f>VPI!R209</f>
        <v>33851.911712962959</v>
      </c>
      <c r="D209" s="148">
        <f>(PCS!I215-PCS!F215)/C209</f>
        <v>11.468526634702149</v>
      </c>
      <c r="E209" s="381">
        <f>'Péréquation directe'!E215/C209</f>
        <v>-4.2759875229512243</v>
      </c>
      <c r="F209" s="148">
        <f>'Péréquation directe'!F215/Effort!C209</f>
        <v>-10.66528995475921</v>
      </c>
      <c r="G209" s="148">
        <f>'Péréquation directe'!G215/Effort!C209</f>
        <v>0</v>
      </c>
      <c r="H209" s="148">
        <f>'Péréquation directe'!J215/Effort!C209</f>
        <v>19.307090066389922</v>
      </c>
      <c r="I209" s="279">
        <f t="shared" si="9"/>
        <v>15.834339223381637</v>
      </c>
      <c r="J209" s="159">
        <f t="shared" si="10"/>
        <v>0</v>
      </c>
      <c r="K209" s="42">
        <f t="shared" si="11"/>
        <v>0</v>
      </c>
      <c r="L209" s="172"/>
    </row>
    <row r="210" spans="1:12" x14ac:dyDescent="0.25">
      <c r="A210" s="38">
        <f>Données!A210</f>
        <v>5747</v>
      </c>
      <c r="B210" s="128" t="str">
        <f>Données!B210</f>
        <v>Bofflens</v>
      </c>
      <c r="C210" s="266">
        <f>VPI!R210</f>
        <v>7065.5449275362316</v>
      </c>
      <c r="D210" s="148">
        <f>(PCS!I216-PCS!F216)/C210</f>
        <v>11.468526634702149</v>
      </c>
      <c r="E210" s="381">
        <f>'Péréquation directe'!E216/C210</f>
        <v>-3.6013390044473366</v>
      </c>
      <c r="F210" s="148">
        <f>'Péréquation directe'!F216/Effort!C210</f>
        <v>-6.8078059195932319</v>
      </c>
      <c r="G210" s="148">
        <f>'Péréquation directe'!G216/Effort!C210</f>
        <v>0</v>
      </c>
      <c r="H210" s="148">
        <f>'Péréquation directe'!J216/Effort!C210</f>
        <v>19.307090066389922</v>
      </c>
      <c r="I210" s="279">
        <f t="shared" si="9"/>
        <v>20.366471777051501</v>
      </c>
      <c r="J210" s="159">
        <f t="shared" si="10"/>
        <v>0</v>
      </c>
      <c r="K210" s="42">
        <f t="shared" si="11"/>
        <v>0</v>
      </c>
      <c r="L210" s="172"/>
    </row>
    <row r="211" spans="1:12" x14ac:dyDescent="0.25">
      <c r="A211" s="38">
        <f>Données!A211</f>
        <v>5748</v>
      </c>
      <c r="B211" s="128" t="str">
        <f>Données!B211</f>
        <v>Bretonnières</v>
      </c>
      <c r="C211" s="266">
        <f>VPI!R211</f>
        <v>6864.9177304964542</v>
      </c>
      <c r="D211" s="148">
        <f>(PCS!I217-PCS!F217)/C211</f>
        <v>11.468526634702149</v>
      </c>
      <c r="E211" s="381">
        <f>'Péréquation directe'!E217/C211</f>
        <v>-4.948486207389502</v>
      </c>
      <c r="F211" s="148">
        <f>'Péréquation directe'!F217/Effort!C211</f>
        <v>-17.191237586637339</v>
      </c>
      <c r="G211" s="148">
        <f>'Péréquation directe'!G217/Effort!C211</f>
        <v>0</v>
      </c>
      <c r="H211" s="148">
        <f>'Péréquation directe'!J217/Effort!C211</f>
        <v>19.307090066389922</v>
      </c>
      <c r="I211" s="279">
        <f t="shared" si="9"/>
        <v>8.6358929070652302</v>
      </c>
      <c r="J211" s="159">
        <f t="shared" si="10"/>
        <v>0</v>
      </c>
      <c r="K211" s="42">
        <f t="shared" si="11"/>
        <v>0</v>
      </c>
      <c r="L211" s="172"/>
    </row>
    <row r="212" spans="1:12" x14ac:dyDescent="0.25">
      <c r="A212" s="38">
        <f>Données!A212</f>
        <v>5749</v>
      </c>
      <c r="B212" s="128" t="str">
        <f>Données!B212</f>
        <v>Chavornay</v>
      </c>
      <c r="C212" s="266">
        <f>VPI!R212</f>
        <v>149579.8465248227</v>
      </c>
      <c r="D212" s="148">
        <f>(PCS!I218-PCS!F218)/C212</f>
        <v>11.468526634702151</v>
      </c>
      <c r="E212" s="381">
        <f>'Péréquation directe'!E218/C212</f>
        <v>-14.582686819216962</v>
      </c>
      <c r="F212" s="148">
        <f>'Péréquation directe'!F218/Effort!C212</f>
        <v>-15.744836575851991</v>
      </c>
      <c r="G212" s="148">
        <f>'Péréquation directe'!G218/Effort!C212</f>
        <v>0</v>
      </c>
      <c r="H212" s="148">
        <f>'Péréquation directe'!J218/Effort!C212</f>
        <v>19.307090066389922</v>
      </c>
      <c r="I212" s="279">
        <f t="shared" si="9"/>
        <v>0.44809330602312158</v>
      </c>
      <c r="J212" s="159">
        <f t="shared" si="10"/>
        <v>0</v>
      </c>
      <c r="K212" s="42">
        <f t="shared" si="11"/>
        <v>0</v>
      </c>
      <c r="L212" s="172"/>
    </row>
    <row r="213" spans="1:12" x14ac:dyDescent="0.25">
      <c r="A213" s="38">
        <f>Données!A213</f>
        <v>5750</v>
      </c>
      <c r="B213" s="128" t="str">
        <f>Données!B213</f>
        <v>Les Clées</v>
      </c>
      <c r="C213" s="266">
        <f>VPI!R213</f>
        <v>5320.5294166666672</v>
      </c>
      <c r="D213" s="148">
        <f>(PCS!I219-PCS!F219)/C213</f>
        <v>11.468526634702149</v>
      </c>
      <c r="E213" s="381">
        <f>'Péréquation directe'!E219/C213</f>
        <v>-4.733194127761557</v>
      </c>
      <c r="F213" s="148">
        <f>'Péréquation directe'!F219/Effort!C213</f>
        <v>-20.061309580658907</v>
      </c>
      <c r="G213" s="148">
        <f>'Péréquation directe'!G219/Effort!C213</f>
        <v>0</v>
      </c>
      <c r="H213" s="148">
        <f>'Péréquation directe'!J219/Effort!C213</f>
        <v>19.307090066389922</v>
      </c>
      <c r="I213" s="279">
        <f t="shared" si="9"/>
        <v>5.9811129926716067</v>
      </c>
      <c r="J213" s="159">
        <f t="shared" si="10"/>
        <v>0</v>
      </c>
      <c r="K213" s="42">
        <f t="shared" si="11"/>
        <v>0</v>
      </c>
      <c r="L213" s="172"/>
    </row>
    <row r="214" spans="1:12" x14ac:dyDescent="0.25">
      <c r="A214" s="38">
        <f>Données!A214</f>
        <v>5752</v>
      </c>
      <c r="B214" s="128" t="str">
        <f>Données!B214</f>
        <v>Croy</v>
      </c>
      <c r="C214" s="266">
        <f>VPI!R214</f>
        <v>9858.3588996138969</v>
      </c>
      <c r="D214" s="148">
        <f>(PCS!I220-PCS!F220)/C214</f>
        <v>11.468526634702148</v>
      </c>
      <c r="E214" s="381">
        <f>'Péréquation directe'!E220/C214</f>
        <v>-5.2819443222888518</v>
      </c>
      <c r="F214" s="148">
        <f>'Péréquation directe'!F220/Effort!C214</f>
        <v>-21.69067374079264</v>
      </c>
      <c r="G214" s="148">
        <f>'Péréquation directe'!G220/Effort!C214</f>
        <v>0</v>
      </c>
      <c r="H214" s="148">
        <f>'Péréquation directe'!J220/Effort!C214</f>
        <v>19.307090066389922</v>
      </c>
      <c r="I214" s="279">
        <f t="shared" si="9"/>
        <v>3.8029986380105782</v>
      </c>
      <c r="J214" s="159">
        <f t="shared" si="10"/>
        <v>0</v>
      </c>
      <c r="K214" s="42">
        <f t="shared" si="11"/>
        <v>0</v>
      </c>
      <c r="L214" s="172"/>
    </row>
    <row r="215" spans="1:12" x14ac:dyDescent="0.25">
      <c r="A215" s="38">
        <f>Données!A215</f>
        <v>5754</v>
      </c>
      <c r="B215" s="128" t="str">
        <f>Données!B215</f>
        <v>Juriens</v>
      </c>
      <c r="C215" s="266">
        <f>VPI!R215</f>
        <v>8812.2215189873423</v>
      </c>
      <c r="D215" s="148">
        <f>(PCS!I221-PCS!F221)/C215</f>
        <v>11.468526634702149</v>
      </c>
      <c r="E215" s="381">
        <f>'Péréquation directe'!E221/C215</f>
        <v>-5.2243185232554721</v>
      </c>
      <c r="F215" s="148">
        <f>'Péréquation directe'!F221/Effort!C215</f>
        <v>-24.179220032202092</v>
      </c>
      <c r="G215" s="148">
        <f>'Péréquation directe'!G221/Effort!C215</f>
        <v>0</v>
      </c>
      <c r="H215" s="148">
        <f>'Péréquation directe'!J221/Effort!C215</f>
        <v>19.307090066389922</v>
      </c>
      <c r="I215" s="279">
        <f t="shared" si="9"/>
        <v>1.3720781456345073</v>
      </c>
      <c r="J215" s="159">
        <f t="shared" si="10"/>
        <v>0</v>
      </c>
      <c r="K215" s="42">
        <f t="shared" si="11"/>
        <v>0</v>
      </c>
      <c r="L215" s="172"/>
    </row>
    <row r="216" spans="1:12" x14ac:dyDescent="0.25">
      <c r="A216" s="38">
        <f>Données!A216</f>
        <v>5755</v>
      </c>
      <c r="B216" s="128" t="str">
        <f>Données!B216</f>
        <v>Lignerolle</v>
      </c>
      <c r="C216" s="266">
        <f>VPI!R216</f>
        <v>11116.576615104641</v>
      </c>
      <c r="D216" s="148">
        <f>(PCS!I222-PCS!F222)/C216</f>
        <v>11.468526634702149</v>
      </c>
      <c r="E216" s="381">
        <f>'Péréquation directe'!E222/C216</f>
        <v>-5.4510334506739762</v>
      </c>
      <c r="F216" s="148">
        <f>'Péréquation directe'!F222/Effort!C216</f>
        <v>-25.978233168571212</v>
      </c>
      <c r="G216" s="148">
        <f>'Péréquation directe'!G222/Effort!C216</f>
        <v>0</v>
      </c>
      <c r="H216" s="148">
        <f>'Péréquation directe'!J222/Effort!C216</f>
        <v>19.307090066389922</v>
      </c>
      <c r="I216" s="279">
        <f t="shared" si="9"/>
        <v>-0.65364991815311768</v>
      </c>
      <c r="J216" s="159">
        <f t="shared" si="10"/>
        <v>0</v>
      </c>
      <c r="K216" s="42">
        <f t="shared" si="11"/>
        <v>0</v>
      </c>
      <c r="L216" s="172"/>
    </row>
    <row r="217" spans="1:12" x14ac:dyDescent="0.25">
      <c r="A217" s="38">
        <f>Données!A217</f>
        <v>5756</v>
      </c>
      <c r="B217" s="128" t="str">
        <f>Données!B217</f>
        <v>Montcherand</v>
      </c>
      <c r="C217" s="266">
        <f>VPI!R217</f>
        <v>20941.594027777777</v>
      </c>
      <c r="D217" s="148">
        <f>(PCS!I223-PCS!F223)/C217</f>
        <v>11.468526634702149</v>
      </c>
      <c r="E217" s="381">
        <f>'Péréquation directe'!E223/C217</f>
        <v>-3.094034484603303</v>
      </c>
      <c r="F217" s="148">
        <f>'Péréquation directe'!F223/Effort!C217</f>
        <v>-3.4518586413174517</v>
      </c>
      <c r="G217" s="148">
        <f>'Péréquation directe'!G223/Effort!C217</f>
        <v>0</v>
      </c>
      <c r="H217" s="148">
        <f>'Péréquation directe'!J223/Effort!C217</f>
        <v>19.307090066389922</v>
      </c>
      <c r="I217" s="279">
        <f t="shared" si="9"/>
        <v>24.229723575171313</v>
      </c>
      <c r="J217" s="159">
        <f t="shared" si="10"/>
        <v>0</v>
      </c>
      <c r="K217" s="42">
        <f t="shared" si="11"/>
        <v>0</v>
      </c>
      <c r="L217" s="172"/>
    </row>
    <row r="218" spans="1:12" x14ac:dyDescent="0.25">
      <c r="A218" s="38">
        <f>Données!A218</f>
        <v>5757</v>
      </c>
      <c r="B218" s="128" t="str">
        <f>Données!B218</f>
        <v>Orbe</v>
      </c>
      <c r="C218" s="266">
        <f>VPI!R218</f>
        <v>226209.22728476822</v>
      </c>
      <c r="D218" s="148">
        <f>(PCS!I224-PCS!F224)/C218</f>
        <v>11.468526634702148</v>
      </c>
      <c r="E218" s="381">
        <f>'Péréquation directe'!E224/C218</f>
        <v>-16.333464050247997</v>
      </c>
      <c r="F218" s="148">
        <f>'Péréquation directe'!F224/Effort!C218</f>
        <v>-16.19468870053031</v>
      </c>
      <c r="G218" s="148">
        <f>'Péréquation directe'!G224/Effort!C218</f>
        <v>0</v>
      </c>
      <c r="H218" s="148">
        <f>'Péréquation directe'!J224/Effort!C218</f>
        <v>19.307090066389922</v>
      </c>
      <c r="I218" s="279">
        <f t="shared" si="9"/>
        <v>-1.7525360496862383</v>
      </c>
      <c r="J218" s="159">
        <f t="shared" si="10"/>
        <v>0</v>
      </c>
      <c r="K218" s="42">
        <f t="shared" si="11"/>
        <v>0</v>
      </c>
      <c r="L218" s="172"/>
    </row>
    <row r="219" spans="1:12" x14ac:dyDescent="0.25">
      <c r="A219" s="38">
        <f>Données!A219</f>
        <v>5758</v>
      </c>
      <c r="B219" s="128" t="str">
        <f>Données!B219</f>
        <v>La Praz</v>
      </c>
      <c r="C219" s="266">
        <f>VPI!R219</f>
        <v>5593.0973493975916</v>
      </c>
      <c r="D219" s="148">
        <f>(PCS!I225-PCS!F225)/C219</f>
        <v>11.468526634702148</v>
      </c>
      <c r="E219" s="381">
        <f>'Péréquation directe'!E225/C219</f>
        <v>-4.8308413941862165</v>
      </c>
      <c r="F219" s="148">
        <f>'Péréquation directe'!F225/Effort!C219</f>
        <v>-22.6072495853033</v>
      </c>
      <c r="G219" s="148">
        <f>'Péréquation directe'!G225/Effort!C219</f>
        <v>0</v>
      </c>
      <c r="H219" s="148">
        <f>'Péréquation directe'!J225/Effort!C219</f>
        <v>19.307090066389922</v>
      </c>
      <c r="I219" s="279">
        <f t="shared" si="9"/>
        <v>3.3375257216025531</v>
      </c>
      <c r="J219" s="159">
        <f t="shared" si="10"/>
        <v>0</v>
      </c>
      <c r="K219" s="42">
        <f t="shared" si="11"/>
        <v>0</v>
      </c>
      <c r="L219" s="172"/>
    </row>
    <row r="220" spans="1:12" x14ac:dyDescent="0.25">
      <c r="A220" s="38">
        <f>Données!A220</f>
        <v>5759</v>
      </c>
      <c r="B220" s="128" t="str">
        <f>Données!B220</f>
        <v>Premier</v>
      </c>
      <c r="C220" s="266">
        <f>VPI!R220</f>
        <v>5351.6616352201272</v>
      </c>
      <c r="D220" s="148">
        <f>(PCS!I226-PCS!F226)/C220</f>
        <v>11.468526634702149</v>
      </c>
      <c r="E220" s="381">
        <f>'Péréquation directe'!E226/C220</f>
        <v>-5.7105141392898755</v>
      </c>
      <c r="F220" s="148">
        <f>'Péréquation directe'!F226/Effort!C220</f>
        <v>-29.114266292792443</v>
      </c>
      <c r="G220" s="148">
        <f>'Péréquation directe'!G226/Effort!C220</f>
        <v>0</v>
      </c>
      <c r="H220" s="148">
        <f>'Péréquation directe'!J226/Effort!C220</f>
        <v>19.307090066389922</v>
      </c>
      <c r="I220" s="279">
        <f t="shared" si="9"/>
        <v>-4.049163730990248</v>
      </c>
      <c r="J220" s="159">
        <f t="shared" si="10"/>
        <v>0</v>
      </c>
      <c r="K220" s="42">
        <f t="shared" si="11"/>
        <v>0</v>
      </c>
      <c r="L220" s="172"/>
    </row>
    <row r="221" spans="1:12" x14ac:dyDescent="0.25">
      <c r="A221" s="38">
        <f>Données!A221</f>
        <v>5760</v>
      </c>
      <c r="B221" s="128" t="str">
        <f>Données!B221</f>
        <v>Rances</v>
      </c>
      <c r="C221" s="266">
        <f>VPI!R221</f>
        <v>16377.081307189543</v>
      </c>
      <c r="D221" s="148">
        <f>(PCS!I227-PCS!F227)/C221</f>
        <v>11.468526634702149</v>
      </c>
      <c r="E221" s="381">
        <f>'Péréquation directe'!E227/C221</f>
        <v>-4.2046585664222125</v>
      </c>
      <c r="F221" s="148">
        <f>'Péréquation directe'!F227/Effort!C221</f>
        <v>-13.68584221370209</v>
      </c>
      <c r="G221" s="148">
        <f>'Péréquation directe'!G227/Effort!C221</f>
        <v>0</v>
      </c>
      <c r="H221" s="148">
        <f>'Péréquation directe'!J227/Effort!C221</f>
        <v>19.307090066389922</v>
      </c>
      <c r="I221" s="279">
        <f t="shared" si="9"/>
        <v>12.885115920967769</v>
      </c>
      <c r="J221" s="159">
        <f t="shared" si="10"/>
        <v>0</v>
      </c>
      <c r="K221" s="42">
        <f t="shared" si="11"/>
        <v>0</v>
      </c>
      <c r="L221" s="172"/>
    </row>
    <row r="222" spans="1:12" x14ac:dyDescent="0.25">
      <c r="A222" s="38">
        <f>Données!A222</f>
        <v>5761</v>
      </c>
      <c r="B222" s="128" t="str">
        <f>Données!B222</f>
        <v>Romainmôtier-Envy</v>
      </c>
      <c r="C222" s="266">
        <f>VPI!R222</f>
        <v>13471.82785634119</v>
      </c>
      <c r="D222" s="148">
        <f>(PCS!I228-PCS!F228)/C222</f>
        <v>11.468526634702151</v>
      </c>
      <c r="E222" s="381">
        <f>'Péréquation directe'!E228/C222</f>
        <v>-5.5982109188930567</v>
      </c>
      <c r="F222" s="148">
        <f>'Péréquation directe'!F228/Effort!C222</f>
        <v>-29.113567650676398</v>
      </c>
      <c r="G222" s="148">
        <f>'Péréquation directe'!G228/Effort!C222</f>
        <v>0</v>
      </c>
      <c r="H222" s="148">
        <f>'Péréquation directe'!J228/Effort!C222</f>
        <v>19.307090066389922</v>
      </c>
      <c r="I222" s="279">
        <f t="shared" si="9"/>
        <v>-3.9361618684773809</v>
      </c>
      <c r="J222" s="159">
        <f t="shared" si="10"/>
        <v>0</v>
      </c>
      <c r="K222" s="42">
        <f t="shared" si="11"/>
        <v>0</v>
      </c>
      <c r="L222" s="172"/>
    </row>
    <row r="223" spans="1:12" x14ac:dyDescent="0.25">
      <c r="A223" s="38">
        <f>Données!A223</f>
        <v>5762</v>
      </c>
      <c r="B223" s="128" t="str">
        <f>Données!B223</f>
        <v>Sergey</v>
      </c>
      <c r="C223" s="266">
        <f>VPI!R223</f>
        <v>3564.2302564102565</v>
      </c>
      <c r="D223" s="148">
        <f>(PCS!I229-PCS!F229)/C223</f>
        <v>11.468526634702149</v>
      </c>
      <c r="E223" s="381">
        <f>'Péréquation directe'!E229/C223</f>
        <v>-5.0415345946091836</v>
      </c>
      <c r="F223" s="148">
        <f>'Péréquation directe'!F229/Effort!C223</f>
        <v>-21.896110435768605</v>
      </c>
      <c r="G223" s="148">
        <f>'Péréquation directe'!G229/Effort!C223</f>
        <v>0</v>
      </c>
      <c r="H223" s="148">
        <f>'Péréquation directe'!J229/Effort!C223</f>
        <v>19.307090066389922</v>
      </c>
      <c r="I223" s="279">
        <f t="shared" si="9"/>
        <v>3.8379716707142819</v>
      </c>
      <c r="J223" s="159">
        <f t="shared" si="10"/>
        <v>0</v>
      </c>
      <c r="K223" s="42">
        <f t="shared" si="11"/>
        <v>0</v>
      </c>
      <c r="L223" s="172"/>
    </row>
    <row r="224" spans="1:12" x14ac:dyDescent="0.25">
      <c r="A224" s="38">
        <f>Données!A224</f>
        <v>5763</v>
      </c>
      <c r="B224" s="128" t="str">
        <f>Données!B224</f>
        <v>Valeyres-sous-Rances</v>
      </c>
      <c r="C224" s="266">
        <f>VPI!R224</f>
        <v>21279.080140845068</v>
      </c>
      <c r="D224" s="148">
        <f>(PCS!I230-PCS!F230)/C224</f>
        <v>11.468526634702148</v>
      </c>
      <c r="E224" s="381">
        <f>'Péréquation directe'!E230/C224</f>
        <v>-3.5935495835031892</v>
      </c>
      <c r="F224" s="148">
        <f>'Péréquation directe'!F230/Effort!C224</f>
        <v>-7.1490423820391076</v>
      </c>
      <c r="G224" s="148">
        <f>'Péréquation directe'!G230/Effort!C224</f>
        <v>0</v>
      </c>
      <c r="H224" s="148">
        <f>'Péréquation directe'!J230/Effort!C224</f>
        <v>19.307090066389922</v>
      </c>
      <c r="I224" s="279">
        <f t="shared" si="9"/>
        <v>20.033024735549773</v>
      </c>
      <c r="J224" s="159">
        <f t="shared" si="10"/>
        <v>0</v>
      </c>
      <c r="K224" s="42">
        <f t="shared" si="11"/>
        <v>0</v>
      </c>
      <c r="L224" s="172"/>
    </row>
    <row r="225" spans="1:12" x14ac:dyDescent="0.25">
      <c r="A225" s="38">
        <f>Données!A225</f>
        <v>5764</v>
      </c>
      <c r="B225" s="128" t="str">
        <f>Données!B225</f>
        <v>Vallorbe</v>
      </c>
      <c r="C225" s="266">
        <f>VPI!R225</f>
        <v>94417.86909090908</v>
      </c>
      <c r="D225" s="148">
        <f>(PCS!I231-PCS!F231)/C225</f>
        <v>11.468526634702153</v>
      </c>
      <c r="E225" s="381">
        <f>'Péréquation directe'!E231/C225</f>
        <v>-15.397501656967865</v>
      </c>
      <c r="F225" s="148">
        <f>'Péréquation directe'!F231/Effort!C225</f>
        <v>-23.659199211331021</v>
      </c>
      <c r="G225" s="148">
        <f>'Péréquation directe'!G231/Effort!C225</f>
        <v>0</v>
      </c>
      <c r="H225" s="148">
        <f>'Péréquation directe'!J231/Effort!C225</f>
        <v>19.307090066389922</v>
      </c>
      <c r="I225" s="279">
        <f t="shared" si="9"/>
        <v>-8.2810841672068101</v>
      </c>
      <c r="J225" s="159">
        <f t="shared" si="10"/>
        <v>0</v>
      </c>
      <c r="K225" s="42">
        <f t="shared" si="11"/>
        <v>0</v>
      </c>
      <c r="L225" s="172"/>
    </row>
    <row r="226" spans="1:12" x14ac:dyDescent="0.25">
      <c r="A226" s="38">
        <f>Données!A226</f>
        <v>5765</v>
      </c>
      <c r="B226" s="128" t="str">
        <f>Données!B226</f>
        <v>Vaulion</v>
      </c>
      <c r="C226" s="266">
        <f>VPI!R226</f>
        <v>11559.011234567901</v>
      </c>
      <c r="D226" s="148">
        <f>(PCS!I232-PCS!F232)/C226</f>
        <v>11.468526634702146</v>
      </c>
      <c r="E226" s="381">
        <f>'Péréquation directe'!E232/C226</f>
        <v>-5.514720681231525</v>
      </c>
      <c r="F226" s="148">
        <f>'Péréquation directe'!F232/Effort!C226</f>
        <v>-28.288565881299281</v>
      </c>
      <c r="G226" s="148">
        <f>'Péréquation directe'!G232/Effort!C226</f>
        <v>0</v>
      </c>
      <c r="H226" s="148">
        <f>'Péréquation directe'!J232/Effort!C226</f>
        <v>19.307090066389922</v>
      </c>
      <c r="I226" s="279">
        <f t="shared" si="9"/>
        <v>-3.0276698614387385</v>
      </c>
      <c r="J226" s="159">
        <f t="shared" si="10"/>
        <v>0</v>
      </c>
      <c r="K226" s="42">
        <f t="shared" si="11"/>
        <v>0</v>
      </c>
      <c r="L226" s="172"/>
    </row>
    <row r="227" spans="1:12" x14ac:dyDescent="0.25">
      <c r="A227" s="38">
        <f>Données!A227</f>
        <v>5766</v>
      </c>
      <c r="B227" s="128" t="str">
        <f>Données!B227</f>
        <v>Vuiteboeuf</v>
      </c>
      <c r="C227" s="266">
        <f>VPI!R227</f>
        <v>14621.166361904759</v>
      </c>
      <c r="D227" s="148">
        <f>(PCS!I233-PCS!F233)/C227</f>
        <v>11.468526634702148</v>
      </c>
      <c r="E227" s="381">
        <f>'Péréquation directe'!E233/C227</f>
        <v>-5.2568251800497769</v>
      </c>
      <c r="F227" s="148">
        <f>'Péréquation directe'!F233/Effort!C227</f>
        <v>-22.068066831584019</v>
      </c>
      <c r="G227" s="148">
        <f>'Péréquation directe'!G233/Effort!C227</f>
        <v>0</v>
      </c>
      <c r="H227" s="148">
        <f>'Péréquation directe'!J233/Effort!C227</f>
        <v>19.307090066389922</v>
      </c>
      <c r="I227" s="279">
        <f t="shared" si="9"/>
        <v>3.4507246894582728</v>
      </c>
      <c r="J227" s="159">
        <f t="shared" si="10"/>
        <v>0</v>
      </c>
      <c r="K227" s="42">
        <f t="shared" si="11"/>
        <v>0</v>
      </c>
      <c r="L227" s="172"/>
    </row>
    <row r="228" spans="1:12" x14ac:dyDescent="0.25">
      <c r="A228" s="38">
        <f>Données!A228</f>
        <v>5785</v>
      </c>
      <c r="B228" s="128" t="str">
        <f>Données!B228</f>
        <v>Corcelles-le-Jorat</v>
      </c>
      <c r="C228" s="266">
        <f>VPI!R228</f>
        <v>17967.826266666671</v>
      </c>
      <c r="D228" s="148">
        <f>(PCS!I234-PCS!F234)/C228</f>
        <v>11.468526634702148</v>
      </c>
      <c r="E228" s="381">
        <f>'Péréquation directe'!E234/C228</f>
        <v>-3.6499120673910714</v>
      </c>
      <c r="F228" s="148">
        <f>'Péréquation directe'!F234/Effort!C228</f>
        <v>-8.4547464228022662</v>
      </c>
      <c r="G228" s="148">
        <f>'Péréquation directe'!G234/Effort!C228</f>
        <v>0</v>
      </c>
      <c r="H228" s="148">
        <f>'Péréquation directe'!J234/Effort!C228</f>
        <v>19.307090066389922</v>
      </c>
      <c r="I228" s="279">
        <f t="shared" si="9"/>
        <v>18.670958210898732</v>
      </c>
      <c r="J228" s="159">
        <f t="shared" si="10"/>
        <v>0</v>
      </c>
      <c r="K228" s="42">
        <f t="shared" si="11"/>
        <v>0</v>
      </c>
      <c r="L228" s="172"/>
    </row>
    <row r="229" spans="1:12" x14ac:dyDescent="0.25">
      <c r="A229" s="38">
        <f>Données!A229</f>
        <v>5790</v>
      </c>
      <c r="B229" s="128" t="str">
        <f>Données!B229</f>
        <v>Maracon</v>
      </c>
      <c r="C229" s="266">
        <f>VPI!R229</f>
        <v>17556.382281879196</v>
      </c>
      <c r="D229" s="148">
        <f>(PCS!I235-PCS!F235)/C229</f>
        <v>11.468526634702149</v>
      </c>
      <c r="E229" s="381">
        <f>'Péréquation directe'!E235/C229</f>
        <v>-4.2360001527722906</v>
      </c>
      <c r="F229" s="148">
        <f>'Péréquation directe'!F235/Effort!C229</f>
        <v>-13.24158562719046</v>
      </c>
      <c r="G229" s="148">
        <f>'Péréquation directe'!G235/Effort!C229</f>
        <v>0</v>
      </c>
      <c r="H229" s="148">
        <f>'Péréquation directe'!J235/Effort!C229</f>
        <v>19.307090066389922</v>
      </c>
      <c r="I229" s="279">
        <f t="shared" si="9"/>
        <v>13.298030921129321</v>
      </c>
      <c r="J229" s="159">
        <f t="shared" si="10"/>
        <v>0</v>
      </c>
      <c r="K229" s="42">
        <f t="shared" si="11"/>
        <v>0</v>
      </c>
      <c r="L229" s="172"/>
    </row>
    <row r="230" spans="1:12" x14ac:dyDescent="0.25">
      <c r="A230" s="38">
        <f>Données!A230</f>
        <v>5792</v>
      </c>
      <c r="B230" s="128" t="str">
        <f>Données!B230</f>
        <v>Montpreveyres</v>
      </c>
      <c r="C230" s="266">
        <f>VPI!R230</f>
        <v>19503.116799999996</v>
      </c>
      <c r="D230" s="148">
        <f>(PCS!I236-PCS!F236)/C230</f>
        <v>11.468526634702148</v>
      </c>
      <c r="E230" s="381">
        <f>'Péréquation directe'!E236/C230</f>
        <v>-4.2503137855987765</v>
      </c>
      <c r="F230" s="148">
        <f>'Péréquation directe'!F236/Effort!C230</f>
        <v>-13.541182583884584</v>
      </c>
      <c r="G230" s="148">
        <f>'Péréquation directe'!G236/Effort!C230</f>
        <v>0</v>
      </c>
      <c r="H230" s="148">
        <f>'Péréquation directe'!J236/Effort!C230</f>
        <v>19.307090066389922</v>
      </c>
      <c r="I230" s="279">
        <f t="shared" si="9"/>
        <v>12.984120331608707</v>
      </c>
      <c r="J230" s="159">
        <f t="shared" si="10"/>
        <v>0</v>
      </c>
      <c r="K230" s="42">
        <f t="shared" si="11"/>
        <v>0</v>
      </c>
      <c r="L230" s="172"/>
    </row>
    <row r="231" spans="1:12" x14ac:dyDescent="0.25">
      <c r="A231" s="38">
        <f>Données!A231</f>
        <v>5798</v>
      </c>
      <c r="B231" s="128" t="str">
        <f>Données!B231</f>
        <v>Ropraz</v>
      </c>
      <c r="C231" s="266">
        <f>VPI!R231</f>
        <v>16096.874193548387</v>
      </c>
      <c r="D231" s="148">
        <f>(PCS!I237-PCS!F237)/C231</f>
        <v>11.468526634702148</v>
      </c>
      <c r="E231" s="381">
        <f>'Péréquation directe'!E237/C231</f>
        <v>-4.359334246253983</v>
      </c>
      <c r="F231" s="148">
        <f>'Péréquation directe'!F237/Effort!C231</f>
        <v>-15.445163775769425</v>
      </c>
      <c r="G231" s="148">
        <f>'Péréquation directe'!G237/Effort!C231</f>
        <v>0</v>
      </c>
      <c r="H231" s="148">
        <f>'Péréquation directe'!J237/Effort!C231</f>
        <v>19.307090066389922</v>
      </c>
      <c r="I231" s="279">
        <f t="shared" si="9"/>
        <v>10.971118679068661</v>
      </c>
      <c r="J231" s="159">
        <f t="shared" si="10"/>
        <v>0</v>
      </c>
      <c r="K231" s="42">
        <f t="shared" si="11"/>
        <v>0</v>
      </c>
      <c r="L231" s="172"/>
    </row>
    <row r="232" spans="1:12" x14ac:dyDescent="0.25">
      <c r="A232" s="38">
        <f>Données!A232</f>
        <v>5799</v>
      </c>
      <c r="B232" s="128" t="str">
        <f>Données!B232</f>
        <v>Servion</v>
      </c>
      <c r="C232" s="266">
        <f>VPI!R232</f>
        <v>78403.185652173925</v>
      </c>
      <c r="D232" s="148">
        <f>(PCS!I238-PCS!F238)/C232</f>
        <v>11.468526634702148</v>
      </c>
      <c r="E232" s="381">
        <f>'Péréquation directe'!E238/C232</f>
        <v>-7.1627586802779089</v>
      </c>
      <c r="F232" s="148">
        <f>'Péréquation directe'!F238/Effort!C232</f>
        <v>-7.0389482002186501</v>
      </c>
      <c r="G232" s="148">
        <f>'Péréquation directe'!G238/Effort!C232</f>
        <v>0</v>
      </c>
      <c r="H232" s="148">
        <f>'Péréquation directe'!J238/Effort!C232</f>
        <v>19.307090066389922</v>
      </c>
      <c r="I232" s="279">
        <f t="shared" si="9"/>
        <v>16.57390982059551</v>
      </c>
      <c r="J232" s="159">
        <f t="shared" si="10"/>
        <v>0</v>
      </c>
      <c r="K232" s="42">
        <f t="shared" si="11"/>
        <v>0</v>
      </c>
      <c r="L232" s="172"/>
    </row>
    <row r="233" spans="1:12" x14ac:dyDescent="0.25">
      <c r="A233" s="38">
        <f>Données!A233</f>
        <v>5803</v>
      </c>
      <c r="B233" s="128" t="str">
        <f>Données!B233</f>
        <v>Vulliens</v>
      </c>
      <c r="C233" s="266">
        <f>VPI!R233</f>
        <v>18504.850945945949</v>
      </c>
      <c r="D233" s="148">
        <f>(PCS!I239-PCS!F239)/C233</f>
        <v>11.468526634702149</v>
      </c>
      <c r="E233" s="381">
        <f>'Péréquation directe'!E239/C233</f>
        <v>-4.57883362856158</v>
      </c>
      <c r="F233" s="148">
        <f>'Péréquation directe'!F239/Effort!C233</f>
        <v>-15.89189834379181</v>
      </c>
      <c r="G233" s="148">
        <f>'Péréquation directe'!G239/Effort!C233</f>
        <v>0</v>
      </c>
      <c r="H233" s="148">
        <f>'Péréquation directe'!J239/Effort!C233</f>
        <v>19.307090066389922</v>
      </c>
      <c r="I233" s="279">
        <f t="shared" si="9"/>
        <v>10.304884728738681</v>
      </c>
      <c r="J233" s="159">
        <f t="shared" si="10"/>
        <v>0</v>
      </c>
      <c r="K233" s="42">
        <f t="shared" si="11"/>
        <v>0</v>
      </c>
      <c r="L233" s="172"/>
    </row>
    <row r="234" spans="1:12" x14ac:dyDescent="0.25">
      <c r="A234" s="38">
        <f>Données!A234</f>
        <v>5804</v>
      </c>
      <c r="B234" s="128" t="str">
        <f>Données!B234</f>
        <v>Jorat-Menthue</v>
      </c>
      <c r="C234" s="266">
        <f>VPI!R234</f>
        <v>49008.353617021276</v>
      </c>
      <c r="D234" s="148">
        <f>(PCS!I240-PCS!F240)/C234</f>
        <v>11.468526634702149</v>
      </c>
      <c r="E234" s="381">
        <f>'Péréquation directe'!E240/C234</f>
        <v>-6.850305270854693</v>
      </c>
      <c r="F234" s="148">
        <f>'Péréquation directe'!F240/Effort!C234</f>
        <v>-11.341545040660746</v>
      </c>
      <c r="G234" s="148">
        <f>'Péréquation directe'!G240/Effort!C234</f>
        <v>0</v>
      </c>
      <c r="H234" s="148">
        <f>'Péréquation directe'!J240/Effort!C234</f>
        <v>19.307090066389922</v>
      </c>
      <c r="I234" s="279">
        <f t="shared" si="9"/>
        <v>12.583766389576631</v>
      </c>
      <c r="J234" s="159">
        <f t="shared" si="10"/>
        <v>0</v>
      </c>
      <c r="K234" s="42">
        <f t="shared" si="11"/>
        <v>0</v>
      </c>
      <c r="L234" s="172"/>
    </row>
    <row r="235" spans="1:12" x14ac:dyDescent="0.25">
      <c r="A235" s="38">
        <f>Données!A235</f>
        <v>5805</v>
      </c>
      <c r="B235" s="128" t="str">
        <f>Données!B235</f>
        <v>Oron</v>
      </c>
      <c r="C235" s="266">
        <f>VPI!R235</f>
        <v>177337.10588932806</v>
      </c>
      <c r="D235" s="148">
        <f>(PCS!I241-PCS!F241)/C235</f>
        <v>11.468526634702151</v>
      </c>
      <c r="E235" s="381">
        <f>'Péréquation directe'!E241/C235</f>
        <v>-14.962797219582118</v>
      </c>
      <c r="F235" s="148">
        <f>'Péréquation directe'!F241/Effort!C235</f>
        <v>-13.722513647482684</v>
      </c>
      <c r="G235" s="148">
        <f>'Péréquation directe'!G241/Effort!C235</f>
        <v>0</v>
      </c>
      <c r="H235" s="148">
        <f>'Péréquation directe'!J241/Effort!C235</f>
        <v>19.307090066389922</v>
      </c>
      <c r="I235" s="279">
        <f t="shared" si="9"/>
        <v>2.0903058340272729</v>
      </c>
      <c r="J235" s="159">
        <f t="shared" si="10"/>
        <v>0</v>
      </c>
      <c r="K235" s="42">
        <f t="shared" si="11"/>
        <v>0</v>
      </c>
      <c r="L235" s="172"/>
    </row>
    <row r="236" spans="1:12" x14ac:dyDescent="0.25">
      <c r="A236" s="38">
        <f>Données!A236</f>
        <v>5806</v>
      </c>
      <c r="B236" s="128" t="str">
        <f>Données!B236</f>
        <v>Jorat-Mézières</v>
      </c>
      <c r="C236" s="266">
        <f>VPI!R236</f>
        <v>98520.834794520561</v>
      </c>
      <c r="D236" s="148">
        <f>(PCS!I242-PCS!F242)/C236</f>
        <v>11.468526634702149</v>
      </c>
      <c r="E236" s="381">
        <f>'Péréquation directe'!E242/C236</f>
        <v>-9.7292282606009302</v>
      </c>
      <c r="F236" s="148">
        <f>'Péréquation directe'!F242/Effort!C236</f>
        <v>-12.662194065753688</v>
      </c>
      <c r="G236" s="148">
        <f>'Péréquation directe'!G242/Effort!C236</f>
        <v>0</v>
      </c>
      <c r="H236" s="148">
        <f>'Péréquation directe'!J242/Effort!C236</f>
        <v>19.307090066389922</v>
      </c>
      <c r="I236" s="279">
        <f t="shared" si="9"/>
        <v>8.3841943747374525</v>
      </c>
      <c r="J236" s="159">
        <f t="shared" si="10"/>
        <v>0</v>
      </c>
      <c r="K236" s="42">
        <f t="shared" si="11"/>
        <v>0</v>
      </c>
      <c r="L236" s="172"/>
    </row>
    <row r="237" spans="1:12" x14ac:dyDescent="0.25">
      <c r="A237" s="38">
        <f>Données!A237</f>
        <v>5812</v>
      </c>
      <c r="B237" s="128" t="str">
        <f>Données!B237</f>
        <v>Champtauroz</v>
      </c>
      <c r="C237" s="266">
        <f>VPI!R237</f>
        <v>3559.4911688311695</v>
      </c>
      <c r="D237" s="148">
        <f>(PCS!I243-PCS!F243)/C237</f>
        <v>11.468526634702151</v>
      </c>
      <c r="E237" s="381">
        <f>'Péréquation directe'!E243/C237</f>
        <v>-6.9275212480222121</v>
      </c>
      <c r="F237" s="148">
        <f>'Péréquation directe'!F243/Effort!C237</f>
        <v>-38.179322419517057</v>
      </c>
      <c r="G237" s="148">
        <f>'Péréquation directe'!G243/Effort!C237</f>
        <v>0</v>
      </c>
      <c r="H237" s="148">
        <f>'Péréquation directe'!J243/Effort!C237</f>
        <v>19.307090066389922</v>
      </c>
      <c r="I237" s="279">
        <f t="shared" si="9"/>
        <v>-14.331226966447193</v>
      </c>
      <c r="J237" s="159">
        <f t="shared" si="10"/>
        <v>0</v>
      </c>
      <c r="K237" s="42">
        <f t="shared" si="11"/>
        <v>0</v>
      </c>
      <c r="L237" s="172"/>
    </row>
    <row r="238" spans="1:12" x14ac:dyDescent="0.25">
      <c r="A238" s="38">
        <f>Données!A238</f>
        <v>5813</v>
      </c>
      <c r="B238" s="128" t="str">
        <f>Données!B238</f>
        <v>Chevroux</v>
      </c>
      <c r="C238" s="266">
        <f>VPI!R238</f>
        <v>19217.847664233581</v>
      </c>
      <c r="D238" s="148">
        <f>(PCS!I244-PCS!F244)/C238</f>
        <v>11.468526634702151</v>
      </c>
      <c r="E238" s="381">
        <f>'Péréquation directe'!E244/C238</f>
        <v>-3.5763044041268062</v>
      </c>
      <c r="F238" s="148">
        <f>'Péréquation directe'!F244/Effort!C238</f>
        <v>-6.5325819797199873</v>
      </c>
      <c r="G238" s="148">
        <f>'Péréquation directe'!G244/Effort!C238</f>
        <v>0</v>
      </c>
      <c r="H238" s="148">
        <f>'Péréquation directe'!J244/Effort!C238</f>
        <v>19.307090066389922</v>
      </c>
      <c r="I238" s="279">
        <f t="shared" si="9"/>
        <v>20.666730317245278</v>
      </c>
      <c r="J238" s="159">
        <f t="shared" si="10"/>
        <v>0</v>
      </c>
      <c r="K238" s="42">
        <f t="shared" si="11"/>
        <v>0</v>
      </c>
      <c r="L238" s="172"/>
    </row>
    <row r="239" spans="1:12" x14ac:dyDescent="0.25">
      <c r="A239" s="38">
        <f>Données!A239</f>
        <v>5816</v>
      </c>
      <c r="B239" s="128" t="str">
        <f>Données!B239</f>
        <v>Corcelles-près-Payerne</v>
      </c>
      <c r="C239" s="266">
        <f>VPI!R239</f>
        <v>70362.963604395612</v>
      </c>
      <c r="D239" s="148">
        <f>(PCS!I245-PCS!F245)/C239</f>
        <v>11.468526634702149</v>
      </c>
      <c r="E239" s="381">
        <f>'Péréquation directe'!E245/C239</f>
        <v>-11.859256944893714</v>
      </c>
      <c r="F239" s="148">
        <f>'Péréquation directe'!F245/Effort!C239</f>
        <v>-17.701595485245122</v>
      </c>
      <c r="G239" s="148">
        <f>'Péréquation directe'!G245/Effort!C239</f>
        <v>0</v>
      </c>
      <c r="H239" s="148">
        <f>'Péréquation directe'!J245/Effort!C239</f>
        <v>19.307090066389922</v>
      </c>
      <c r="I239" s="279">
        <f t="shared" si="9"/>
        <v>1.2147642709532356</v>
      </c>
      <c r="J239" s="159">
        <f t="shared" si="10"/>
        <v>0</v>
      </c>
      <c r="K239" s="42">
        <f t="shared" si="11"/>
        <v>0</v>
      </c>
      <c r="L239" s="172"/>
    </row>
    <row r="240" spans="1:12" x14ac:dyDescent="0.25">
      <c r="A240" s="38">
        <f>Données!A240</f>
        <v>5817</v>
      </c>
      <c r="B240" s="128" t="str">
        <f>Données!B240</f>
        <v>Grandcour</v>
      </c>
      <c r="C240" s="266">
        <f>VPI!R240</f>
        <v>25032.364353741497</v>
      </c>
      <c r="D240" s="148">
        <f>(PCS!I246-PCS!F246)/C240</f>
        <v>11.468526634702149</v>
      </c>
      <c r="E240" s="381">
        <f>'Péréquation directe'!E246/C240</f>
        <v>-5.3277225863729809</v>
      </c>
      <c r="F240" s="148">
        <f>'Péréquation directe'!F246/Effort!C240</f>
        <v>-21.310590362964568</v>
      </c>
      <c r="G240" s="148">
        <f>'Péréquation directe'!G246/Effort!C240</f>
        <v>0</v>
      </c>
      <c r="H240" s="148">
        <f>'Péréquation directe'!J246/Effort!C240</f>
        <v>19.307090066389922</v>
      </c>
      <c r="I240" s="279">
        <f t="shared" si="9"/>
        <v>4.1373037517545228</v>
      </c>
      <c r="J240" s="159">
        <f t="shared" si="10"/>
        <v>0</v>
      </c>
      <c r="K240" s="42">
        <f t="shared" si="11"/>
        <v>0</v>
      </c>
      <c r="L240" s="172"/>
    </row>
    <row r="241" spans="1:13" x14ac:dyDescent="0.25">
      <c r="A241" s="38">
        <f>Données!A241</f>
        <v>5819</v>
      </c>
      <c r="B241" s="128" t="str">
        <f>Données!B241</f>
        <v>Henniez</v>
      </c>
      <c r="C241" s="266">
        <f>VPI!R241</f>
        <v>17871.328115942026</v>
      </c>
      <c r="D241" s="148">
        <f>(PCS!I247-PCS!F247)/C241</f>
        <v>11.468526634702151</v>
      </c>
      <c r="E241" s="381">
        <f>'Péréquation directe'!E247/C241</f>
        <v>-3.3320151040228803</v>
      </c>
      <c r="F241" s="148">
        <f>'Péréquation directe'!F247/Effort!C241</f>
        <v>-4.8766282908460337</v>
      </c>
      <c r="G241" s="148">
        <f>'Péréquation directe'!G247/Effort!C241</f>
        <v>0</v>
      </c>
      <c r="H241" s="148">
        <f>'Péréquation directe'!J247/Effort!C241</f>
        <v>19.307090066389922</v>
      </c>
      <c r="I241" s="279">
        <f t="shared" si="9"/>
        <v>22.566973306223161</v>
      </c>
      <c r="J241" s="159">
        <f t="shared" si="10"/>
        <v>0</v>
      </c>
      <c r="K241" s="42">
        <f t="shared" si="11"/>
        <v>0</v>
      </c>
      <c r="L241" s="172"/>
    </row>
    <row r="242" spans="1:13" x14ac:dyDescent="0.25">
      <c r="A242" s="38">
        <f>Données!A242</f>
        <v>5821</v>
      </c>
      <c r="B242" s="128" t="str">
        <f>Données!B242</f>
        <v>Missy</v>
      </c>
      <c r="C242" s="266">
        <f>VPI!R242</f>
        <v>8690.2762499999972</v>
      </c>
      <c r="D242" s="148">
        <f>(PCS!I248-PCS!F248)/C242</f>
        <v>11.468526634702149</v>
      </c>
      <c r="E242" s="381">
        <f>'Péréquation directe'!E248/C242</f>
        <v>-5.6900450523976955</v>
      </c>
      <c r="F242" s="148">
        <f>'Péréquation directe'!F248/Effort!C242</f>
        <v>-23.720311250054671</v>
      </c>
      <c r="G242" s="148">
        <f>'Péréquation directe'!G248/Effort!C242</f>
        <v>0</v>
      </c>
      <c r="H242" s="148">
        <f>'Péréquation directe'!J248/Effort!C242</f>
        <v>19.307090066389922</v>
      </c>
      <c r="I242" s="279">
        <f t="shared" si="9"/>
        <v>1.3652603986397054</v>
      </c>
      <c r="J242" s="159">
        <f t="shared" si="10"/>
        <v>0</v>
      </c>
      <c r="K242" s="42">
        <f t="shared" si="11"/>
        <v>0</v>
      </c>
      <c r="L242" s="172"/>
    </row>
    <row r="243" spans="1:13" x14ac:dyDescent="0.25">
      <c r="A243" s="38">
        <f>Données!A243</f>
        <v>5822</v>
      </c>
      <c r="B243" s="128" t="str">
        <f>Données!B243</f>
        <v>Payerne</v>
      </c>
      <c r="C243" s="266">
        <f>VPI!R243</f>
        <v>264097.39385714289</v>
      </c>
      <c r="D243" s="148">
        <f>(PCS!I249-PCS!F249)/C243</f>
        <v>11.468526634702149</v>
      </c>
      <c r="E243" s="381">
        <f>'Péréquation directe'!E249/C243</f>
        <v>-22.112308961946759</v>
      </c>
      <c r="F243" s="148">
        <f>'Péréquation directe'!F249/Effort!C243</f>
        <v>-19.195413158313084</v>
      </c>
      <c r="G243" s="148">
        <f>'Péréquation directe'!G249/Effort!C243</f>
        <v>0</v>
      </c>
      <c r="H243" s="148">
        <f>'Péréquation directe'!J249/Effort!C243</f>
        <v>19.307090066389922</v>
      </c>
      <c r="I243" s="279">
        <f t="shared" si="9"/>
        <v>-10.532105419167774</v>
      </c>
      <c r="J243" s="159">
        <f t="shared" si="10"/>
        <v>0</v>
      </c>
      <c r="K243" s="42">
        <f t="shared" si="11"/>
        <v>0</v>
      </c>
      <c r="L243" s="172"/>
    </row>
    <row r="244" spans="1:13" x14ac:dyDescent="0.25">
      <c r="A244" s="38">
        <f>Données!A244</f>
        <v>5827</v>
      </c>
      <c r="B244" s="128" t="str">
        <f>Données!B244</f>
        <v>Trey</v>
      </c>
      <c r="C244" s="266">
        <f>VPI!R244</f>
        <v>7673.6615384615379</v>
      </c>
      <c r="D244" s="148">
        <f>(PCS!I250-PCS!F250)/C244</f>
        <v>11.468526634702149</v>
      </c>
      <c r="E244" s="381">
        <f>'Péréquation directe'!E250/C244</f>
        <v>-5.3841338870210116</v>
      </c>
      <c r="F244" s="148">
        <f>'Péréquation directe'!F250/Effort!C244</f>
        <v>-25.035352549820953</v>
      </c>
      <c r="G244" s="148">
        <f>'Péréquation directe'!G250/Effort!C244</f>
        <v>0</v>
      </c>
      <c r="H244" s="148">
        <f>'Péréquation directe'!J250/Effort!C244</f>
        <v>19.307090066389922</v>
      </c>
      <c r="I244" s="279">
        <f t="shared" si="9"/>
        <v>0.3561302642501083</v>
      </c>
      <c r="J244" s="159">
        <f t="shared" si="10"/>
        <v>0</v>
      </c>
      <c r="K244" s="42">
        <f t="shared" si="11"/>
        <v>0</v>
      </c>
      <c r="L244" s="172"/>
    </row>
    <row r="245" spans="1:13" x14ac:dyDescent="0.25">
      <c r="A245" s="38">
        <f>Données!A245</f>
        <v>5828</v>
      </c>
      <c r="B245" s="128" t="str">
        <f>Données!B245</f>
        <v>Treytorrens (Payerne)</v>
      </c>
      <c r="C245" s="266">
        <f>VPI!R245</f>
        <v>2724.637709611452</v>
      </c>
      <c r="D245" s="148">
        <f>(PCS!I251-PCS!F251)/C245</f>
        <v>11.468526634702149</v>
      </c>
      <c r="E245" s="381">
        <f>'Péréquation directe'!E251/C245</f>
        <v>-5.2471764885087211</v>
      </c>
      <c r="F245" s="148">
        <f>'Péréquation directe'!F251/Effort!C245</f>
        <v>-25.962430679099892</v>
      </c>
      <c r="G245" s="148">
        <f>'Péréquation directe'!G251/Effort!C245</f>
        <v>0</v>
      </c>
      <c r="H245" s="148">
        <f>'Péréquation directe'!J251/Effort!C245</f>
        <v>19.307090066389922</v>
      </c>
      <c r="I245" s="279">
        <f t="shared" si="9"/>
        <v>-0.43399046651654416</v>
      </c>
      <c r="J245" s="159">
        <f t="shared" si="10"/>
        <v>0</v>
      </c>
      <c r="K245" s="42">
        <f t="shared" si="11"/>
        <v>0</v>
      </c>
      <c r="L245" s="172"/>
    </row>
    <row r="246" spans="1:13" x14ac:dyDescent="0.25">
      <c r="A246" s="38">
        <f>Données!A246</f>
        <v>5830</v>
      </c>
      <c r="B246" s="128" t="str">
        <f>Données!B246</f>
        <v>Villarzel</v>
      </c>
      <c r="C246" s="266">
        <f>VPI!R246</f>
        <v>12684.394533333332</v>
      </c>
      <c r="D246" s="148">
        <f>(PCS!I252-PCS!F252)/C246</f>
        <v>11.468526634702149</v>
      </c>
      <c r="E246" s="381">
        <f>'Péréquation directe'!E252/C246</f>
        <v>-5.4287207032476195</v>
      </c>
      <c r="F246" s="148">
        <f>'Péréquation directe'!F252/Effort!C246</f>
        <v>-23.524317835881114</v>
      </c>
      <c r="G246" s="148">
        <f>'Péréquation directe'!G252/Effort!C246</f>
        <v>0</v>
      </c>
      <c r="H246" s="148">
        <f>'Péréquation directe'!J252/Effort!C246</f>
        <v>19.307090066389922</v>
      </c>
      <c r="I246" s="279">
        <f t="shared" si="9"/>
        <v>1.8225781619633388</v>
      </c>
      <c r="J246" s="159">
        <f t="shared" si="10"/>
        <v>0</v>
      </c>
      <c r="K246" s="42">
        <f t="shared" si="11"/>
        <v>0</v>
      </c>
      <c r="L246" s="172"/>
      <c r="M246" s="157"/>
    </row>
    <row r="247" spans="1:13" x14ac:dyDescent="0.25">
      <c r="A247" s="38">
        <f>Données!A247</f>
        <v>5831</v>
      </c>
      <c r="B247" s="128" t="str">
        <f>Données!B247</f>
        <v>Valbroye</v>
      </c>
      <c r="C247" s="266">
        <f>VPI!R247</f>
        <v>90997.957399527193</v>
      </c>
      <c r="D247" s="148">
        <f>(PCS!I253-PCS!F253)/C247</f>
        <v>11.468526634702149</v>
      </c>
      <c r="E247" s="381">
        <f>'Péréquation directe'!E253/C247</f>
        <v>-11.85384911006401</v>
      </c>
      <c r="F247" s="148">
        <f>'Péréquation directe'!F253/Effort!C247</f>
        <v>-16.898020275673666</v>
      </c>
      <c r="G247" s="148">
        <f>'Péréquation directe'!G253/Effort!C247</f>
        <v>0</v>
      </c>
      <c r="H247" s="148">
        <f>'Péréquation directe'!J253/Effort!C247</f>
        <v>19.307090066389922</v>
      </c>
      <c r="I247" s="279">
        <f t="shared" si="9"/>
        <v>2.0237473153543952</v>
      </c>
      <c r="J247" s="159">
        <f t="shared" si="10"/>
        <v>0</v>
      </c>
      <c r="K247" s="42">
        <f t="shared" si="11"/>
        <v>0</v>
      </c>
      <c r="L247" s="172"/>
    </row>
    <row r="248" spans="1:13" x14ac:dyDescent="0.25">
      <c r="A248" s="38">
        <f>Données!A248</f>
        <v>5841</v>
      </c>
      <c r="B248" s="128" t="str">
        <f>Données!B248</f>
        <v>Château-d'Oex</v>
      </c>
      <c r="C248" s="266">
        <f>VPI!R248</f>
        <v>131854.94253578733</v>
      </c>
      <c r="D248" s="148">
        <f>(PCS!I254-PCS!F254)/C248</f>
        <v>11.468526634702149</v>
      </c>
      <c r="E248" s="381">
        <f>'Péréquation directe'!E254/C248</f>
        <v>-9.0521744631455014</v>
      </c>
      <c r="F248" s="148">
        <f>'Péréquation directe'!F254/Effort!C248</f>
        <v>-9.5439394393962615</v>
      </c>
      <c r="G248" s="148">
        <f>'Péréquation directe'!G254/Effort!C248</f>
        <v>0</v>
      </c>
      <c r="H248" s="148">
        <f>'Péréquation directe'!J254/Effort!C248</f>
        <v>19.307090066389922</v>
      </c>
      <c r="I248" s="279">
        <f t="shared" si="9"/>
        <v>12.179502798550308</v>
      </c>
      <c r="J248" s="159">
        <f t="shared" si="10"/>
        <v>0</v>
      </c>
      <c r="K248" s="42">
        <f t="shared" si="11"/>
        <v>0</v>
      </c>
      <c r="L248" s="172"/>
    </row>
    <row r="249" spans="1:13" x14ac:dyDescent="0.25">
      <c r="A249" s="38">
        <f>Données!A249</f>
        <v>5842</v>
      </c>
      <c r="B249" s="128" t="str">
        <f>Données!B249</f>
        <v>Rossinière</v>
      </c>
      <c r="C249" s="266">
        <f>VPI!R249</f>
        <v>19719.391028806585</v>
      </c>
      <c r="D249" s="148">
        <f>(PCS!I255-PCS!F255)/C249</f>
        <v>11.468526634702149</v>
      </c>
      <c r="E249" s="381">
        <f>'Péréquation directe'!E255/C249</f>
        <v>-3.5186017152980349</v>
      </c>
      <c r="F249" s="148">
        <f>'Péréquation directe'!F255/Effort!C249</f>
        <v>-8.5640840148269657</v>
      </c>
      <c r="G249" s="148">
        <f>'Péréquation directe'!G255/Effort!C249</f>
        <v>0</v>
      </c>
      <c r="H249" s="148">
        <f>'Péréquation directe'!J255/Effort!C249</f>
        <v>19.307090066389922</v>
      </c>
      <c r="I249" s="279">
        <f t="shared" si="9"/>
        <v>18.692930970967069</v>
      </c>
      <c r="J249" s="159">
        <f t="shared" si="10"/>
        <v>0</v>
      </c>
      <c r="K249" s="42">
        <f t="shared" si="11"/>
        <v>0</v>
      </c>
      <c r="L249" s="172"/>
    </row>
    <row r="250" spans="1:13" x14ac:dyDescent="0.25">
      <c r="A250" s="38">
        <f>Données!A250</f>
        <v>5843</v>
      </c>
      <c r="B250" s="128" t="str">
        <f>Données!B250</f>
        <v>Rougemont</v>
      </c>
      <c r="C250" s="266">
        <f>VPI!R250</f>
        <v>88722.552616033761</v>
      </c>
      <c r="D250" s="148">
        <f>(PCS!I256-PCS!F256)/C250</f>
        <v>27.48144058763258</v>
      </c>
      <c r="E250" s="381">
        <f>'Péréquation directe'!E256/C250</f>
        <v>-1.1767575041410263</v>
      </c>
      <c r="F250" s="148">
        <f>'Péréquation directe'!F256/Effort!C250</f>
        <v>0</v>
      </c>
      <c r="G250" s="148">
        <f>'Péréquation directe'!G256/Effort!C250</f>
        <v>0</v>
      </c>
      <c r="H250" s="148">
        <f>'Péréquation directe'!J256/Effort!C250</f>
        <v>19.307090066389922</v>
      </c>
      <c r="I250" s="279">
        <f t="shared" si="9"/>
        <v>45.611773149881472</v>
      </c>
      <c r="J250" s="159">
        <f t="shared" si="10"/>
        <v>0</v>
      </c>
      <c r="K250" s="42">
        <f t="shared" si="11"/>
        <v>0</v>
      </c>
      <c r="L250" s="172"/>
    </row>
    <row r="251" spans="1:13" x14ac:dyDescent="0.25">
      <c r="A251" s="38">
        <f>Données!A251</f>
        <v>5851</v>
      </c>
      <c r="B251" s="128" t="str">
        <f>Données!B251</f>
        <v>Allaman</v>
      </c>
      <c r="C251" s="266">
        <f>VPI!R251</f>
        <v>22070.113025641029</v>
      </c>
      <c r="D251" s="148">
        <f>(PCS!I257-PCS!F257)/C251</f>
        <v>11.912151835052493</v>
      </c>
      <c r="E251" s="381">
        <f>'Péréquation directe'!E257/C251</f>
        <v>-2.5614191369784787</v>
      </c>
      <c r="F251" s="148">
        <f>'Péréquation directe'!F257/Effort!C251</f>
        <v>0</v>
      </c>
      <c r="G251" s="148">
        <f>'Péréquation directe'!G257/Effort!C251</f>
        <v>0</v>
      </c>
      <c r="H251" s="148">
        <f>'Péréquation directe'!J257/Effort!C251</f>
        <v>19.307090066389922</v>
      </c>
      <c r="I251" s="279">
        <f t="shared" si="9"/>
        <v>28.657822764463937</v>
      </c>
      <c r="J251" s="159">
        <f t="shared" si="10"/>
        <v>0</v>
      </c>
      <c r="K251" s="42">
        <f t="shared" si="11"/>
        <v>0</v>
      </c>
      <c r="L251" s="172"/>
    </row>
    <row r="252" spans="1:13" x14ac:dyDescent="0.25">
      <c r="A252" s="38">
        <f>Données!A252</f>
        <v>5852</v>
      </c>
      <c r="B252" s="128" t="str">
        <f>Données!B252</f>
        <v>Bursinel</v>
      </c>
      <c r="C252" s="266">
        <f>VPI!R252</f>
        <v>36549.131935483871</v>
      </c>
      <c r="D252" s="148">
        <f>(PCS!I258-PCS!F258)/C252</f>
        <v>16.080690695466995</v>
      </c>
      <c r="E252" s="381">
        <f>'Péréquation directe'!E258/C252</f>
        <v>-1.8696856451903845</v>
      </c>
      <c r="F252" s="148">
        <f>'Péréquation directe'!F258/Effort!C252</f>
        <v>0</v>
      </c>
      <c r="G252" s="148">
        <f>'Péréquation directe'!G258/Effort!C252</f>
        <v>0</v>
      </c>
      <c r="H252" s="148">
        <f>'Péréquation directe'!J258/Effort!C252</f>
        <v>19.307090066389922</v>
      </c>
      <c r="I252" s="279">
        <f t="shared" si="9"/>
        <v>33.51809511666653</v>
      </c>
      <c r="J252" s="159">
        <f t="shared" si="10"/>
        <v>0</v>
      </c>
      <c r="K252" s="42">
        <f t="shared" si="11"/>
        <v>0</v>
      </c>
      <c r="L252" s="172"/>
    </row>
    <row r="253" spans="1:13" x14ac:dyDescent="0.25">
      <c r="A253" s="38">
        <f>Données!A253</f>
        <v>5853</v>
      </c>
      <c r="B253" s="128" t="str">
        <f>Données!B253</f>
        <v>Bursins</v>
      </c>
      <c r="C253" s="266">
        <f>VPI!R253</f>
        <v>43710.813239436618</v>
      </c>
      <c r="D253" s="148">
        <f>(PCS!I259-PCS!F259)/C253</f>
        <v>12.878815640419228</v>
      </c>
      <c r="E253" s="381">
        <f>'Péréquation directe'!E259/C253</f>
        <v>-2.3885377973994983</v>
      </c>
      <c r="F253" s="148">
        <f>'Péréquation directe'!F259/Effort!C253</f>
        <v>0</v>
      </c>
      <c r="G253" s="148">
        <f>'Péréquation directe'!G259/Effort!C253</f>
        <v>0</v>
      </c>
      <c r="H253" s="148">
        <f>'Péréquation directe'!J259/Effort!C253</f>
        <v>19.307090066389922</v>
      </c>
      <c r="I253" s="279">
        <f t="shared" si="9"/>
        <v>29.797367909409651</v>
      </c>
      <c r="J253" s="159">
        <f t="shared" si="10"/>
        <v>0</v>
      </c>
      <c r="K253" s="42">
        <f t="shared" si="11"/>
        <v>0</v>
      </c>
      <c r="L253" s="172"/>
    </row>
    <row r="254" spans="1:13" x14ac:dyDescent="0.25">
      <c r="A254" s="38">
        <f>Données!A254</f>
        <v>5854</v>
      </c>
      <c r="B254" s="128" t="str">
        <f>Données!B254</f>
        <v>Burtigny</v>
      </c>
      <c r="C254" s="266">
        <f>VPI!R254</f>
        <v>16984.704925690025</v>
      </c>
      <c r="D254" s="148">
        <f>(PCS!I260-PCS!F260)/C254</f>
        <v>11.468526634702149</v>
      </c>
      <c r="E254" s="381">
        <f>'Péréquation directe'!E260/C254</f>
        <v>-3.181611492857348</v>
      </c>
      <c r="F254" s="148">
        <f>'Péréquation directe'!F260/Effort!C254</f>
        <v>-4.9160342065216458</v>
      </c>
      <c r="G254" s="148">
        <f>'Péréquation directe'!G260/Effort!C254</f>
        <v>0</v>
      </c>
      <c r="H254" s="148">
        <f>'Péréquation directe'!J260/Effort!C254</f>
        <v>19.307090066389922</v>
      </c>
      <c r="I254" s="279">
        <f t="shared" si="9"/>
        <v>22.677971001713075</v>
      </c>
      <c r="J254" s="159">
        <f t="shared" si="10"/>
        <v>0</v>
      </c>
      <c r="K254" s="42">
        <f t="shared" si="11"/>
        <v>0</v>
      </c>
      <c r="L254" s="172"/>
    </row>
    <row r="255" spans="1:13" x14ac:dyDescent="0.25">
      <c r="A255" s="38">
        <f>Données!A255</f>
        <v>5855</v>
      </c>
      <c r="B255" s="128" t="str">
        <f>Données!B255</f>
        <v>Dully</v>
      </c>
      <c r="C255" s="266">
        <f>VPI!R255</f>
        <v>80639.677735849051</v>
      </c>
      <c r="D255" s="148">
        <f>(PCS!I261-PCS!F261)/C255</f>
        <v>24.203813257214811</v>
      </c>
      <c r="E255" s="381">
        <f>'Péréquation directe'!E261/C255</f>
        <v>-1.0279600380934024</v>
      </c>
      <c r="F255" s="148">
        <f>'Péréquation directe'!F261/Effort!C255</f>
        <v>0</v>
      </c>
      <c r="G255" s="148">
        <f>'Péréquation directe'!G261/Effort!C255</f>
        <v>0</v>
      </c>
      <c r="H255" s="148">
        <f>'Péréquation directe'!J261/Effort!C255</f>
        <v>19.307090066389922</v>
      </c>
      <c r="I255" s="279">
        <f t="shared" si="9"/>
        <v>42.482943285511325</v>
      </c>
      <c r="J255" s="159">
        <f t="shared" si="10"/>
        <v>0</v>
      </c>
      <c r="K255" s="42">
        <f t="shared" si="11"/>
        <v>0</v>
      </c>
      <c r="L255" s="172"/>
    </row>
    <row r="256" spans="1:13" x14ac:dyDescent="0.25">
      <c r="A256" s="38">
        <f>Données!A256</f>
        <v>5856</v>
      </c>
      <c r="B256" s="128" t="str">
        <f>Données!B256</f>
        <v>Essertines-sur-Rolle</v>
      </c>
      <c r="C256" s="266">
        <f>VPI!R256</f>
        <v>40086.564661654142</v>
      </c>
      <c r="D256" s="148">
        <f>(PCS!I262-PCS!F262)/C256</f>
        <v>12.165866433548652</v>
      </c>
      <c r="E256" s="381">
        <f>'Péréquation directe'!E262/C256</f>
        <v>-2.5128717119168704</v>
      </c>
      <c r="F256" s="148">
        <f>'Péréquation directe'!F262/Effort!C256</f>
        <v>0</v>
      </c>
      <c r="G256" s="148">
        <f>'Péréquation directe'!G262/Effort!C256</f>
        <v>0</v>
      </c>
      <c r="H256" s="148">
        <f>'Péréquation directe'!J262/Effort!C256</f>
        <v>19.307090066389922</v>
      </c>
      <c r="I256" s="279">
        <f t="shared" si="9"/>
        <v>28.960084788021703</v>
      </c>
      <c r="J256" s="159">
        <f t="shared" si="10"/>
        <v>0</v>
      </c>
      <c r="K256" s="42">
        <f t="shared" si="11"/>
        <v>0</v>
      </c>
      <c r="L256" s="172"/>
    </row>
    <row r="257" spans="1:12" x14ac:dyDescent="0.25">
      <c r="A257" s="38">
        <f>Données!A257</f>
        <v>5857</v>
      </c>
      <c r="B257" s="128" t="str">
        <f>Données!B257</f>
        <v>Gilly</v>
      </c>
      <c r="C257" s="266">
        <f>VPI!R257</f>
        <v>92966.463565891449</v>
      </c>
      <c r="D257" s="148">
        <f>(PCS!I263-PCS!F263)/C257</f>
        <v>14.621935913402247</v>
      </c>
      <c r="E257" s="381">
        <f>'Péréquation directe'!E263/C257</f>
        <v>-3.287286432591825</v>
      </c>
      <c r="F257" s="148">
        <f>'Péréquation directe'!F263/Effort!C257</f>
        <v>0</v>
      </c>
      <c r="G257" s="148">
        <f>'Péréquation directe'!G263/Effort!C257</f>
        <v>0</v>
      </c>
      <c r="H257" s="148">
        <f>'Péréquation directe'!J263/Effort!C257</f>
        <v>19.307090066389922</v>
      </c>
      <c r="I257" s="279">
        <f t="shared" si="9"/>
        <v>30.641739547200345</v>
      </c>
      <c r="J257" s="159">
        <f t="shared" si="10"/>
        <v>0</v>
      </c>
      <c r="K257" s="42">
        <f t="shared" si="11"/>
        <v>0</v>
      </c>
      <c r="L257" s="172"/>
    </row>
    <row r="258" spans="1:12" x14ac:dyDescent="0.25">
      <c r="A258" s="38">
        <f>Données!A258</f>
        <v>5858</v>
      </c>
      <c r="B258" s="128" t="str">
        <f>Données!B258</f>
        <v>Luins</v>
      </c>
      <c r="C258" s="266">
        <f>VPI!R258</f>
        <v>34472.230883190881</v>
      </c>
      <c r="D258" s="148">
        <f>(PCS!I264-PCS!F264)/C258</f>
        <v>12.609708180489719</v>
      </c>
      <c r="E258" s="381">
        <f>'Péréquation directe'!E264/C258</f>
        <v>-2.3932561997871353</v>
      </c>
      <c r="F258" s="148">
        <f>'Péréquation directe'!F264/Effort!C258</f>
        <v>0</v>
      </c>
      <c r="G258" s="148">
        <f>'Péréquation directe'!G264/Effort!C258</f>
        <v>0</v>
      </c>
      <c r="H258" s="148">
        <f>'Péréquation directe'!J264/Effort!C258</f>
        <v>19.307090066389922</v>
      </c>
      <c r="I258" s="279">
        <f t="shared" si="9"/>
        <v>29.523542047092505</v>
      </c>
      <c r="J258" s="159">
        <f t="shared" si="10"/>
        <v>0</v>
      </c>
      <c r="K258" s="42">
        <f t="shared" si="11"/>
        <v>0</v>
      </c>
      <c r="L258" s="172"/>
    </row>
    <row r="259" spans="1:12" x14ac:dyDescent="0.25">
      <c r="A259" s="38">
        <f>Données!A259</f>
        <v>5859</v>
      </c>
      <c r="B259" s="128" t="str">
        <f>Données!B259</f>
        <v>Mont-sur-Rolle</v>
      </c>
      <c r="C259" s="266">
        <f>VPI!R259</f>
        <v>184009.52141732289</v>
      </c>
      <c r="D259" s="148">
        <f>(PCS!I265-PCS!F265)/C259</f>
        <v>15.313021780279303</v>
      </c>
      <c r="E259" s="381">
        <f>'Péréquation directe'!E265/C259</f>
        <v>-4.2733780701366433</v>
      </c>
      <c r="F259" s="148">
        <f>'Péréquation directe'!F265/Effort!C259</f>
        <v>0</v>
      </c>
      <c r="G259" s="148">
        <f>'Péréquation directe'!G265/Effort!C259</f>
        <v>0</v>
      </c>
      <c r="H259" s="148">
        <f>'Péréquation directe'!J265/Effort!C259</f>
        <v>19.307090066389922</v>
      </c>
      <c r="I259" s="279">
        <f t="shared" si="9"/>
        <v>30.346733776532581</v>
      </c>
      <c r="J259" s="159">
        <f t="shared" si="10"/>
        <v>0</v>
      </c>
      <c r="K259" s="42">
        <f t="shared" si="11"/>
        <v>0</v>
      </c>
      <c r="L259" s="172"/>
    </row>
    <row r="260" spans="1:12" x14ac:dyDescent="0.25">
      <c r="A260" s="38">
        <f>Données!A260</f>
        <v>5860</v>
      </c>
      <c r="B260" s="128" t="str">
        <f>Données!B260</f>
        <v>Perroy</v>
      </c>
      <c r="C260" s="266">
        <f>VPI!R260</f>
        <v>115014.47146614069</v>
      </c>
      <c r="D260" s="148">
        <f>(PCS!I266-PCS!F266)/C260</f>
        <v>16.138358137175619</v>
      </c>
      <c r="E260" s="381">
        <f>'Péréquation directe'!E266/C260</f>
        <v>-3.0562596169519853</v>
      </c>
      <c r="F260" s="148">
        <f>'Péréquation directe'!F266/Effort!C260</f>
        <v>0</v>
      </c>
      <c r="G260" s="148">
        <f>'Péréquation directe'!G266/Effort!C260</f>
        <v>0</v>
      </c>
      <c r="H260" s="148">
        <f>'Péréquation directe'!J266/Effort!C260</f>
        <v>19.307090066389922</v>
      </c>
      <c r="I260" s="279">
        <f t="shared" si="9"/>
        <v>32.389188586613557</v>
      </c>
      <c r="J260" s="159">
        <f t="shared" si="10"/>
        <v>0</v>
      </c>
      <c r="K260" s="42">
        <f t="shared" si="11"/>
        <v>0</v>
      </c>
      <c r="L260" s="172"/>
    </row>
    <row r="261" spans="1:12" x14ac:dyDescent="0.25">
      <c r="A261" s="38">
        <f>Données!A261</f>
        <v>5861</v>
      </c>
      <c r="B261" s="128" t="str">
        <f>Données!B261</f>
        <v>Rolle</v>
      </c>
      <c r="C261" s="266">
        <f>VPI!R261</f>
        <v>1018783.8085714284</v>
      </c>
      <c r="D261" s="148">
        <f>(PCS!I267-PCS!F267)/C261</f>
        <v>29.087772675603357</v>
      </c>
      <c r="E261" s="381">
        <f>'Péréquation directe'!E267/C261</f>
        <v>-2.777567547955416</v>
      </c>
      <c r="F261" s="148">
        <f>'Péréquation directe'!F267/Effort!C261</f>
        <v>0</v>
      </c>
      <c r="G261" s="148">
        <f>'Péréquation directe'!G267/Effort!C261</f>
        <v>0</v>
      </c>
      <c r="H261" s="148">
        <f>'Péréquation directe'!J267/Effort!C261</f>
        <v>19.307090066389922</v>
      </c>
      <c r="I261" s="279">
        <f t="shared" si="9"/>
        <v>45.617295194037865</v>
      </c>
      <c r="J261" s="159">
        <f t="shared" si="10"/>
        <v>0</v>
      </c>
      <c r="K261" s="42">
        <f t="shared" si="11"/>
        <v>0</v>
      </c>
      <c r="L261" s="172"/>
    </row>
    <row r="262" spans="1:12" x14ac:dyDescent="0.25">
      <c r="A262" s="38">
        <f>Données!A262</f>
        <v>5862</v>
      </c>
      <c r="B262" s="128" t="str">
        <f>Données!B262</f>
        <v>Tartegnin</v>
      </c>
      <c r="C262" s="266">
        <f>VPI!R262</f>
        <v>11391.445316455696</v>
      </c>
      <c r="D262" s="148">
        <f>(PCS!I268-PCS!F268)/C262</f>
        <v>11.468526634702151</v>
      </c>
      <c r="E262" s="381">
        <f>'Péréquation directe'!E268/C262</f>
        <v>-2.8785191033115383</v>
      </c>
      <c r="F262" s="148">
        <f>'Péréquation directe'!F268/Effort!C262</f>
        <v>-2.1299507180556527</v>
      </c>
      <c r="G262" s="148">
        <f>'Péréquation directe'!G268/Effort!C262</f>
        <v>0</v>
      </c>
      <c r="H262" s="148">
        <f>'Péréquation directe'!J268/Effort!C262</f>
        <v>19.307090066389922</v>
      </c>
      <c r="I262" s="279">
        <f t="shared" si="9"/>
        <v>25.767146879724883</v>
      </c>
      <c r="J262" s="159">
        <f t="shared" si="10"/>
        <v>0</v>
      </c>
      <c r="K262" s="42">
        <f t="shared" si="11"/>
        <v>0</v>
      </c>
      <c r="L262" s="172"/>
    </row>
    <row r="263" spans="1:12" x14ac:dyDescent="0.25">
      <c r="A263" s="38">
        <f>Données!A263</f>
        <v>5863</v>
      </c>
      <c r="B263" s="128" t="str">
        <f>Données!B263</f>
        <v>Vinzel</v>
      </c>
      <c r="C263" s="266">
        <f>VPI!R263</f>
        <v>22595.272461538461</v>
      </c>
      <c r="D263" s="148">
        <f>(PCS!I269-PCS!F269)/C263</f>
        <v>13.626787564099644</v>
      </c>
      <c r="E263" s="381">
        <f>'Péréquation directe'!E269/C263</f>
        <v>-2.2116445531988553</v>
      </c>
      <c r="F263" s="148">
        <f>'Péréquation directe'!F269/Effort!C263</f>
        <v>0</v>
      </c>
      <c r="G263" s="148">
        <f>'Péréquation directe'!G269/Effort!C263</f>
        <v>0</v>
      </c>
      <c r="H263" s="148">
        <f>'Péréquation directe'!J269/Effort!C263</f>
        <v>19.307090066389922</v>
      </c>
      <c r="I263" s="279">
        <f t="shared" ref="I263:I305" si="12">SUM(D263:H263)</f>
        <v>30.72223307729071</v>
      </c>
      <c r="J263" s="159">
        <f t="shared" ref="J263:J305" si="13">IF(I263&gt;J$5,I263-J$5,0)</f>
        <v>0</v>
      </c>
      <c r="K263" s="42">
        <f t="shared" ref="K263:K305" si="14">-J263*C263</f>
        <v>0</v>
      </c>
      <c r="L263" s="172"/>
    </row>
    <row r="264" spans="1:12" x14ac:dyDescent="0.25">
      <c r="A264" s="38">
        <f>Données!A264</f>
        <v>5871</v>
      </c>
      <c r="B264" s="128" t="str">
        <f>Données!B264</f>
        <v>L'Abbaye</v>
      </c>
      <c r="C264" s="266">
        <f>VPI!R264</f>
        <v>50382.809788942126</v>
      </c>
      <c r="D264" s="148">
        <f>(PCS!I270-PCS!F270)/C264</f>
        <v>11.468526634702148</v>
      </c>
      <c r="E264" s="381">
        <f>'Péréquation directe'!E270/C264</f>
        <v>-6.4957741238263669</v>
      </c>
      <c r="F264" s="148">
        <f>'Péréquation directe'!F270/Effort!C264</f>
        <v>-12.05121638473468</v>
      </c>
      <c r="G264" s="148">
        <f>'Péréquation directe'!G270/Effort!C264</f>
        <v>0</v>
      </c>
      <c r="H264" s="148">
        <f>'Péréquation directe'!J270/Effort!C264</f>
        <v>19.307090066389922</v>
      </c>
      <c r="I264" s="279">
        <f t="shared" si="12"/>
        <v>12.228626192531022</v>
      </c>
      <c r="J264" s="159">
        <f t="shared" si="13"/>
        <v>0</v>
      </c>
      <c r="K264" s="42">
        <f t="shared" si="14"/>
        <v>0</v>
      </c>
      <c r="L264" s="172"/>
    </row>
    <row r="265" spans="1:12" x14ac:dyDescent="0.25">
      <c r="A265" s="38">
        <f>Données!A265</f>
        <v>5872</v>
      </c>
      <c r="B265" s="128" t="str">
        <f>Données!B265</f>
        <v>Le Chenit</v>
      </c>
      <c r="C265" s="266">
        <f>VPI!R265</f>
        <v>317388.40065632458</v>
      </c>
      <c r="D265" s="148">
        <f>(PCS!I271-PCS!F271)/C265</f>
        <v>15.828137915702721</v>
      </c>
      <c r="E265" s="381">
        <f>'Péréquation directe'!E271/C265</f>
        <v>-5.5574374915265192</v>
      </c>
      <c r="F265" s="148">
        <f>'Péréquation directe'!F271/Effort!C265</f>
        <v>0</v>
      </c>
      <c r="G265" s="148">
        <f>'Péréquation directe'!G271/Effort!C265</f>
        <v>0</v>
      </c>
      <c r="H265" s="148">
        <f>'Péréquation directe'!J271/Effort!C265</f>
        <v>19.307090066389922</v>
      </c>
      <c r="I265" s="279">
        <f t="shared" si="12"/>
        <v>29.577790490566123</v>
      </c>
      <c r="J265" s="159">
        <f t="shared" si="13"/>
        <v>0</v>
      </c>
      <c r="K265" s="42">
        <f t="shared" si="14"/>
        <v>0</v>
      </c>
      <c r="L265" s="172"/>
    </row>
    <row r="266" spans="1:12" x14ac:dyDescent="0.25">
      <c r="A266" s="38">
        <f>Données!A266</f>
        <v>5873</v>
      </c>
      <c r="B266" s="128" t="str">
        <f>Données!B266</f>
        <v>Le Lieu</v>
      </c>
      <c r="C266" s="266">
        <f>VPI!R266</f>
        <v>32064.674107142859</v>
      </c>
      <c r="D266" s="148">
        <f>(PCS!I272-PCS!F272)/C266</f>
        <v>11.468526634702149</v>
      </c>
      <c r="E266" s="381">
        <f>'Péréquation directe'!E272/C266</f>
        <v>-3.7223953677922648</v>
      </c>
      <c r="F266" s="148">
        <f>'Péréquation directe'!F272/Effort!C266</f>
        <v>-7.8999365902107028</v>
      </c>
      <c r="G266" s="148">
        <f>'Péréquation directe'!G272/Effort!C266</f>
        <v>0</v>
      </c>
      <c r="H266" s="148">
        <f>'Péréquation directe'!J272/Effort!C266</f>
        <v>19.307090066389922</v>
      </c>
      <c r="I266" s="279">
        <f t="shared" si="12"/>
        <v>19.153284743089102</v>
      </c>
      <c r="J266" s="159">
        <f t="shared" si="13"/>
        <v>0</v>
      </c>
      <c r="K266" s="42">
        <f t="shared" si="14"/>
        <v>0</v>
      </c>
      <c r="L266" s="172"/>
    </row>
    <row r="267" spans="1:12" x14ac:dyDescent="0.25">
      <c r="A267" s="38">
        <f>Données!A267</f>
        <v>5882</v>
      </c>
      <c r="B267" s="128" t="str">
        <f>Données!B267</f>
        <v>Chardonne</v>
      </c>
      <c r="C267" s="266">
        <f>VPI!R267</f>
        <v>191105.75352941177</v>
      </c>
      <c r="D267" s="148">
        <f>(PCS!I273-PCS!F273)/C267</f>
        <v>13.653937070215921</v>
      </c>
      <c r="E267" s="381">
        <f>'Péréquation directe'!E273/C267</f>
        <v>-5.1969050243763331</v>
      </c>
      <c r="F267" s="148">
        <f>'Péréquation directe'!F273/Effort!C267</f>
        <v>0</v>
      </c>
      <c r="G267" s="148">
        <f>'Péréquation directe'!G273/Effort!C267</f>
        <v>0</v>
      </c>
      <c r="H267" s="148">
        <f>'Péréquation directe'!J273/Effort!C267</f>
        <v>19.307090066389922</v>
      </c>
      <c r="I267" s="279">
        <f t="shared" si="12"/>
        <v>27.764122112229508</v>
      </c>
      <c r="J267" s="159">
        <f t="shared" si="13"/>
        <v>0</v>
      </c>
      <c r="K267" s="42">
        <f t="shared" si="14"/>
        <v>0</v>
      </c>
      <c r="L267" s="172"/>
    </row>
    <row r="268" spans="1:12" x14ac:dyDescent="0.25">
      <c r="A268" s="38">
        <f>Données!A268</f>
        <v>5883</v>
      </c>
      <c r="B268" s="128" t="str">
        <f>Données!B268</f>
        <v>Corseaux</v>
      </c>
      <c r="C268" s="266">
        <f>VPI!R268</f>
        <v>170880.8057777778</v>
      </c>
      <c r="D268" s="148">
        <f>(PCS!I274-PCS!F274)/C268</f>
        <v>17.095445314135915</v>
      </c>
      <c r="E268" s="381">
        <f>'Péréquation directe'!E274/C268</f>
        <v>-3.6453154219660471</v>
      </c>
      <c r="F268" s="148">
        <f>'Péréquation directe'!F274/Effort!C268</f>
        <v>0</v>
      </c>
      <c r="G268" s="148">
        <f>'Péréquation directe'!G274/Effort!C268</f>
        <v>0</v>
      </c>
      <c r="H268" s="148">
        <f>'Péréquation directe'!J274/Effort!C268</f>
        <v>19.307090066389922</v>
      </c>
      <c r="I268" s="279">
        <f t="shared" si="12"/>
        <v>32.757219958559787</v>
      </c>
      <c r="J268" s="159">
        <f t="shared" si="13"/>
        <v>0</v>
      </c>
      <c r="K268" s="42">
        <f t="shared" si="14"/>
        <v>0</v>
      </c>
      <c r="L268" s="172"/>
    </row>
    <row r="269" spans="1:12" x14ac:dyDescent="0.25">
      <c r="A269" s="38">
        <f>Données!A269</f>
        <v>5884</v>
      </c>
      <c r="B269" s="128" t="str">
        <f>Données!B269</f>
        <v>Corsier-sur-Vevey</v>
      </c>
      <c r="C269" s="266">
        <f>VPI!R269</f>
        <v>147926.61447028426</v>
      </c>
      <c r="D269" s="148">
        <f>(PCS!I275-PCS!F275)/C269</f>
        <v>11.468526634702151</v>
      </c>
      <c r="E269" s="381">
        <f>'Péréquation directe'!E275/C269</f>
        <v>-7.3735410064805409</v>
      </c>
      <c r="F269" s="148">
        <f>'Péréquation directe'!F275/Effort!C269</f>
        <v>-2.4340486473213425</v>
      </c>
      <c r="G269" s="148">
        <f>'Péréquation directe'!G275/Effort!C269</f>
        <v>0</v>
      </c>
      <c r="H269" s="148">
        <f>'Péréquation directe'!J275/Effort!C269</f>
        <v>19.307090066389922</v>
      </c>
      <c r="I269" s="279">
        <f t="shared" si="12"/>
        <v>20.968027047290189</v>
      </c>
      <c r="J269" s="159">
        <f t="shared" si="13"/>
        <v>0</v>
      </c>
      <c r="K269" s="42">
        <f t="shared" si="14"/>
        <v>0</v>
      </c>
      <c r="L269" s="172"/>
    </row>
    <row r="270" spans="1:12" x14ac:dyDescent="0.25">
      <c r="A270" s="38">
        <f>Données!A270</f>
        <v>5885</v>
      </c>
      <c r="B270" s="128" t="str">
        <f>Données!B270</f>
        <v>Jongny</v>
      </c>
      <c r="C270" s="266">
        <f>VPI!R270</f>
        <v>97976.001630695435</v>
      </c>
      <c r="D270" s="148">
        <f>(PCS!I276-PCS!F276)/C270</f>
        <v>11.910174216844606</v>
      </c>
      <c r="E270" s="381">
        <f>'Péréquation directe'!E276/C270</f>
        <v>-4.7797490858071061</v>
      </c>
      <c r="F270" s="148">
        <f>'Péréquation directe'!F276/Effort!C270</f>
        <v>0</v>
      </c>
      <c r="G270" s="148">
        <f>'Péréquation directe'!G276/Effort!C270</f>
        <v>0</v>
      </c>
      <c r="H270" s="148">
        <f>'Péréquation directe'!J276/Effort!C270</f>
        <v>19.307090066389922</v>
      </c>
      <c r="I270" s="279">
        <f t="shared" si="12"/>
        <v>26.437515197427423</v>
      </c>
      <c r="J270" s="159">
        <f t="shared" si="13"/>
        <v>0</v>
      </c>
      <c r="K270" s="42">
        <f t="shared" si="14"/>
        <v>0</v>
      </c>
      <c r="L270" s="172"/>
    </row>
    <row r="271" spans="1:12" x14ac:dyDescent="0.25">
      <c r="A271" s="38">
        <f>Données!A271</f>
        <v>5886</v>
      </c>
      <c r="B271" s="128" t="str">
        <f>Données!B271</f>
        <v>Montreux</v>
      </c>
      <c r="C271" s="266">
        <f>VPI!R271</f>
        <v>1169621.0326666667</v>
      </c>
      <c r="D271" s="148">
        <f>(PCS!I277-PCS!F277)/C271</f>
        <v>11.468526634702149</v>
      </c>
      <c r="E271" s="381">
        <f>'Péréquation directe'!E277/C271</f>
        <v>-19.919619547877403</v>
      </c>
      <c r="F271" s="148">
        <f>'Péréquation directe'!F277/Effort!C271</f>
        <v>-2.2754864609956424</v>
      </c>
      <c r="G271" s="148">
        <f>'Péréquation directe'!G277/Effort!C271</f>
        <v>0</v>
      </c>
      <c r="H271" s="148">
        <f>'Péréquation directe'!J277/Effort!C271</f>
        <v>19.307090066389922</v>
      </c>
      <c r="I271" s="279">
        <f t="shared" si="12"/>
        <v>8.5805106922190255</v>
      </c>
      <c r="J271" s="159">
        <f t="shared" si="13"/>
        <v>0</v>
      </c>
      <c r="K271" s="42">
        <f t="shared" si="14"/>
        <v>0</v>
      </c>
      <c r="L271" s="172"/>
    </row>
    <row r="272" spans="1:12" x14ac:dyDescent="0.25">
      <c r="A272" s="38">
        <f>Données!A272</f>
        <v>5889</v>
      </c>
      <c r="B272" s="128" t="str">
        <f>Données!B272</f>
        <v>La Tour-de-Peilz</v>
      </c>
      <c r="C272" s="266">
        <f>VPI!R272</f>
        <v>779203.88627604162</v>
      </c>
      <c r="D272" s="148">
        <f>(PCS!I278-PCS!F278)/C272</f>
        <v>14.282641812493205</v>
      </c>
      <c r="E272" s="381">
        <f>'Péréquation directe'!E278/C272</f>
        <v>-9.9380957324410453</v>
      </c>
      <c r="F272" s="148">
        <f>'Péréquation directe'!F278/Effort!C272</f>
        <v>0</v>
      </c>
      <c r="G272" s="148">
        <f>'Péréquation directe'!G278/Effort!C272</f>
        <v>0</v>
      </c>
      <c r="H272" s="148">
        <f>'Péréquation directe'!J278/Effort!C272</f>
        <v>19.307090066389922</v>
      </c>
      <c r="I272" s="279">
        <f t="shared" si="12"/>
        <v>23.65163614644208</v>
      </c>
      <c r="J272" s="159">
        <f t="shared" si="13"/>
        <v>0</v>
      </c>
      <c r="K272" s="42">
        <f t="shared" si="14"/>
        <v>0</v>
      </c>
      <c r="L272" s="172"/>
    </row>
    <row r="273" spans="1:12" x14ac:dyDescent="0.25">
      <c r="A273" s="38">
        <f>Données!A273</f>
        <v>5890</v>
      </c>
      <c r="B273" s="128" t="str">
        <f>Données!B273</f>
        <v>Vevey</v>
      </c>
      <c r="C273" s="266">
        <f>VPI!R273</f>
        <v>1034326.0486800894</v>
      </c>
      <c r="D273" s="148">
        <f>(PCS!I279-PCS!F279)/C273</f>
        <v>12.008348933233302</v>
      </c>
      <c r="E273" s="381">
        <f>'Péréquation directe'!E279/C273</f>
        <v>-15.407561205429422</v>
      </c>
      <c r="F273" s="148">
        <f>'Péréquation directe'!F279/Effort!C273</f>
        <v>0</v>
      </c>
      <c r="G273" s="148">
        <f>'Péréquation directe'!G279/Effort!C273</f>
        <v>0</v>
      </c>
      <c r="H273" s="148">
        <f>'Péréquation directe'!J279/Effort!C273</f>
        <v>19.307090066389922</v>
      </c>
      <c r="I273" s="279">
        <f t="shared" si="12"/>
        <v>15.907877794193801</v>
      </c>
      <c r="J273" s="159">
        <f t="shared" si="13"/>
        <v>0</v>
      </c>
      <c r="K273" s="42">
        <f t="shared" si="14"/>
        <v>0</v>
      </c>
      <c r="L273" s="172"/>
    </row>
    <row r="274" spans="1:12" x14ac:dyDescent="0.25">
      <c r="A274" s="38">
        <f>Données!A274</f>
        <v>5891</v>
      </c>
      <c r="B274" s="128" t="str">
        <f>Données!B274</f>
        <v>Veytaux</v>
      </c>
      <c r="C274" s="266">
        <f>VPI!R274</f>
        <v>45647.230320987655</v>
      </c>
      <c r="D274" s="148">
        <f>(PCS!I280-PCS!F280)/C274</f>
        <v>11.468526634702149</v>
      </c>
      <c r="E274" s="381">
        <f>'Péréquation directe'!E280/C274</f>
        <v>-2.8647627686486001</v>
      </c>
      <c r="F274" s="148">
        <f>'Péréquation directe'!F280/Effort!C274</f>
        <v>-1.4605759673568388</v>
      </c>
      <c r="G274" s="148">
        <f>'Péréquation directe'!G280/Effort!C274</f>
        <v>0</v>
      </c>
      <c r="H274" s="148">
        <f>'Péréquation directe'!J280/Effort!C274</f>
        <v>19.307090066389922</v>
      </c>
      <c r="I274" s="279">
        <f t="shared" si="12"/>
        <v>26.450277965086634</v>
      </c>
      <c r="J274" s="159">
        <f t="shared" si="13"/>
        <v>0</v>
      </c>
      <c r="K274" s="42">
        <f t="shared" si="14"/>
        <v>0</v>
      </c>
      <c r="L274" s="172"/>
    </row>
    <row r="275" spans="1:12" x14ac:dyDescent="0.25">
      <c r="A275" s="38">
        <f>Données!A275</f>
        <v>5892</v>
      </c>
      <c r="B275" s="128" t="str">
        <f>Données!B275</f>
        <v>Blonay - Saint-Légier</v>
      </c>
      <c r="C275" s="266">
        <f>VPI!R275</f>
        <v>720090.13459854003</v>
      </c>
      <c r="D275" s="148">
        <f>(PCS!I281-PCS!F281)/C275</f>
        <v>13.556792828443552</v>
      </c>
      <c r="E275" s="381">
        <f>'Péréquation directe'!E281/C275</f>
        <v>-10.367784639602052</v>
      </c>
      <c r="F275" s="148">
        <f>'Péréquation directe'!F281/Effort!C275</f>
        <v>0</v>
      </c>
      <c r="G275" s="148">
        <f>'Péréquation directe'!G281/Effort!C275</f>
        <v>0</v>
      </c>
      <c r="H275" s="148">
        <f>'Péréquation directe'!J281/Effort!C275</f>
        <v>19.307090066389922</v>
      </c>
      <c r="I275" s="279">
        <f t="shared" si="12"/>
        <v>22.496098255231423</v>
      </c>
      <c r="J275" s="159">
        <f t="shared" si="13"/>
        <v>0</v>
      </c>
      <c r="K275" s="42">
        <f t="shared" si="14"/>
        <v>0</v>
      </c>
      <c r="L275" s="172"/>
    </row>
    <row r="276" spans="1:12" x14ac:dyDescent="0.25">
      <c r="A276" s="38">
        <f>Données!A276</f>
        <v>5902</v>
      </c>
      <c r="B276" s="128" t="str">
        <f>Données!B276</f>
        <v>Belmont-sur-Yverdon</v>
      </c>
      <c r="C276" s="266">
        <f>VPI!R276</f>
        <v>13428.751285714286</v>
      </c>
      <c r="D276" s="148">
        <f>(PCS!I282-PCS!F282)/C276</f>
        <v>11.468526634702148</v>
      </c>
      <c r="E276" s="381">
        <f>'Péréquation directe'!E282/C276</f>
        <v>-4.3268917775653115</v>
      </c>
      <c r="F276" s="148">
        <f>'Péréquation directe'!F282/Effort!C276</f>
        <v>-12.361005694929119</v>
      </c>
      <c r="G276" s="148">
        <f>'Péréquation directe'!G282/Effort!C276</f>
        <v>0</v>
      </c>
      <c r="H276" s="148">
        <f>'Péréquation directe'!J282/Effort!C276</f>
        <v>19.307090066389922</v>
      </c>
      <c r="I276" s="279">
        <f t="shared" si="12"/>
        <v>14.087719228597638</v>
      </c>
      <c r="J276" s="159">
        <f t="shared" si="13"/>
        <v>0</v>
      </c>
      <c r="K276" s="42">
        <f t="shared" si="14"/>
        <v>0</v>
      </c>
      <c r="L276" s="172"/>
    </row>
    <row r="277" spans="1:12" x14ac:dyDescent="0.25">
      <c r="A277" s="38">
        <f>Données!A277</f>
        <v>5903</v>
      </c>
      <c r="B277" s="128" t="str">
        <f>Données!B277</f>
        <v>Bioley-Magnoux</v>
      </c>
      <c r="C277" s="266">
        <f>VPI!R277</f>
        <v>6278.7138690476195</v>
      </c>
      <c r="D277" s="148">
        <f>(PCS!I283-PCS!F283)/C277</f>
        <v>11.468526634702148</v>
      </c>
      <c r="E277" s="381">
        <f>'Péréquation directe'!E283/C277</f>
        <v>-5.2851554578442528</v>
      </c>
      <c r="F277" s="148">
        <f>'Péréquation directe'!F283/Effort!C277</f>
        <v>-20.559120128267509</v>
      </c>
      <c r="G277" s="148">
        <f>'Péréquation directe'!G283/Effort!C277</f>
        <v>0</v>
      </c>
      <c r="H277" s="148">
        <f>'Péréquation directe'!J283/Effort!C277</f>
        <v>19.307090066389922</v>
      </c>
      <c r="I277" s="279">
        <f t="shared" si="12"/>
        <v>4.9313411149803077</v>
      </c>
      <c r="J277" s="159">
        <f t="shared" si="13"/>
        <v>0</v>
      </c>
      <c r="K277" s="42">
        <f t="shared" si="14"/>
        <v>0</v>
      </c>
      <c r="L277" s="172"/>
    </row>
    <row r="278" spans="1:12" x14ac:dyDescent="0.25">
      <c r="A278" s="38">
        <f>Données!A278</f>
        <v>5904</v>
      </c>
      <c r="B278" s="128" t="str">
        <f>Données!B278</f>
        <v>Chamblon</v>
      </c>
      <c r="C278" s="266">
        <f>VPI!R278</f>
        <v>18164.59121212121</v>
      </c>
      <c r="D278" s="148">
        <f>(PCS!I284-PCS!F284)/C278</f>
        <v>11.468526634702151</v>
      </c>
      <c r="E278" s="381">
        <f>'Péréquation directe'!E284/C278</f>
        <v>-4.0508407449368855</v>
      </c>
      <c r="F278" s="148">
        <f>'Péréquation directe'!F284/Effort!C278</f>
        <v>-9.1776486801781303</v>
      </c>
      <c r="G278" s="148">
        <f>'Péréquation directe'!G284/Effort!C278</f>
        <v>0</v>
      </c>
      <c r="H278" s="148">
        <f>'Péréquation directe'!J284/Effort!C278</f>
        <v>19.307090066389922</v>
      </c>
      <c r="I278" s="279">
        <f t="shared" si="12"/>
        <v>17.547127275977058</v>
      </c>
      <c r="J278" s="159">
        <f t="shared" si="13"/>
        <v>0</v>
      </c>
      <c r="K278" s="42">
        <f t="shared" si="14"/>
        <v>0</v>
      </c>
      <c r="L278" s="172"/>
    </row>
    <row r="279" spans="1:12" x14ac:dyDescent="0.25">
      <c r="A279" s="38">
        <f>Données!A279</f>
        <v>5905</v>
      </c>
      <c r="B279" s="128" t="str">
        <f>Données!B279</f>
        <v>Champvent</v>
      </c>
      <c r="C279" s="266">
        <f>VPI!R279</f>
        <v>22259.587285714286</v>
      </c>
      <c r="D279" s="148">
        <f>(PCS!I285-PCS!F285)/C279</f>
        <v>11.468526634702148</v>
      </c>
      <c r="E279" s="381">
        <f>'Péréquation directe'!E285/C279</f>
        <v>-4.3073305977233449</v>
      </c>
      <c r="F279" s="148">
        <f>'Péréquation directe'!F285/Effort!C279</f>
        <v>-12.216647889598894</v>
      </c>
      <c r="G279" s="148">
        <f>'Péréquation directe'!G285/Effort!C279</f>
        <v>0</v>
      </c>
      <c r="H279" s="148">
        <f>'Péréquation directe'!J285/Effort!C279</f>
        <v>19.307090066389922</v>
      </c>
      <c r="I279" s="279">
        <f t="shared" si="12"/>
        <v>14.25163821376983</v>
      </c>
      <c r="J279" s="159">
        <f t="shared" si="13"/>
        <v>0</v>
      </c>
      <c r="K279" s="42">
        <f t="shared" si="14"/>
        <v>0</v>
      </c>
      <c r="L279" s="172"/>
    </row>
    <row r="280" spans="1:12" x14ac:dyDescent="0.25">
      <c r="A280" s="38">
        <f>Données!A280</f>
        <v>5907</v>
      </c>
      <c r="B280" s="128" t="str">
        <f>Données!B280</f>
        <v>Chavannes-le-Chêne</v>
      </c>
      <c r="C280" s="266">
        <f>VPI!R280</f>
        <v>8797.9254666666657</v>
      </c>
      <c r="D280" s="148">
        <f>(PCS!I286-PCS!F286)/C280</f>
        <v>11.468526634702149</v>
      </c>
      <c r="E280" s="381">
        <f>'Péréquation directe'!E286/C280</f>
        <v>-4.7259260410824568</v>
      </c>
      <c r="F280" s="148">
        <f>'Péréquation directe'!F286/Effort!C280</f>
        <v>-17.570437167245419</v>
      </c>
      <c r="G280" s="148">
        <f>'Péréquation directe'!G286/Effort!C280</f>
        <v>0</v>
      </c>
      <c r="H280" s="148">
        <f>'Péréquation directe'!J286/Effort!C280</f>
        <v>19.307090066389922</v>
      </c>
      <c r="I280" s="279">
        <f t="shared" si="12"/>
        <v>8.4792534927641938</v>
      </c>
      <c r="J280" s="159">
        <f t="shared" si="13"/>
        <v>0</v>
      </c>
      <c r="K280" s="42">
        <f t="shared" si="14"/>
        <v>0</v>
      </c>
      <c r="L280" s="172"/>
    </row>
    <row r="281" spans="1:12" x14ac:dyDescent="0.25">
      <c r="A281" s="38">
        <f>Données!A281</f>
        <v>5908</v>
      </c>
      <c r="B281" s="128" t="str">
        <f>Données!B281</f>
        <v>Chêne-Pâquier</v>
      </c>
      <c r="C281" s="266">
        <f>VPI!R281</f>
        <v>5848.7089333333342</v>
      </c>
      <c r="D281" s="148">
        <f>(PCS!I287-PCS!F287)/C281</f>
        <v>11.468526634702149</v>
      </c>
      <c r="E281" s="381">
        <f>'Péréquation directe'!E287/C281</f>
        <v>-3.9245148514068409</v>
      </c>
      <c r="F281" s="148">
        <f>'Péréquation directe'!F287/Effort!C281</f>
        <v>-10.781104739565926</v>
      </c>
      <c r="G281" s="148">
        <f>'Péréquation directe'!G287/Effort!C281</f>
        <v>0</v>
      </c>
      <c r="H281" s="148">
        <f>'Péréquation directe'!J287/Effort!C281</f>
        <v>19.307090066389922</v>
      </c>
      <c r="I281" s="279">
        <f t="shared" si="12"/>
        <v>16.069997110119303</v>
      </c>
      <c r="J281" s="159">
        <f t="shared" si="13"/>
        <v>0</v>
      </c>
      <c r="K281" s="42">
        <f t="shared" si="14"/>
        <v>0</v>
      </c>
      <c r="L281" s="172"/>
    </row>
    <row r="282" spans="1:12" x14ac:dyDescent="0.25">
      <c r="A282" s="38">
        <f>Données!A282</f>
        <v>5909</v>
      </c>
      <c r="B282" s="128" t="str">
        <f>Données!B282</f>
        <v>Cheseaux-Noréaz</v>
      </c>
      <c r="C282" s="266">
        <f>VPI!R282</f>
        <v>38683.585223880604</v>
      </c>
      <c r="D282" s="148">
        <f>(PCS!I288-PCS!F288)/C282</f>
        <v>12.207447472394561</v>
      </c>
      <c r="E282" s="381">
        <f>'Péréquation directe'!E288/C282</f>
        <v>-2.5056802936471723</v>
      </c>
      <c r="F282" s="148">
        <f>'Péréquation directe'!F288/Effort!C282</f>
        <v>0</v>
      </c>
      <c r="G282" s="148">
        <f>'Péréquation directe'!G288/Effort!C282</f>
        <v>0</v>
      </c>
      <c r="H282" s="148">
        <f>'Péréquation directe'!J288/Effort!C282</f>
        <v>19.307090066389922</v>
      </c>
      <c r="I282" s="279">
        <f t="shared" si="12"/>
        <v>29.00885724513731</v>
      </c>
      <c r="J282" s="159">
        <f t="shared" si="13"/>
        <v>0</v>
      </c>
      <c r="K282" s="42">
        <f t="shared" si="14"/>
        <v>0</v>
      </c>
      <c r="L282" s="172"/>
    </row>
    <row r="283" spans="1:12" x14ac:dyDescent="0.25">
      <c r="A283" s="38">
        <f>Données!A283</f>
        <v>5910</v>
      </c>
      <c r="B283" s="128" t="str">
        <f>Données!B283</f>
        <v>Cronay</v>
      </c>
      <c r="C283" s="266">
        <f>VPI!R283</f>
        <v>12977.456233766234</v>
      </c>
      <c r="D283" s="148">
        <f>(PCS!I289-PCS!F289)/C283</f>
        <v>11.468526634702149</v>
      </c>
      <c r="E283" s="381">
        <f>'Péréquation directe'!E289/C283</f>
        <v>-4.2651156833539652</v>
      </c>
      <c r="F283" s="148">
        <f>'Péréquation directe'!F289/Effort!C283</f>
        <v>-14.405182870847719</v>
      </c>
      <c r="G283" s="148">
        <f>'Péréquation directe'!G289/Effort!C283</f>
        <v>0</v>
      </c>
      <c r="H283" s="148">
        <f>'Péréquation directe'!J289/Effort!C283</f>
        <v>19.307090066389922</v>
      </c>
      <c r="I283" s="279">
        <f t="shared" si="12"/>
        <v>12.105318146890387</v>
      </c>
      <c r="J283" s="159">
        <f t="shared" si="13"/>
        <v>0</v>
      </c>
      <c r="K283" s="42">
        <f t="shared" si="14"/>
        <v>0</v>
      </c>
      <c r="L283" s="172"/>
    </row>
    <row r="284" spans="1:12" x14ac:dyDescent="0.25">
      <c r="A284" s="38">
        <f>Données!A284</f>
        <v>5911</v>
      </c>
      <c r="B284" s="128" t="str">
        <f>Données!B284</f>
        <v>Cuarny</v>
      </c>
      <c r="C284" s="266">
        <f>VPI!R284</f>
        <v>7819.0719480519483</v>
      </c>
      <c r="D284" s="148">
        <f>(PCS!I290-PCS!F290)/C284</f>
        <v>11.468526634702149</v>
      </c>
      <c r="E284" s="381">
        <f>'Péréquation directe'!E290/C284</f>
        <v>-4.0594583850845138</v>
      </c>
      <c r="F284" s="148">
        <f>'Péréquation directe'!F290/Effort!C284</f>
        <v>-12.568751422106551</v>
      </c>
      <c r="G284" s="148">
        <f>'Péréquation directe'!G290/Effort!C284</f>
        <v>0</v>
      </c>
      <c r="H284" s="148">
        <f>'Péréquation directe'!J290/Effort!C284</f>
        <v>19.307090066389922</v>
      </c>
      <c r="I284" s="279">
        <f t="shared" si="12"/>
        <v>14.147406893901007</v>
      </c>
      <c r="J284" s="159">
        <f t="shared" si="13"/>
        <v>0</v>
      </c>
      <c r="K284" s="42">
        <f t="shared" si="14"/>
        <v>0</v>
      </c>
      <c r="L284" s="172"/>
    </row>
    <row r="285" spans="1:12" x14ac:dyDescent="0.25">
      <c r="A285" s="38">
        <f>Données!A285</f>
        <v>5912</v>
      </c>
      <c r="B285" s="128" t="str">
        <f>Données!B285</f>
        <v>Démoret</v>
      </c>
      <c r="C285" s="266">
        <f>VPI!R285</f>
        <v>3810.8220512820521</v>
      </c>
      <c r="D285" s="148">
        <f>(PCS!I291-PCS!F291)/C285</f>
        <v>11.468526634702149</v>
      </c>
      <c r="E285" s="381">
        <f>'Péréquation directe'!E291/C285</f>
        <v>-5.5069261200211583</v>
      </c>
      <c r="F285" s="148">
        <f>'Péréquation directe'!F291/Effort!C285</f>
        <v>-26.160499500355865</v>
      </c>
      <c r="G285" s="148">
        <f>'Péréquation directe'!G291/Effort!C285</f>
        <v>0</v>
      </c>
      <c r="H285" s="148">
        <f>'Péréquation directe'!J291/Effort!C285</f>
        <v>19.307090066389922</v>
      </c>
      <c r="I285" s="279">
        <f t="shared" si="12"/>
        <v>-0.89180891928495143</v>
      </c>
      <c r="J285" s="159">
        <f t="shared" si="13"/>
        <v>0</v>
      </c>
      <c r="K285" s="42">
        <f t="shared" si="14"/>
        <v>0</v>
      </c>
      <c r="L285" s="172"/>
    </row>
    <row r="286" spans="1:12" s="156" customFormat="1" x14ac:dyDescent="0.25">
      <c r="A286" s="38">
        <f>Données!A286</f>
        <v>5913</v>
      </c>
      <c r="B286" s="128" t="str">
        <f>Données!B286</f>
        <v>Donneloye</v>
      </c>
      <c r="C286" s="266">
        <f>VPI!R286</f>
        <v>21287.768493150685</v>
      </c>
      <c r="D286" s="148">
        <f>(PCS!I292-PCS!F292)/C286</f>
        <v>11.468526634702149</v>
      </c>
      <c r="E286" s="381">
        <f>'Péréquation directe'!E292/C286</f>
        <v>-5.6623056639994438</v>
      </c>
      <c r="F286" s="148">
        <f>'Péréquation directe'!F292/Effort!C286</f>
        <v>-24.161150330153948</v>
      </c>
      <c r="G286" s="148">
        <f>'Péréquation directe'!G292/Effort!C286</f>
        <v>0</v>
      </c>
      <c r="H286" s="148">
        <f>'Péréquation directe'!J292/Effort!C286</f>
        <v>19.307090066389922</v>
      </c>
      <c r="I286" s="279">
        <f t="shared" si="12"/>
        <v>0.95216070693868105</v>
      </c>
      <c r="J286" s="159">
        <f t="shared" si="13"/>
        <v>0</v>
      </c>
      <c r="K286" s="42">
        <f t="shared" si="14"/>
        <v>0</v>
      </c>
      <c r="L286" s="172"/>
    </row>
    <row r="287" spans="1:12" s="156" customFormat="1" x14ac:dyDescent="0.25">
      <c r="A287" s="38">
        <f>Données!A287</f>
        <v>5914</v>
      </c>
      <c r="B287" s="128" t="str">
        <f>Données!B287</f>
        <v>Ependes</v>
      </c>
      <c r="C287" s="266">
        <f>VPI!R287</f>
        <v>11289.461224489796</v>
      </c>
      <c r="D287" s="148">
        <f>(PCS!I293-PCS!F293)/C287</f>
        <v>11.468526634702149</v>
      </c>
      <c r="E287" s="381">
        <f>'Péréquation directe'!E293/C287</f>
        <v>-4.5078187575530144</v>
      </c>
      <c r="F287" s="148">
        <f>'Péréquation directe'!F293/Effort!C287</f>
        <v>-15.100074355412966</v>
      </c>
      <c r="G287" s="148">
        <f>'Péréquation directe'!G293/Effort!C287</f>
        <v>0</v>
      </c>
      <c r="H287" s="148">
        <f>'Péréquation directe'!J293/Effort!C287</f>
        <v>19.307090066389922</v>
      </c>
      <c r="I287" s="279">
        <f t="shared" si="12"/>
        <v>11.167723588126091</v>
      </c>
      <c r="J287" s="159">
        <f t="shared" si="13"/>
        <v>0</v>
      </c>
      <c r="K287" s="42">
        <f t="shared" si="14"/>
        <v>0</v>
      </c>
      <c r="L287" s="172"/>
    </row>
    <row r="288" spans="1:12" s="156" customFormat="1" x14ac:dyDescent="0.25">
      <c r="A288" s="38">
        <f>Données!A288</f>
        <v>5919</v>
      </c>
      <c r="B288" s="128" t="str">
        <f>Données!B288</f>
        <v>Mathod</v>
      </c>
      <c r="C288" s="266">
        <f>VPI!R288</f>
        <v>20397.872569444444</v>
      </c>
      <c r="D288" s="148">
        <f>(PCS!I294-PCS!F294)/C288</f>
        <v>11.468526634702149</v>
      </c>
      <c r="E288" s="381">
        <f>'Péréquation directe'!E294/C288</f>
        <v>-4.5589969106617358</v>
      </c>
      <c r="F288" s="148">
        <f>'Péréquation directe'!F294/Effort!C288</f>
        <v>-14.889609270881822</v>
      </c>
      <c r="G288" s="148">
        <f>'Péréquation directe'!G294/Effort!C288</f>
        <v>0</v>
      </c>
      <c r="H288" s="148">
        <f>'Péréquation directe'!J294/Effort!C288</f>
        <v>19.307090066389922</v>
      </c>
      <c r="I288" s="279">
        <f t="shared" si="12"/>
        <v>11.327010519548512</v>
      </c>
      <c r="J288" s="159">
        <f t="shared" si="13"/>
        <v>0</v>
      </c>
      <c r="K288" s="42">
        <f t="shared" si="14"/>
        <v>0</v>
      </c>
      <c r="L288" s="172"/>
    </row>
    <row r="289" spans="1:12" s="156" customFormat="1" x14ac:dyDescent="0.25">
      <c r="A289" s="38">
        <f>Données!A289</f>
        <v>5921</v>
      </c>
      <c r="B289" s="128" t="str">
        <f>Données!B289</f>
        <v>Molondin</v>
      </c>
      <c r="C289" s="266">
        <f>VPI!R289</f>
        <v>5454.6739506172835</v>
      </c>
      <c r="D289" s="148">
        <f>(PCS!I295-PCS!F295)/C289</f>
        <v>11.468526634702148</v>
      </c>
      <c r="E289" s="381">
        <f>'Péréquation directe'!E295/C289</f>
        <v>-6.7809142015082822</v>
      </c>
      <c r="F289" s="148">
        <f>'Péréquation directe'!F295/Effort!C289</f>
        <v>-40.800350778079725</v>
      </c>
      <c r="G289" s="148">
        <f>'Péréquation directe'!G295/Effort!C289</f>
        <v>0</v>
      </c>
      <c r="H289" s="148">
        <f>'Péréquation directe'!J295/Effort!C289</f>
        <v>19.307090066389922</v>
      </c>
      <c r="I289" s="279">
        <f t="shared" si="12"/>
        <v>-16.805648278495941</v>
      </c>
      <c r="J289" s="159">
        <f t="shared" si="13"/>
        <v>0</v>
      </c>
      <c r="K289" s="42">
        <f t="shared" si="14"/>
        <v>0</v>
      </c>
      <c r="L289" s="172"/>
    </row>
    <row r="290" spans="1:12" s="156" customFormat="1" x14ac:dyDescent="0.25">
      <c r="A290" s="38">
        <f>Données!A290</f>
        <v>5922</v>
      </c>
      <c r="B290" s="128" t="str">
        <f>Données!B290</f>
        <v>Montagny-près-Yverdon</v>
      </c>
      <c r="C290" s="266">
        <f>VPI!R290</f>
        <v>39914.464612403099</v>
      </c>
      <c r="D290" s="148">
        <f>(PCS!I296-PCS!F296)/C290</f>
        <v>11.948325576665065</v>
      </c>
      <c r="E290" s="381">
        <f>'Péréquation directe'!E296/C290</f>
        <v>-2.5532812002445708</v>
      </c>
      <c r="F290" s="148">
        <f>'Péréquation directe'!F296/Effort!C290</f>
        <v>0</v>
      </c>
      <c r="G290" s="148">
        <f>'Péréquation directe'!G296/Effort!C290</f>
        <v>0</v>
      </c>
      <c r="H290" s="148">
        <f>'Péréquation directe'!J296/Effort!C290</f>
        <v>19.307090066389922</v>
      </c>
      <c r="I290" s="279">
        <f t="shared" si="12"/>
        <v>28.702134442810415</v>
      </c>
      <c r="J290" s="159">
        <f t="shared" si="13"/>
        <v>0</v>
      </c>
      <c r="K290" s="42">
        <f t="shared" si="14"/>
        <v>0</v>
      </c>
      <c r="L290" s="172"/>
    </row>
    <row r="291" spans="1:12" s="156" customFormat="1" x14ac:dyDescent="0.25">
      <c r="A291" s="38">
        <f>Données!A291</f>
        <v>5923</v>
      </c>
      <c r="B291" s="128" t="str">
        <f>Données!B291</f>
        <v>Oppens</v>
      </c>
      <c r="C291" s="266">
        <f>VPI!R291</f>
        <v>6126.7193827160499</v>
      </c>
      <c r="D291" s="148">
        <f>(PCS!I297-PCS!F297)/C291</f>
        <v>11.468526634702149</v>
      </c>
      <c r="E291" s="381">
        <f>'Péréquation directe'!E297/C291</f>
        <v>-4.3244543539243532</v>
      </c>
      <c r="F291" s="148">
        <f>'Péréquation directe'!F297/Effort!C291</f>
        <v>-16.527049163149346</v>
      </c>
      <c r="G291" s="148">
        <f>'Péréquation directe'!G297/Effort!C291</f>
        <v>0</v>
      </c>
      <c r="H291" s="148">
        <f>'Péréquation directe'!J297/Effort!C291</f>
        <v>19.307090066389922</v>
      </c>
      <c r="I291" s="279">
        <f t="shared" si="12"/>
        <v>9.9241131840183705</v>
      </c>
      <c r="J291" s="159">
        <f t="shared" si="13"/>
        <v>0</v>
      </c>
      <c r="K291" s="42">
        <f t="shared" si="14"/>
        <v>0</v>
      </c>
      <c r="L291" s="172"/>
    </row>
    <row r="292" spans="1:12" s="156" customFormat="1" x14ac:dyDescent="0.25">
      <c r="A292" s="38">
        <f>Données!A292</f>
        <v>5924</v>
      </c>
      <c r="B292" s="128" t="str">
        <f>Données!B292</f>
        <v>Orges</v>
      </c>
      <c r="C292" s="266">
        <f>VPI!R292</f>
        <v>12401.843648648648</v>
      </c>
      <c r="D292" s="148">
        <f>(PCS!I298-PCS!F298)/C292</f>
        <v>11.468526634702149</v>
      </c>
      <c r="E292" s="381">
        <f>'Péréquation directe'!E298/C292</f>
        <v>-4.3996184621820777</v>
      </c>
      <c r="F292" s="148">
        <f>'Péréquation directe'!F298/Effort!C292</f>
        <v>-14.41385440726483</v>
      </c>
      <c r="G292" s="148">
        <f>'Péréquation directe'!G298/Effort!C292</f>
        <v>0</v>
      </c>
      <c r="H292" s="148">
        <f>'Péréquation directe'!J298/Effort!C292</f>
        <v>19.307090066389922</v>
      </c>
      <c r="I292" s="279">
        <f t="shared" si="12"/>
        <v>11.962143831645163</v>
      </c>
      <c r="J292" s="159">
        <f t="shared" si="13"/>
        <v>0</v>
      </c>
      <c r="K292" s="42">
        <f t="shared" si="14"/>
        <v>0</v>
      </c>
      <c r="L292" s="172"/>
    </row>
    <row r="293" spans="1:12" s="156" customFormat="1" x14ac:dyDescent="0.25">
      <c r="A293" s="38">
        <f>Données!A293</f>
        <v>5925</v>
      </c>
      <c r="B293" s="128" t="str">
        <f>Données!B293</f>
        <v>Orzens</v>
      </c>
      <c r="C293" s="266">
        <f>VPI!R293</f>
        <v>5858.6327848101273</v>
      </c>
      <c r="D293" s="148">
        <f>(PCS!I299-PCS!F299)/C293</f>
        <v>11.468526634702146</v>
      </c>
      <c r="E293" s="381">
        <f>'Péréquation directe'!E299/C293</f>
        <v>-4.7909918581354916</v>
      </c>
      <c r="F293" s="148">
        <f>'Péréquation directe'!F299/Effort!C293</f>
        <v>-20.106179405199221</v>
      </c>
      <c r="G293" s="148">
        <f>'Péréquation directe'!G299/Effort!C293</f>
        <v>0</v>
      </c>
      <c r="H293" s="148">
        <f>'Péréquation directe'!J299/Effort!C293</f>
        <v>19.307090066389922</v>
      </c>
      <c r="I293" s="279">
        <f t="shared" si="12"/>
        <v>5.878445437757355</v>
      </c>
      <c r="J293" s="159">
        <f t="shared" si="13"/>
        <v>0</v>
      </c>
      <c r="K293" s="42">
        <f t="shared" si="14"/>
        <v>0</v>
      </c>
      <c r="L293" s="172"/>
    </row>
    <row r="294" spans="1:12" x14ac:dyDescent="0.25">
      <c r="A294" s="38">
        <f>Données!A294</f>
        <v>5926</v>
      </c>
      <c r="B294" s="128" t="str">
        <f>Données!B294</f>
        <v>Pomy</v>
      </c>
      <c r="C294" s="266">
        <f>VPI!R294</f>
        <v>27254.567042253519</v>
      </c>
      <c r="D294" s="148">
        <f>(PCS!I300-PCS!F300)/C294</f>
        <v>11.468526634702149</v>
      </c>
      <c r="E294" s="381">
        <f>'Péréquation directe'!E300/C294</f>
        <v>-4.2109172079008479</v>
      </c>
      <c r="F294" s="148">
        <f>'Péréquation directe'!F300/Effort!C294</f>
        <v>-11.836201457459966</v>
      </c>
      <c r="G294" s="148">
        <f>'Péréquation directe'!G300/Effort!C294</f>
        <v>0</v>
      </c>
      <c r="H294" s="148">
        <f>'Péréquation directe'!J300/Effort!C294</f>
        <v>19.307090066389922</v>
      </c>
      <c r="I294" s="279">
        <f t="shared" si="12"/>
        <v>14.728498035731256</v>
      </c>
      <c r="J294" s="159">
        <f t="shared" si="13"/>
        <v>0</v>
      </c>
      <c r="K294" s="42">
        <f t="shared" si="14"/>
        <v>0</v>
      </c>
      <c r="L294" s="172"/>
    </row>
    <row r="295" spans="1:12" x14ac:dyDescent="0.25">
      <c r="A295" s="38">
        <f>Données!A295</f>
        <v>5928</v>
      </c>
      <c r="B295" s="128" t="str">
        <f>Données!B295</f>
        <v>Rovray</v>
      </c>
      <c r="C295" s="266">
        <f>VPI!R295</f>
        <v>5477.1420547945208</v>
      </c>
      <c r="D295" s="148">
        <f>(PCS!I301-PCS!F301)/C295</f>
        <v>11.468526634702148</v>
      </c>
      <c r="E295" s="381">
        <f>'Péréquation directe'!E301/C295</f>
        <v>-4.7654839208557647</v>
      </c>
      <c r="F295" s="148">
        <f>'Péréquation directe'!F301/Effort!C295</f>
        <v>-16.9633301247774</v>
      </c>
      <c r="G295" s="148">
        <f>'Péréquation directe'!G301/Effort!C295</f>
        <v>0</v>
      </c>
      <c r="H295" s="148">
        <f>'Péréquation directe'!J301/Effort!C295</f>
        <v>19.307090066389922</v>
      </c>
      <c r="I295" s="279">
        <f t="shared" si="12"/>
        <v>9.0468026554589045</v>
      </c>
      <c r="J295" s="159">
        <f t="shared" si="13"/>
        <v>0</v>
      </c>
      <c r="K295" s="42">
        <f t="shared" si="14"/>
        <v>0</v>
      </c>
      <c r="L295" s="172"/>
    </row>
    <row r="296" spans="1:12" x14ac:dyDescent="0.25">
      <c r="A296" s="38">
        <f>Données!A296</f>
        <v>5929</v>
      </c>
      <c r="B296" s="128" t="str">
        <f>Données!B296</f>
        <v>Suchy</v>
      </c>
      <c r="C296" s="266">
        <f>VPI!R296</f>
        <v>22233.767642857143</v>
      </c>
      <c r="D296" s="148">
        <f>(PCS!I302-PCS!F302)/C296</f>
        <v>11.468526634702149</v>
      </c>
      <c r="E296" s="381">
        <f>'Péréquation directe'!E302/C296</f>
        <v>-3.9229838446039049</v>
      </c>
      <c r="F296" s="148">
        <f>'Péréquation directe'!F302/Effort!C296</f>
        <v>-9.3802415882220149</v>
      </c>
      <c r="G296" s="148">
        <f>'Péréquation directe'!G302/Effort!C296</f>
        <v>0</v>
      </c>
      <c r="H296" s="148">
        <f>'Péréquation directe'!J302/Effort!C296</f>
        <v>19.307090066389922</v>
      </c>
      <c r="I296" s="279">
        <f t="shared" si="12"/>
        <v>17.472391268266151</v>
      </c>
      <c r="J296" s="159">
        <f t="shared" si="13"/>
        <v>0</v>
      </c>
      <c r="K296" s="42">
        <f t="shared" si="14"/>
        <v>0</v>
      </c>
      <c r="L296" s="172"/>
    </row>
    <row r="297" spans="1:12" x14ac:dyDescent="0.25">
      <c r="A297" s="38">
        <f>Données!A297</f>
        <v>5930</v>
      </c>
      <c r="B297" s="128" t="str">
        <f>Données!B297</f>
        <v>Suscévaz</v>
      </c>
      <c r="C297" s="266">
        <f>VPI!R297</f>
        <v>6011.7318055555552</v>
      </c>
      <c r="D297" s="148">
        <f>(PCS!I303-PCS!F303)/C297</f>
        <v>11.468526634702148</v>
      </c>
      <c r="E297" s="381">
        <f>'Péréquation directe'!E303/C297</f>
        <v>-4.7344340712307771</v>
      </c>
      <c r="F297" s="148">
        <f>'Péréquation directe'!F303/Effort!C297</f>
        <v>-16.259341666781161</v>
      </c>
      <c r="G297" s="148">
        <f>'Péréquation directe'!G303/Effort!C297</f>
        <v>0</v>
      </c>
      <c r="H297" s="148">
        <f>'Péréquation directe'!J303/Effort!C297</f>
        <v>19.307090066389922</v>
      </c>
      <c r="I297" s="279">
        <f t="shared" si="12"/>
        <v>9.781840963080132</v>
      </c>
      <c r="J297" s="159">
        <f t="shared" si="13"/>
        <v>0</v>
      </c>
      <c r="K297" s="42">
        <f t="shared" si="14"/>
        <v>0</v>
      </c>
      <c r="L297" s="172"/>
    </row>
    <row r="298" spans="1:12" x14ac:dyDescent="0.25">
      <c r="A298" s="38">
        <f>Données!A298</f>
        <v>5931</v>
      </c>
      <c r="B298" s="128" t="str">
        <f>Données!B298</f>
        <v>Treycovagnes</v>
      </c>
      <c r="C298" s="266">
        <f>VPI!R298</f>
        <v>16173.396575342462</v>
      </c>
      <c r="D298" s="148">
        <f>(PCS!I304-PCS!F304)/C298</f>
        <v>11.468526634702149</v>
      </c>
      <c r="E298" s="381">
        <f>'Péréquation directe'!E304/C298</f>
        <v>-4.2332820429418607</v>
      </c>
      <c r="F298" s="148">
        <f>'Péréquation directe'!F304/Effort!C298</f>
        <v>-12.691920048612102</v>
      </c>
      <c r="G298" s="148">
        <f>'Péréquation directe'!G304/Effort!C298</f>
        <v>0</v>
      </c>
      <c r="H298" s="148">
        <f>'Péréquation directe'!J304/Effort!C298</f>
        <v>19.307090066389922</v>
      </c>
      <c r="I298" s="279">
        <f t="shared" si="12"/>
        <v>13.850414609538108</v>
      </c>
      <c r="J298" s="159">
        <f t="shared" si="13"/>
        <v>0</v>
      </c>
      <c r="K298" s="42">
        <f t="shared" si="14"/>
        <v>0</v>
      </c>
      <c r="L298" s="172"/>
    </row>
    <row r="299" spans="1:12" x14ac:dyDescent="0.25">
      <c r="A299" s="38">
        <f>Données!A299</f>
        <v>5932</v>
      </c>
      <c r="B299" s="128" t="str">
        <f>Données!B299</f>
        <v>Ursins</v>
      </c>
      <c r="C299" s="266">
        <f>VPI!R299</f>
        <v>8679.1289333333334</v>
      </c>
      <c r="D299" s="148">
        <f>(PCS!I305-PCS!F305)/C299</f>
        <v>11.468526634702149</v>
      </c>
      <c r="E299" s="381">
        <f>'Péréquation directe'!E305/C299</f>
        <v>-3.5362882201892893</v>
      </c>
      <c r="F299" s="148">
        <f>'Péréquation directe'!F305/Effort!C299</f>
        <v>-7.4921568304645199</v>
      </c>
      <c r="G299" s="148">
        <f>'Péréquation directe'!G305/Effort!C299</f>
        <v>0</v>
      </c>
      <c r="H299" s="148">
        <f>'Péréquation directe'!J305/Effort!C299</f>
        <v>19.307090066389922</v>
      </c>
      <c r="I299" s="279">
        <f t="shared" si="12"/>
        <v>19.747171650438261</v>
      </c>
      <c r="J299" s="159">
        <f t="shared" si="13"/>
        <v>0</v>
      </c>
      <c r="K299" s="42">
        <f t="shared" si="14"/>
        <v>0</v>
      </c>
      <c r="L299" s="172"/>
    </row>
    <row r="300" spans="1:12" x14ac:dyDescent="0.25">
      <c r="A300" s="38">
        <f>Données!A300</f>
        <v>5933</v>
      </c>
      <c r="B300" s="128" t="str">
        <f>Données!B300</f>
        <v>Valeyres-sous-Montagny</v>
      </c>
      <c r="C300" s="266">
        <f>VPI!R300</f>
        <v>22762.97602836879</v>
      </c>
      <c r="D300" s="148">
        <f>(PCS!I306-PCS!F306)/C300</f>
        <v>11.468526634702151</v>
      </c>
      <c r="E300" s="381">
        <f>'Péréquation directe'!E306/C300</f>
        <v>-4.0507386240827445</v>
      </c>
      <c r="F300" s="148">
        <f>'Péréquation directe'!F306/Effort!C300</f>
        <v>-10.471046479379773</v>
      </c>
      <c r="G300" s="148">
        <f>'Péréquation directe'!G306/Effort!C300</f>
        <v>0</v>
      </c>
      <c r="H300" s="148">
        <f>'Péréquation directe'!J306/Effort!C300</f>
        <v>19.307090066389922</v>
      </c>
      <c r="I300" s="279">
        <f t="shared" si="12"/>
        <v>16.253831597629556</v>
      </c>
      <c r="J300" s="159">
        <f t="shared" si="13"/>
        <v>0</v>
      </c>
      <c r="K300" s="42">
        <f t="shared" si="14"/>
        <v>0</v>
      </c>
      <c r="L300" s="172"/>
    </row>
    <row r="301" spans="1:12" x14ac:dyDescent="0.25">
      <c r="A301" s="38">
        <f>Données!A301</f>
        <v>5934</v>
      </c>
      <c r="B301" s="128" t="str">
        <f>Données!B301</f>
        <v>Valeyres-sous-Ursins</v>
      </c>
      <c r="C301" s="266">
        <f>VPI!R301</f>
        <v>7483.0151948051935</v>
      </c>
      <c r="D301" s="148">
        <f>(PCS!I307-PCS!F307)/C301</f>
        <v>11.468526634702149</v>
      </c>
      <c r="E301" s="381">
        <f>'Péréquation directe'!E307/C301</f>
        <v>-4.1541259124428267</v>
      </c>
      <c r="F301" s="148">
        <f>'Péréquation directe'!F307/Effort!C301</f>
        <v>-13.414091830048655</v>
      </c>
      <c r="G301" s="148">
        <f>'Péréquation directe'!G307/Effort!C301</f>
        <v>0</v>
      </c>
      <c r="H301" s="148">
        <f>'Péréquation directe'!J307/Effort!C301</f>
        <v>19.307090066389922</v>
      </c>
      <c r="I301" s="279">
        <f t="shared" si="12"/>
        <v>13.207398958600589</v>
      </c>
      <c r="J301" s="159">
        <f t="shared" si="13"/>
        <v>0</v>
      </c>
      <c r="K301" s="42">
        <f t="shared" si="14"/>
        <v>0</v>
      </c>
      <c r="L301" s="172"/>
    </row>
    <row r="302" spans="1:12" x14ac:dyDescent="0.25">
      <c r="A302" s="38">
        <f>Données!A302</f>
        <v>5935</v>
      </c>
      <c r="B302" s="128" t="str">
        <f>Données!B302</f>
        <v>Villars-Epeney</v>
      </c>
      <c r="C302" s="266">
        <f>VPI!R302</f>
        <v>4091.4220588235289</v>
      </c>
      <c r="D302" s="148">
        <f>(PCS!I308-PCS!F308)/C302</f>
        <v>11.468526634702149</v>
      </c>
      <c r="E302" s="381">
        <f>'Péréquation directe'!E308/C302</f>
        <v>-3.2378373495739514</v>
      </c>
      <c r="F302" s="148">
        <f>'Péréquation directe'!F308/Effort!C302</f>
        <v>-4.0804347554313241</v>
      </c>
      <c r="G302" s="148">
        <f>'Péréquation directe'!G308/Effort!C302</f>
        <v>0</v>
      </c>
      <c r="H302" s="148">
        <f>'Péréquation directe'!J308/Effort!C302</f>
        <v>19.307090066389922</v>
      </c>
      <c r="I302" s="279">
        <f t="shared" si="12"/>
        <v>23.457344596086795</v>
      </c>
      <c r="J302" s="159">
        <f t="shared" si="13"/>
        <v>0</v>
      </c>
      <c r="K302" s="42">
        <f t="shared" si="14"/>
        <v>0</v>
      </c>
      <c r="L302" s="172"/>
    </row>
    <row r="303" spans="1:12" x14ac:dyDescent="0.25">
      <c r="A303" s="38">
        <f>Données!A303</f>
        <v>5937</v>
      </c>
      <c r="B303" s="128" t="str">
        <f>Données!B303</f>
        <v>Vugelles-La Mothe</v>
      </c>
      <c r="C303" s="266">
        <f>VPI!R303</f>
        <v>3794.0157959183671</v>
      </c>
      <c r="D303" s="148">
        <f>(PCS!I309-PCS!F309)/C303</f>
        <v>11.468526634702149</v>
      </c>
      <c r="E303" s="381">
        <f>'Péréquation directe'!E309/C303</f>
        <v>-5.2201832601186693</v>
      </c>
      <c r="F303" s="148">
        <f>'Péréquation directe'!F309/Effort!C303</f>
        <v>-18.953327783033906</v>
      </c>
      <c r="G303" s="148">
        <f>'Péréquation directe'!G309/Effort!C303</f>
        <v>0</v>
      </c>
      <c r="H303" s="148">
        <f>'Péréquation directe'!J309/Effort!C303</f>
        <v>19.307090066389922</v>
      </c>
      <c r="I303" s="279">
        <f t="shared" si="12"/>
        <v>6.6021056579394966</v>
      </c>
      <c r="J303" s="159">
        <f t="shared" si="13"/>
        <v>0</v>
      </c>
      <c r="K303" s="42">
        <f t="shared" si="14"/>
        <v>0</v>
      </c>
      <c r="L303" s="172"/>
    </row>
    <row r="304" spans="1:12" x14ac:dyDescent="0.25">
      <c r="A304" s="38">
        <f>Données!A304</f>
        <v>5938</v>
      </c>
      <c r="B304" s="128" t="str">
        <f>Données!B304</f>
        <v>Yverdon-les-Bains</v>
      </c>
      <c r="C304" s="266">
        <f>VPI!R304</f>
        <v>793682.36159999971</v>
      </c>
      <c r="D304" s="148">
        <f>(PCS!I310-PCS!F310)/C304</f>
        <v>11.468526634702149</v>
      </c>
      <c r="E304" s="381">
        <f>'Péréquation directe'!E310/C304</f>
        <v>-34.052367848909462</v>
      </c>
      <c r="F304" s="148">
        <f>'Péréquation directe'!F310/Effort!C304</f>
        <v>-19.843579717389527</v>
      </c>
      <c r="G304" s="148">
        <f>'Péréquation directe'!G310/Effort!C304</f>
        <v>0</v>
      </c>
      <c r="H304" s="148">
        <f>'Péréquation directe'!J310/Effort!C304</f>
        <v>19.307090066389922</v>
      </c>
      <c r="I304" s="279">
        <f t="shared" si="12"/>
        <v>-23.12033086520692</v>
      </c>
      <c r="J304" s="159">
        <f t="shared" si="13"/>
        <v>0</v>
      </c>
      <c r="K304" s="42">
        <f t="shared" si="14"/>
        <v>0</v>
      </c>
      <c r="L304" s="172"/>
    </row>
    <row r="305" spans="1:14" x14ac:dyDescent="0.25">
      <c r="A305" s="38">
        <f>Données!A305</f>
        <v>5939</v>
      </c>
      <c r="B305" s="128" t="str">
        <f>Données!B305</f>
        <v>Yvonand</v>
      </c>
      <c r="C305" s="266">
        <f>VPI!R305</f>
        <v>96283.364335664344</v>
      </c>
      <c r="D305" s="150">
        <f>(PCS!I311-PCS!F311)/C305</f>
        <v>11.468526634702149</v>
      </c>
      <c r="E305" s="381">
        <f>'Péréquation directe'!E311/C305</f>
        <v>-11.911510255207446</v>
      </c>
      <c r="F305" s="148">
        <f>'Péréquation directe'!F311/Effort!C305</f>
        <v>-16.669357646107485</v>
      </c>
      <c r="G305" s="148">
        <f>'Péréquation directe'!G311/Effort!C305</f>
        <v>0</v>
      </c>
      <c r="H305" s="148">
        <f>'Péréquation directe'!J311/Effort!C305</f>
        <v>19.307090066389922</v>
      </c>
      <c r="I305" s="279">
        <f t="shared" si="12"/>
        <v>2.1947487997771411</v>
      </c>
      <c r="J305" s="159">
        <f t="shared" si="13"/>
        <v>0</v>
      </c>
      <c r="K305" s="42">
        <f t="shared" si="14"/>
        <v>0</v>
      </c>
      <c r="L305" s="172"/>
    </row>
    <row r="306" spans="1:14" x14ac:dyDescent="0.25">
      <c r="A306" s="25"/>
      <c r="B306" s="132">
        <f>COUNTA(B6:B305)</f>
        <v>300</v>
      </c>
      <c r="C306" s="61">
        <f>SUM(C6:C305)</f>
        <v>41857577.09593945</v>
      </c>
      <c r="D306" s="62">
        <f>(PCS!I312-PCS!F312)/C306</f>
        <v>14.805867114728914</v>
      </c>
      <c r="E306" s="62">
        <f>'Péréquation directe'!E312/C306</f>
        <v>-11.470792165754734</v>
      </c>
      <c r="F306" s="62">
        <f>'Péréquation directe'!F312/Effort!C306</f>
        <v>-3.5231764014277327</v>
      </c>
      <c r="G306" s="62">
        <f>'Péréquation directe'!G312/Effort!C306</f>
        <v>-4.5</v>
      </c>
      <c r="H306" s="62">
        <f>'Péréquation directe'!J312/Effort!C306</f>
        <v>19.307090066389922</v>
      </c>
      <c r="I306" s="264">
        <f t="shared" ref="I306" si="15">SUM(D306:H306)</f>
        <v>14.618988613936368</v>
      </c>
      <c r="J306" s="320">
        <f t="shared" ref="J306" si="16">IF(I306&gt;J$5,J$5-I306,0)</f>
        <v>0</v>
      </c>
      <c r="K306" s="30">
        <f>SUM(K6:K305)</f>
        <v>-2174993.235654173</v>
      </c>
      <c r="L306" s="13"/>
      <c r="M306" s="10"/>
      <c r="N306" s="10"/>
    </row>
    <row r="307" spans="1:14" x14ac:dyDescent="0.25">
      <c r="I307" s="5"/>
    </row>
    <row r="310" spans="1:14" x14ac:dyDescent="0.25">
      <c r="H310" s="23"/>
      <c r="I310" s="23"/>
    </row>
    <row r="312" spans="1:14" x14ac:dyDescent="0.25">
      <c r="I312" s="23"/>
    </row>
  </sheetData>
  <sheetProtection sheet="1" objects="1" scenarios="1"/>
  <mergeCells count="10">
    <mergeCell ref="C4:C5"/>
    <mergeCell ref="B4:B5"/>
    <mergeCell ref="A4:A5"/>
    <mergeCell ref="K4:K5"/>
    <mergeCell ref="I4:I5"/>
    <mergeCell ref="E4:E5"/>
    <mergeCell ref="D4:D5"/>
    <mergeCell ref="F4:F5"/>
    <mergeCell ref="H4:H5"/>
    <mergeCell ref="G4:G5"/>
  </mergeCells>
  <phoneticPr fontId="0" type="noConversion"/>
  <conditionalFormatting sqref="D6:I306">
    <cfRule type="cellIs" dxfId="12" priority="5" operator="lessThan">
      <formula>0</formula>
    </cfRule>
    <cfRule type="cellIs" dxfId="11" priority="6" operator="greaterThan">
      <formula>0</formula>
    </cfRule>
  </conditionalFormatting>
  <conditionalFormatting sqref="J5">
    <cfRule type="cellIs" dxfId="10" priority="1" operator="lessThan">
      <formula>0</formula>
    </cfRule>
    <cfRule type="cellIs" dxfId="9" priority="2" operator="greaterThan">
      <formula>0</formula>
    </cfRule>
  </conditionalFormatting>
  <hyperlinks>
    <hyperlink ref="C1" location="DT!A1" display="← Précédent" xr:uid="{0324FF71-E272-4507-A06C-68FB6D7F6A39}"/>
    <hyperlink ref="E1" location="Aide!A1" display="Suivant →" xr:uid="{714C2376-5506-440A-A3BB-74D004A26952}"/>
    <hyperlink ref="D1" location="'Table des matières'!A1" display="Table des             matières" xr:uid="{F4DD9665-E693-4988-9116-9650F129F802}"/>
  </hyperlinks>
  <printOptions horizontalCentered="1"/>
  <pageMargins left="0" right="0" top="0" bottom="0" header="0.51181102362204722" footer="0.51181102362204722"/>
  <pageSetup paperSize="9" scale="64" orientation="portrait" horizontalDpi="4294967292" verticalDpi="4294967292"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tabColor theme="6" tint="0.39997558519241921"/>
  </sheetPr>
  <dimension ref="A1:Y308"/>
  <sheetViews>
    <sheetView workbookViewId="0">
      <pane ySplit="5" topLeftCell="A6" activePane="bottomLeft" state="frozen"/>
      <selection pane="bottomLeft"/>
    </sheetView>
  </sheetViews>
  <sheetFormatPr baseColWidth="10" defaultColWidth="10.75" defaultRowHeight="15" x14ac:dyDescent="0.25"/>
  <cols>
    <col min="1" max="1" width="7.25" style="11" customWidth="1"/>
    <col min="2" max="2" width="22.75" style="11" customWidth="1"/>
    <col min="3" max="3" width="16" style="11" customWidth="1"/>
    <col min="4" max="4" width="13.375" style="11" customWidth="1"/>
    <col min="5" max="6" width="13" style="11" customWidth="1"/>
    <col min="7" max="7" width="24.375" style="11" customWidth="1"/>
    <col min="8" max="8" width="9.875" style="11" bestFit="1" customWidth="1"/>
    <col min="9" max="9" width="10" style="11" customWidth="1"/>
    <col min="10" max="10" width="12.875" style="11" customWidth="1"/>
    <col min="11" max="14" width="12.125" style="11" customWidth="1"/>
    <col min="15" max="17" width="8.125" style="11" customWidth="1"/>
    <col min="18" max="16384" width="10.75" style="11"/>
  </cols>
  <sheetData>
    <row r="1" spans="1:25" s="216" customFormat="1" ht="26.25" x14ac:dyDescent="0.4">
      <c r="A1" s="203" t="s">
        <v>399</v>
      </c>
      <c r="B1" s="208"/>
      <c r="C1" s="308" t="s">
        <v>402</v>
      </c>
      <c r="D1" s="224" t="s">
        <v>394</v>
      </c>
      <c r="E1" s="372" t="s">
        <v>403</v>
      </c>
      <c r="G1" s="212"/>
      <c r="H1" s="212"/>
      <c r="I1" s="212"/>
      <c r="J1" s="212"/>
      <c r="L1" s="219"/>
      <c r="N1" s="210"/>
      <c r="O1" s="210"/>
      <c r="P1" s="210"/>
      <c r="Q1" s="210"/>
      <c r="R1" s="210"/>
      <c r="Y1" s="210"/>
    </row>
    <row r="2" spans="1:25" s="33" customFormat="1" ht="15.75" x14ac:dyDescent="0.25">
      <c r="A2" s="272" t="str">
        <f>Paramètres!B4</f>
        <v>Décompte 2023</v>
      </c>
      <c r="B2" s="32"/>
      <c r="C2" s="158"/>
      <c r="D2" s="158"/>
      <c r="E2" s="158"/>
      <c r="F2" s="158"/>
      <c r="G2" s="158"/>
      <c r="H2" s="158"/>
      <c r="I2" s="158"/>
      <c r="J2" s="158"/>
      <c r="L2" s="43"/>
      <c r="N2" s="156"/>
      <c r="O2" s="156"/>
      <c r="P2" s="156"/>
      <c r="Q2" s="156"/>
      <c r="R2" s="156"/>
      <c r="Y2" s="156"/>
    </row>
    <row r="4" spans="1:25" ht="45" customHeight="1" x14ac:dyDescent="0.25">
      <c r="A4" s="760" t="s">
        <v>44</v>
      </c>
      <c r="B4" s="760" t="s">
        <v>84</v>
      </c>
      <c r="C4" s="760" t="s">
        <v>409</v>
      </c>
      <c r="D4" s="760" t="s">
        <v>431</v>
      </c>
      <c r="E4" s="369" t="s">
        <v>423</v>
      </c>
      <c r="F4" s="370" t="s">
        <v>500</v>
      </c>
      <c r="G4" s="760" t="s">
        <v>529</v>
      </c>
      <c r="H4" s="369" t="s">
        <v>429</v>
      </c>
      <c r="I4" s="760" t="s">
        <v>554</v>
      </c>
    </row>
    <row r="5" spans="1:25" x14ac:dyDescent="0.25">
      <c r="A5" s="761"/>
      <c r="B5" s="762"/>
      <c r="C5" s="761"/>
      <c r="D5" s="761"/>
      <c r="E5" s="382" t="s">
        <v>486</v>
      </c>
      <c r="F5" s="356" t="s">
        <v>487</v>
      </c>
      <c r="G5" s="762"/>
      <c r="H5" s="264">
        <f>-Paramètres!B45</f>
        <v>-8</v>
      </c>
      <c r="I5" s="761"/>
    </row>
    <row r="6" spans="1:25" x14ac:dyDescent="0.25">
      <c r="A6" s="36">
        <f>Données!A6</f>
        <v>5401</v>
      </c>
      <c r="B6" s="128" t="str">
        <f>Données!B6</f>
        <v>Aigle</v>
      </c>
      <c r="C6" s="265">
        <f>VPI!R6</f>
        <v>293879.84888888896</v>
      </c>
      <c r="D6" s="149">
        <f>Effort!I6-IF(PCS!I12&lt;0, Effort!D6, 0)</f>
        <v>-7.7957636929425895</v>
      </c>
      <c r="E6" s="380">
        <f>IF(PCS!I12&lt;0, 0, PCS!F12/Aide!C6)</f>
        <v>4.2469215215633245</v>
      </c>
      <c r="F6" s="380">
        <f>Effort!G6</f>
        <v>0</v>
      </c>
      <c r="G6" s="321">
        <f>D6+E6-F6</f>
        <v>-3.5488421713792651</v>
      </c>
      <c r="H6" s="159">
        <f>IF(G6&lt;H$5,G6-H$5,0)</f>
        <v>0</v>
      </c>
      <c r="I6" s="63">
        <f t="shared" ref="I6" si="0">-H6*C6</f>
        <v>0</v>
      </c>
      <c r="J6" s="29"/>
    </row>
    <row r="7" spans="1:25" x14ac:dyDescent="0.25">
      <c r="A7" s="38">
        <f>Données!A7</f>
        <v>5402</v>
      </c>
      <c r="B7" s="128" t="str">
        <f>Données!B7</f>
        <v>Bex</v>
      </c>
      <c r="C7" s="266">
        <f>VPI!R7</f>
        <v>202698.13549295775</v>
      </c>
      <c r="D7" s="148">
        <f>Effort!I7-IF(PCS!I13&lt;0, Effort!D7, 0)</f>
        <v>-11.231376526947262</v>
      </c>
      <c r="E7" s="381">
        <f>IF(PCS!I13&lt;0, 0, PCS!F13/Aide!C7)</f>
        <v>5.1647733091080736</v>
      </c>
      <c r="F7" s="381">
        <f>Effort!G7</f>
        <v>0</v>
      </c>
      <c r="G7" s="279">
        <f t="shared" ref="G7:G70" si="1">D7+E7-F7</f>
        <v>-6.0666032178391882</v>
      </c>
      <c r="H7" s="159">
        <f t="shared" ref="H7:H70" si="2">IF(G7&lt;H$5,G7-H$5,0)</f>
        <v>0</v>
      </c>
      <c r="I7" s="42">
        <f t="shared" ref="I7:I70" si="3">-H7*C7</f>
        <v>0</v>
      </c>
      <c r="J7" s="29"/>
    </row>
    <row r="8" spans="1:25" x14ac:dyDescent="0.25">
      <c r="A8" s="38">
        <f>Données!A8</f>
        <v>5403</v>
      </c>
      <c r="B8" s="128" t="str">
        <f>Données!B8</f>
        <v>Chessel</v>
      </c>
      <c r="C8" s="266">
        <f>VPI!R8</f>
        <v>13180.672769230767</v>
      </c>
      <c r="D8" s="148">
        <f>Effort!I8-IF(PCS!I14&lt;0, Effort!D8, 0)</f>
        <v>9.6222043266724651</v>
      </c>
      <c r="E8" s="381">
        <f>IF(PCS!I14&lt;0, 0, PCS!F14/Aide!C8)</f>
        <v>1.6084148640340794</v>
      </c>
      <c r="F8" s="381">
        <f>Effort!G8</f>
        <v>0</v>
      </c>
      <c r="G8" s="279">
        <f t="shared" si="1"/>
        <v>11.230619190706545</v>
      </c>
      <c r="H8" s="159">
        <f t="shared" si="2"/>
        <v>0</v>
      </c>
      <c r="I8" s="42">
        <f t="shared" si="3"/>
        <v>0</v>
      </c>
      <c r="J8" s="29"/>
    </row>
    <row r="9" spans="1:25" x14ac:dyDescent="0.25">
      <c r="A9" s="38">
        <f>Données!A9</f>
        <v>5404</v>
      </c>
      <c r="B9" s="128" t="str">
        <f>Données!B9</f>
        <v>Corbeyrier</v>
      </c>
      <c r="C9" s="266">
        <f>VPI!R9</f>
        <v>10656.798108108109</v>
      </c>
      <c r="D9" s="148">
        <f>Effort!I9-IF(PCS!I15&lt;0, Effort!D9, 0)</f>
        <v>-0.1630359085373918</v>
      </c>
      <c r="E9" s="381">
        <f>IF(PCS!I15&lt;0, 0, PCS!F15/Aide!C9)</f>
        <v>7.2463787168160358</v>
      </c>
      <c r="F9" s="381">
        <f>Effort!G9</f>
        <v>0</v>
      </c>
      <c r="G9" s="279">
        <f t="shared" si="1"/>
        <v>7.083342808278644</v>
      </c>
      <c r="H9" s="159">
        <f t="shared" si="2"/>
        <v>0</v>
      </c>
      <c r="I9" s="42">
        <f t="shared" si="3"/>
        <v>0</v>
      </c>
      <c r="J9" s="29"/>
    </row>
    <row r="10" spans="1:25" x14ac:dyDescent="0.25">
      <c r="A10" s="38">
        <f>Données!A10</f>
        <v>5405</v>
      </c>
      <c r="B10" s="128" t="str">
        <f>Données!B10</f>
        <v>Gryon</v>
      </c>
      <c r="C10" s="266">
        <f>VPI!R10</f>
        <v>79200.140770975064</v>
      </c>
      <c r="D10" s="148">
        <f>Effort!I10-IF(PCS!I16&lt;0, Effort!D10, 0)</f>
        <v>27.454777359807167</v>
      </c>
      <c r="E10" s="381">
        <f>IF(PCS!I16&lt;0, 0, PCS!F16/Aide!C10)</f>
        <v>7.6400400821225771</v>
      </c>
      <c r="F10" s="381">
        <f>Effort!G10</f>
        <v>0</v>
      </c>
      <c r="G10" s="279">
        <f t="shared" si="1"/>
        <v>35.094817441929742</v>
      </c>
      <c r="H10" s="159">
        <f t="shared" si="2"/>
        <v>0</v>
      </c>
      <c r="I10" s="42">
        <f t="shared" si="3"/>
        <v>0</v>
      </c>
      <c r="J10" s="29"/>
    </row>
    <row r="11" spans="1:25" x14ac:dyDescent="0.25">
      <c r="A11" s="38">
        <f>Données!A11</f>
        <v>5406</v>
      </c>
      <c r="B11" s="128" t="str">
        <f>Données!B11</f>
        <v>Lavey-Morcles</v>
      </c>
      <c r="C11" s="266">
        <f>VPI!R11</f>
        <v>24174.314276492736</v>
      </c>
      <c r="D11" s="148">
        <f>Effort!I11-IF(PCS!I17&lt;0, Effort!D11, 0)</f>
        <v>2.7401782348736283</v>
      </c>
      <c r="E11" s="381">
        <f>IF(PCS!I17&lt;0, 0, PCS!F17/Aide!C11)</f>
        <v>6.4822370226393407</v>
      </c>
      <c r="F11" s="381">
        <f>Effort!G11</f>
        <v>0</v>
      </c>
      <c r="G11" s="279">
        <f t="shared" si="1"/>
        <v>9.222415257512969</v>
      </c>
      <c r="H11" s="159">
        <f t="shared" si="2"/>
        <v>0</v>
      </c>
      <c r="I11" s="42">
        <f t="shared" si="3"/>
        <v>0</v>
      </c>
      <c r="J11" s="29"/>
    </row>
    <row r="12" spans="1:25" x14ac:dyDescent="0.25">
      <c r="A12" s="38">
        <f>Données!A12</f>
        <v>5407</v>
      </c>
      <c r="B12" s="128" t="str">
        <f>Données!B12</f>
        <v>Leysin</v>
      </c>
      <c r="C12" s="266">
        <f>VPI!R12</f>
        <v>97593.933333333334</v>
      </c>
      <c r="D12" s="148">
        <f>Effort!I12-IF(PCS!I18&lt;0, Effort!D12, 0)</f>
        <v>-3.6354059380920098</v>
      </c>
      <c r="E12" s="381">
        <f>IF(PCS!I18&lt;0, 0, PCS!F18/Aide!C12)</f>
        <v>6.2468111918158851</v>
      </c>
      <c r="F12" s="381">
        <f>Effort!G12</f>
        <v>0</v>
      </c>
      <c r="G12" s="279">
        <f t="shared" si="1"/>
        <v>2.6114052537238752</v>
      </c>
      <c r="H12" s="159">
        <f t="shared" si="2"/>
        <v>0</v>
      </c>
      <c r="I12" s="42">
        <f t="shared" si="3"/>
        <v>0</v>
      </c>
      <c r="J12" s="29"/>
    </row>
    <row r="13" spans="1:25" x14ac:dyDescent="0.25">
      <c r="A13" s="38">
        <f>Données!A13</f>
        <v>5408</v>
      </c>
      <c r="B13" s="128" t="str">
        <f>Données!B13</f>
        <v>Noville</v>
      </c>
      <c r="C13" s="266">
        <f>VPI!R13</f>
        <v>40176.989288888893</v>
      </c>
      <c r="D13" s="148">
        <f>Effort!I13-IF(PCS!I19&lt;0, Effort!D13, 0)</f>
        <v>15.696898230541745</v>
      </c>
      <c r="E13" s="381">
        <f>IF(PCS!I19&lt;0, 0, PCS!F19/Aide!C13)</f>
        <v>6.8965239781326275</v>
      </c>
      <c r="F13" s="381">
        <f>Effort!G13</f>
        <v>0</v>
      </c>
      <c r="G13" s="279">
        <f t="shared" si="1"/>
        <v>22.593422208674372</v>
      </c>
      <c r="H13" s="159">
        <f t="shared" si="2"/>
        <v>0</v>
      </c>
      <c r="I13" s="42">
        <f t="shared" si="3"/>
        <v>0</v>
      </c>
      <c r="J13" s="29"/>
    </row>
    <row r="14" spans="1:25" x14ac:dyDescent="0.25">
      <c r="A14" s="38">
        <f>Données!A14</f>
        <v>5409</v>
      </c>
      <c r="B14" s="128" t="str">
        <f>Données!B14</f>
        <v>Ollon</v>
      </c>
      <c r="C14" s="266">
        <f>VPI!R14</f>
        <v>421727.92700226256</v>
      </c>
      <c r="D14" s="148">
        <f>Effort!I14-IF(PCS!I20&lt;0, Effort!D14, 0)</f>
        <v>22.173442910206774</v>
      </c>
      <c r="E14" s="381">
        <f>IF(PCS!I20&lt;0, 0, PCS!F20/Aide!C14)</f>
        <v>5.9364882539224597</v>
      </c>
      <c r="F14" s="381">
        <f>Effort!G14</f>
        <v>0</v>
      </c>
      <c r="G14" s="279">
        <f t="shared" si="1"/>
        <v>28.109931164129232</v>
      </c>
      <c r="H14" s="159">
        <f t="shared" si="2"/>
        <v>0</v>
      </c>
      <c r="I14" s="42">
        <f t="shared" si="3"/>
        <v>0</v>
      </c>
      <c r="J14" s="29"/>
    </row>
    <row r="15" spans="1:25" x14ac:dyDescent="0.25">
      <c r="A15" s="38">
        <f>Données!A15</f>
        <v>5410</v>
      </c>
      <c r="B15" s="128" t="str">
        <f>Données!B15</f>
        <v>Ormont-Dessous</v>
      </c>
      <c r="C15" s="266">
        <f>VPI!R15</f>
        <v>36756.557662337655</v>
      </c>
      <c r="D15" s="148">
        <f>Effort!I15-IF(PCS!I21&lt;0, Effort!D15, 0)</f>
        <v>10.191875323391208</v>
      </c>
      <c r="E15" s="381">
        <f>IF(PCS!I21&lt;0, 0, PCS!F21/Aide!C15)</f>
        <v>6.4494343343501077</v>
      </c>
      <c r="F15" s="381">
        <f>Effort!G15</f>
        <v>0</v>
      </c>
      <c r="G15" s="279">
        <f t="shared" si="1"/>
        <v>16.641309657741317</v>
      </c>
      <c r="H15" s="159">
        <f t="shared" si="2"/>
        <v>0</v>
      </c>
      <c r="I15" s="42">
        <f t="shared" si="3"/>
        <v>0</v>
      </c>
      <c r="J15" s="29"/>
    </row>
    <row r="16" spans="1:25" x14ac:dyDescent="0.25">
      <c r="A16" s="38">
        <f>Données!A16</f>
        <v>5411</v>
      </c>
      <c r="B16" s="128" t="str">
        <f>Données!B16</f>
        <v>Ormont-Dessus</v>
      </c>
      <c r="C16" s="266">
        <f>VPI!R16</f>
        <v>79198.134342105259</v>
      </c>
      <c r="D16" s="148">
        <f>Effort!I16-IF(PCS!I22&lt;0, Effort!D16, 0)</f>
        <v>28.793749601088123</v>
      </c>
      <c r="E16" s="381">
        <f>IF(PCS!I22&lt;0, 0, PCS!F22/Aide!C16)</f>
        <v>6.7269129434121222</v>
      </c>
      <c r="F16" s="381">
        <f>Effort!G16</f>
        <v>0</v>
      </c>
      <c r="G16" s="279">
        <f t="shared" si="1"/>
        <v>35.520662544500247</v>
      </c>
      <c r="H16" s="159">
        <f t="shared" si="2"/>
        <v>0</v>
      </c>
      <c r="I16" s="42">
        <f t="shared" si="3"/>
        <v>0</v>
      </c>
      <c r="J16" s="29"/>
    </row>
    <row r="17" spans="1:10" x14ac:dyDescent="0.25">
      <c r="A17" s="38">
        <f>Données!A17</f>
        <v>5412</v>
      </c>
      <c r="B17" s="128" t="str">
        <f>Données!B17</f>
        <v>Rennaz</v>
      </c>
      <c r="C17" s="266">
        <f>VPI!R17</f>
        <v>29024.824057971011</v>
      </c>
      <c r="D17" s="148">
        <f>Effort!I17-IF(PCS!I23&lt;0, Effort!D17, 0)</f>
        <v>15.527478117662927</v>
      </c>
      <c r="E17" s="381">
        <f>IF(PCS!I23&lt;0, 0, PCS!F23/Aide!C17)</f>
        <v>13.109628993444423</v>
      </c>
      <c r="F17" s="381">
        <f>Effort!G17</f>
        <v>0</v>
      </c>
      <c r="G17" s="279">
        <f t="shared" si="1"/>
        <v>28.637107111107348</v>
      </c>
      <c r="H17" s="159">
        <f t="shared" si="2"/>
        <v>0</v>
      </c>
      <c r="I17" s="42">
        <f t="shared" si="3"/>
        <v>0</v>
      </c>
      <c r="J17" s="29"/>
    </row>
    <row r="18" spans="1:10" x14ac:dyDescent="0.25">
      <c r="A18" s="38">
        <f>Données!A18</f>
        <v>5413</v>
      </c>
      <c r="B18" s="128" t="str">
        <f>Données!B18</f>
        <v>Roche</v>
      </c>
      <c r="C18" s="266">
        <f>VPI!R18</f>
        <v>41219.946789215683</v>
      </c>
      <c r="D18" s="148">
        <f>Effort!I18-IF(PCS!I24&lt;0, Effort!D18, 0)</f>
        <v>-5.8625510963260332</v>
      </c>
      <c r="E18" s="381">
        <f>IF(PCS!I24&lt;0, 0, PCS!F24/Aide!C18)</f>
        <v>6.0998287136504139</v>
      </c>
      <c r="F18" s="381">
        <f>Effort!G18</f>
        <v>0</v>
      </c>
      <c r="G18" s="279">
        <f t="shared" si="1"/>
        <v>0.23727761732438069</v>
      </c>
      <c r="H18" s="159">
        <f t="shared" si="2"/>
        <v>0</v>
      </c>
      <c r="I18" s="42">
        <f t="shared" si="3"/>
        <v>0</v>
      </c>
      <c r="J18" s="29"/>
    </row>
    <row r="19" spans="1:10" x14ac:dyDescent="0.25">
      <c r="A19" s="38">
        <f>Données!A19</f>
        <v>5414</v>
      </c>
      <c r="B19" s="128" t="str">
        <f>Données!B19</f>
        <v>Villeneuve</v>
      </c>
      <c r="C19" s="266">
        <f>VPI!R19</f>
        <v>190081.59585185186</v>
      </c>
      <c r="D19" s="148">
        <f>Effort!I19-IF(PCS!I25&lt;0, Effort!D19, 0)</f>
        <v>6.7177453594268695</v>
      </c>
      <c r="E19" s="381">
        <f>IF(PCS!I25&lt;0, 0, PCS!F25/Aide!C19)</f>
        <v>6.3742715572755211</v>
      </c>
      <c r="F19" s="381">
        <f>Effort!G19</f>
        <v>0</v>
      </c>
      <c r="G19" s="279">
        <f t="shared" si="1"/>
        <v>13.092016916702391</v>
      </c>
      <c r="H19" s="159">
        <f t="shared" si="2"/>
        <v>0</v>
      </c>
      <c r="I19" s="42">
        <f t="shared" si="3"/>
        <v>0</v>
      </c>
      <c r="J19" s="29"/>
    </row>
    <row r="20" spans="1:10" x14ac:dyDescent="0.25">
      <c r="A20" s="38">
        <f>Données!A20</f>
        <v>5415</v>
      </c>
      <c r="B20" s="128" t="str">
        <f>Données!B20</f>
        <v>Yvorne</v>
      </c>
      <c r="C20" s="266">
        <f>VPI!R20</f>
        <v>36781.248065268061</v>
      </c>
      <c r="D20" s="148">
        <f>Effort!I20-IF(PCS!I26&lt;0, Effort!D20, 0)</f>
        <v>16.127992804027066</v>
      </c>
      <c r="E20" s="381">
        <f>IF(PCS!I26&lt;0, 0, PCS!F26/Aide!C20)</f>
        <v>4.2512041658437516</v>
      </c>
      <c r="F20" s="381">
        <f>Effort!G20</f>
        <v>0</v>
      </c>
      <c r="G20" s="279">
        <f t="shared" si="1"/>
        <v>20.379196969870819</v>
      </c>
      <c r="H20" s="159">
        <f t="shared" si="2"/>
        <v>0</v>
      </c>
      <c r="I20" s="42">
        <f t="shared" si="3"/>
        <v>0</v>
      </c>
      <c r="J20" s="29"/>
    </row>
    <row r="21" spans="1:10" x14ac:dyDescent="0.25">
      <c r="A21" s="38">
        <f>Données!A21</f>
        <v>5422</v>
      </c>
      <c r="B21" s="128" t="str">
        <f>Données!B21</f>
        <v>Aubonne</v>
      </c>
      <c r="C21" s="266">
        <f>VPI!R21</f>
        <v>418335.07808823534</v>
      </c>
      <c r="D21" s="148">
        <f>Effort!I21-IF(PCS!I27&lt;0, Effort!D21, 0)</f>
        <v>40.961978123080243</v>
      </c>
      <c r="E21" s="381">
        <f>IF(PCS!I27&lt;0, 0, PCS!F27/Aide!C21)</f>
        <v>2.1958593795145425</v>
      </c>
      <c r="F21" s="381">
        <f>Effort!G21</f>
        <v>0</v>
      </c>
      <c r="G21" s="279">
        <f t="shared" si="1"/>
        <v>43.157837502594788</v>
      </c>
      <c r="H21" s="159">
        <f t="shared" si="2"/>
        <v>0</v>
      </c>
      <c r="I21" s="42">
        <f t="shared" si="3"/>
        <v>0</v>
      </c>
      <c r="J21" s="29"/>
    </row>
    <row r="22" spans="1:10" x14ac:dyDescent="0.25">
      <c r="A22" s="38">
        <f>Données!A22</f>
        <v>5423</v>
      </c>
      <c r="B22" s="128" t="str">
        <f>Données!B22</f>
        <v>Ballens</v>
      </c>
      <c r="C22" s="266">
        <f>VPI!R22</f>
        <v>17582.856164383564</v>
      </c>
      <c r="D22" s="148">
        <f>Effort!I22-IF(PCS!I28&lt;0, Effort!D22, 0)</f>
        <v>13.277476471566832</v>
      </c>
      <c r="E22" s="381">
        <f>IF(PCS!I28&lt;0, 0, PCS!F28/Aide!C22)</f>
        <v>4.6109121431718396</v>
      </c>
      <c r="F22" s="381">
        <f>Effort!G22</f>
        <v>0</v>
      </c>
      <c r="G22" s="279">
        <f t="shared" si="1"/>
        <v>17.888388614738673</v>
      </c>
      <c r="H22" s="159">
        <f t="shared" si="2"/>
        <v>0</v>
      </c>
      <c r="I22" s="42">
        <f t="shared" si="3"/>
        <v>0</v>
      </c>
      <c r="J22" s="29"/>
    </row>
    <row r="23" spans="1:10" x14ac:dyDescent="0.25">
      <c r="A23" s="38">
        <f>Données!A23</f>
        <v>5424</v>
      </c>
      <c r="B23" s="128" t="str">
        <f>Données!B23</f>
        <v>Berolle</v>
      </c>
      <c r="C23" s="266">
        <f>VPI!R23</f>
        <v>10091.658013245033</v>
      </c>
      <c r="D23" s="148">
        <f>Effort!I23-IF(PCS!I29&lt;0, Effort!D23, 0)</f>
        <v>15.670864823392051</v>
      </c>
      <c r="E23" s="381">
        <f>IF(PCS!I29&lt;0, 0, PCS!F29/Aide!C23)</f>
        <v>7.7006820780097991</v>
      </c>
      <c r="F23" s="381">
        <f>Effort!G23</f>
        <v>0</v>
      </c>
      <c r="G23" s="279">
        <f t="shared" si="1"/>
        <v>23.37154690140185</v>
      </c>
      <c r="H23" s="159">
        <f t="shared" si="2"/>
        <v>0</v>
      </c>
      <c r="I23" s="42">
        <f t="shared" si="3"/>
        <v>0</v>
      </c>
      <c r="J23" s="29"/>
    </row>
    <row r="24" spans="1:10" x14ac:dyDescent="0.25">
      <c r="A24" s="38">
        <f>Données!A24</f>
        <v>5425</v>
      </c>
      <c r="B24" s="128" t="str">
        <f>Données!B24</f>
        <v>Bière</v>
      </c>
      <c r="C24" s="266">
        <f>VPI!R24</f>
        <v>44820.475767116455</v>
      </c>
      <c r="D24" s="148">
        <f>Effort!I24-IF(PCS!I30&lt;0, Effort!D24, 0)</f>
        <v>4.9609488067924143</v>
      </c>
      <c r="E24" s="381">
        <f>IF(PCS!I30&lt;0, 0, PCS!F30/Aide!C24)</f>
        <v>5.1093929968502243</v>
      </c>
      <c r="F24" s="381">
        <f>Effort!G24</f>
        <v>0</v>
      </c>
      <c r="G24" s="279">
        <f t="shared" si="1"/>
        <v>10.070341803642638</v>
      </c>
      <c r="H24" s="159">
        <f t="shared" si="2"/>
        <v>0</v>
      </c>
      <c r="I24" s="42">
        <f t="shared" si="3"/>
        <v>0</v>
      </c>
      <c r="J24" s="29"/>
    </row>
    <row r="25" spans="1:10" x14ac:dyDescent="0.25">
      <c r="A25" s="38">
        <f>Données!A25</f>
        <v>5426</v>
      </c>
      <c r="B25" s="128" t="str">
        <f>Données!B25</f>
        <v>Bougy-Villars</v>
      </c>
      <c r="C25" s="266">
        <f>VPI!R25</f>
        <v>70059.66664082685</v>
      </c>
      <c r="D25" s="148">
        <f>Effort!I25-IF(PCS!I31&lt;0, Effort!D25, 0)</f>
        <v>46.446948567475644</v>
      </c>
      <c r="E25" s="381">
        <f>IF(PCS!I31&lt;0, 0, PCS!F31/Aide!C25)</f>
        <v>4.6990594700910577</v>
      </c>
      <c r="F25" s="381">
        <f>Effort!G25</f>
        <v>0</v>
      </c>
      <c r="G25" s="279">
        <f t="shared" si="1"/>
        <v>51.146008037566702</v>
      </c>
      <c r="H25" s="159">
        <f t="shared" si="2"/>
        <v>0</v>
      </c>
      <c r="I25" s="42">
        <f t="shared" si="3"/>
        <v>0</v>
      </c>
      <c r="J25" s="29"/>
    </row>
    <row r="26" spans="1:10" x14ac:dyDescent="0.25">
      <c r="A26" s="38">
        <f>Données!A26</f>
        <v>5427</v>
      </c>
      <c r="B26" s="128" t="str">
        <f>Données!B26</f>
        <v>Féchy</v>
      </c>
      <c r="C26" s="266">
        <f>VPI!R26</f>
        <v>87019.406153846168</v>
      </c>
      <c r="D26" s="148">
        <f>Effort!I26-IF(PCS!I32&lt;0, Effort!D26, 0)</f>
        <v>39.706540755385973</v>
      </c>
      <c r="E26" s="381">
        <f>IF(PCS!I32&lt;0, 0, PCS!F32/Aide!C26)</f>
        <v>12.089201208062976</v>
      </c>
      <c r="F26" s="381">
        <f>Effort!G26</f>
        <v>0</v>
      </c>
      <c r="G26" s="279">
        <f t="shared" si="1"/>
        <v>51.795741963448947</v>
      </c>
      <c r="H26" s="159">
        <f t="shared" si="2"/>
        <v>0</v>
      </c>
      <c r="I26" s="42">
        <f t="shared" si="3"/>
        <v>0</v>
      </c>
      <c r="J26" s="29"/>
    </row>
    <row r="27" spans="1:10" x14ac:dyDescent="0.25">
      <c r="A27" s="38">
        <f>Données!A27</f>
        <v>5428</v>
      </c>
      <c r="B27" s="128" t="str">
        <f>Données!B27</f>
        <v>Gimel</v>
      </c>
      <c r="C27" s="266">
        <f>VPI!R27</f>
        <v>72073.620570776256</v>
      </c>
      <c r="D27" s="148">
        <f>Effort!I27-IF(PCS!I33&lt;0, Effort!D27, 0)</f>
        <v>6.7715040819532923</v>
      </c>
      <c r="E27" s="381">
        <f>IF(PCS!I33&lt;0, 0, PCS!F33/Aide!C27)</f>
        <v>5.01794876039075</v>
      </c>
      <c r="F27" s="381">
        <f>Effort!G27</f>
        <v>0</v>
      </c>
      <c r="G27" s="279">
        <f t="shared" si="1"/>
        <v>11.789452842344042</v>
      </c>
      <c r="H27" s="159">
        <f t="shared" si="2"/>
        <v>0</v>
      </c>
      <c r="I27" s="42">
        <f t="shared" si="3"/>
        <v>0</v>
      </c>
      <c r="J27" s="29"/>
    </row>
    <row r="28" spans="1:10" x14ac:dyDescent="0.25">
      <c r="A28" s="38">
        <f>Données!A28</f>
        <v>5429</v>
      </c>
      <c r="B28" s="128" t="str">
        <f>Données!B28</f>
        <v>Longirod</v>
      </c>
      <c r="C28" s="266">
        <f>VPI!R28</f>
        <v>19283.044387096772</v>
      </c>
      <c r="D28" s="148">
        <f>Effort!I28-IF(PCS!I34&lt;0, Effort!D28, 0)</f>
        <v>16.840561124443944</v>
      </c>
      <c r="E28" s="381">
        <f>IF(PCS!I34&lt;0, 0, PCS!F34/Aide!C28)</f>
        <v>2.3245714784536036</v>
      </c>
      <c r="F28" s="381">
        <f>Effort!G28</f>
        <v>0</v>
      </c>
      <c r="G28" s="279">
        <f t="shared" si="1"/>
        <v>19.165132602897547</v>
      </c>
      <c r="H28" s="159">
        <f t="shared" si="2"/>
        <v>0</v>
      </c>
      <c r="I28" s="42">
        <f t="shared" si="3"/>
        <v>0</v>
      </c>
      <c r="J28" s="29"/>
    </row>
    <row r="29" spans="1:10" x14ac:dyDescent="0.25">
      <c r="A29" s="38">
        <f>Données!A29</f>
        <v>5430</v>
      </c>
      <c r="B29" s="128" t="str">
        <f>Données!B29</f>
        <v>Marchissy</v>
      </c>
      <c r="C29" s="266">
        <f>VPI!R29</f>
        <v>16181.195483870966</v>
      </c>
      <c r="D29" s="148">
        <f>Effort!I29-IF(PCS!I35&lt;0, Effort!D29, 0)</f>
        <v>13.397951911371052</v>
      </c>
      <c r="E29" s="381">
        <f>IF(PCS!I35&lt;0, 0, PCS!F35/Aide!C29)</f>
        <v>1.2648527743454339</v>
      </c>
      <c r="F29" s="381">
        <f>Effort!G29</f>
        <v>0</v>
      </c>
      <c r="G29" s="279">
        <f t="shared" si="1"/>
        <v>14.662804685716486</v>
      </c>
      <c r="H29" s="159">
        <f t="shared" si="2"/>
        <v>0</v>
      </c>
      <c r="I29" s="42">
        <f t="shared" si="3"/>
        <v>0</v>
      </c>
      <c r="J29" s="29"/>
    </row>
    <row r="30" spans="1:10" x14ac:dyDescent="0.25">
      <c r="A30" s="38">
        <f>Données!A30</f>
        <v>5431</v>
      </c>
      <c r="B30" s="128" t="str">
        <f>Données!B30</f>
        <v>Mollens</v>
      </c>
      <c r="C30" s="266">
        <f>VPI!R30</f>
        <v>9356.399324324324</v>
      </c>
      <c r="D30" s="148">
        <f>Effort!I30-IF(PCS!I36&lt;0, Effort!D30, 0)</f>
        <v>10.905045973527882</v>
      </c>
      <c r="E30" s="381">
        <f>IF(PCS!I36&lt;0, 0, PCS!F36/Aide!C30)</f>
        <v>0.47519348478866652</v>
      </c>
      <c r="F30" s="381">
        <f>Effort!G30</f>
        <v>0</v>
      </c>
      <c r="G30" s="279">
        <f t="shared" si="1"/>
        <v>11.380239458316549</v>
      </c>
      <c r="H30" s="159">
        <f t="shared" si="2"/>
        <v>0</v>
      </c>
      <c r="I30" s="42">
        <f t="shared" si="3"/>
        <v>0</v>
      </c>
      <c r="J30" s="29"/>
    </row>
    <row r="31" spans="1:10" x14ac:dyDescent="0.25">
      <c r="A31" s="38">
        <f>Données!A31</f>
        <v>5434</v>
      </c>
      <c r="B31" s="128" t="str">
        <f>Données!B31</f>
        <v>Saint-George</v>
      </c>
      <c r="C31" s="266">
        <f>VPI!R31</f>
        <v>46184.394316546764</v>
      </c>
      <c r="D31" s="148">
        <f>Effort!I31-IF(PCS!I37&lt;0, Effort!D31, 0)</f>
        <v>24.822326142062202</v>
      </c>
      <c r="E31" s="381">
        <f>IF(PCS!I37&lt;0, 0, PCS!F37/Aide!C31)</f>
        <v>3.0604860601010171</v>
      </c>
      <c r="F31" s="381">
        <f>Effort!G31</f>
        <v>0</v>
      </c>
      <c r="G31" s="279">
        <f t="shared" si="1"/>
        <v>27.882812202163219</v>
      </c>
      <c r="H31" s="159">
        <f t="shared" si="2"/>
        <v>0</v>
      </c>
      <c r="I31" s="42">
        <f t="shared" si="3"/>
        <v>0</v>
      </c>
      <c r="J31" s="29"/>
    </row>
    <row r="32" spans="1:10" x14ac:dyDescent="0.25">
      <c r="A32" s="38">
        <f>Données!A32</f>
        <v>5435</v>
      </c>
      <c r="B32" s="128" t="str">
        <f>Données!B32</f>
        <v>Saint-Livres</v>
      </c>
      <c r="C32" s="266">
        <f>VPI!R32</f>
        <v>26399.909565217389</v>
      </c>
      <c r="D32" s="148">
        <f>Effort!I32-IF(PCS!I38&lt;0, Effort!D32, 0)</f>
        <v>21.497691915947311</v>
      </c>
      <c r="E32" s="381">
        <f>IF(PCS!I38&lt;0, 0, PCS!F38/Aide!C32)</f>
        <v>7.1503411605889555</v>
      </c>
      <c r="F32" s="381">
        <f>Effort!G32</f>
        <v>0</v>
      </c>
      <c r="G32" s="279">
        <f t="shared" si="1"/>
        <v>28.648033076536265</v>
      </c>
      <c r="H32" s="159">
        <f t="shared" si="2"/>
        <v>0</v>
      </c>
      <c r="I32" s="42">
        <f t="shared" si="3"/>
        <v>0</v>
      </c>
      <c r="J32" s="29"/>
    </row>
    <row r="33" spans="1:10" x14ac:dyDescent="0.25">
      <c r="A33" s="38">
        <f>Données!A33</f>
        <v>5436</v>
      </c>
      <c r="B33" s="128" t="str">
        <f>Données!B33</f>
        <v>Saint-Oyens</v>
      </c>
      <c r="C33" s="266">
        <f>VPI!R33</f>
        <v>15917.295474683544</v>
      </c>
      <c r="D33" s="148">
        <f>Effort!I33-IF(PCS!I39&lt;0, Effort!D33, 0)</f>
        <v>17.139969462249482</v>
      </c>
      <c r="E33" s="381">
        <f>IF(PCS!I39&lt;0, 0, PCS!F39/Aide!C33)</f>
        <v>0.66069327020575908</v>
      </c>
      <c r="F33" s="381">
        <f>Effort!G33</f>
        <v>0</v>
      </c>
      <c r="G33" s="279">
        <f t="shared" si="1"/>
        <v>17.80066273245524</v>
      </c>
      <c r="H33" s="159">
        <f t="shared" si="2"/>
        <v>0</v>
      </c>
      <c r="I33" s="42">
        <f t="shared" si="3"/>
        <v>0</v>
      </c>
      <c r="J33" s="29"/>
    </row>
    <row r="34" spans="1:10" x14ac:dyDescent="0.25">
      <c r="A34" s="38">
        <f>Données!A34</f>
        <v>5437</v>
      </c>
      <c r="B34" s="128" t="str">
        <f>Données!B34</f>
        <v>Saubraz</v>
      </c>
      <c r="C34" s="266">
        <f>VPI!R34</f>
        <v>16749.450625000005</v>
      </c>
      <c r="D34" s="148">
        <f>Effort!I34-IF(PCS!I40&lt;0, Effort!D34, 0)</f>
        <v>18.930346732493799</v>
      </c>
      <c r="E34" s="381">
        <f>IF(PCS!I40&lt;0, 0, PCS!F40/Aide!C34)</f>
        <v>3.0973060646280146</v>
      </c>
      <c r="F34" s="381">
        <f>Effort!G34</f>
        <v>0</v>
      </c>
      <c r="G34" s="279">
        <f t="shared" si="1"/>
        <v>22.027652797121814</v>
      </c>
      <c r="H34" s="159">
        <f t="shared" si="2"/>
        <v>0</v>
      </c>
      <c r="I34" s="42">
        <f t="shared" si="3"/>
        <v>0</v>
      </c>
      <c r="J34" s="29"/>
    </row>
    <row r="35" spans="1:10" x14ac:dyDescent="0.25">
      <c r="A35" s="38">
        <f>Données!A35</f>
        <v>5451</v>
      </c>
      <c r="B35" s="128" t="str">
        <f>Données!B35</f>
        <v>Avenches</v>
      </c>
      <c r="C35" s="266">
        <f>VPI!R35</f>
        <v>143864.88553846153</v>
      </c>
      <c r="D35" s="148">
        <f>Effort!I35-IF(PCS!I41&lt;0, Effort!D35, 0)</f>
        <v>6.532613618876713</v>
      </c>
      <c r="E35" s="381">
        <f>IF(PCS!I41&lt;0, 0, PCS!F41/Aide!C35)</f>
        <v>4.0533028460520599</v>
      </c>
      <c r="F35" s="381">
        <f>Effort!G35</f>
        <v>0</v>
      </c>
      <c r="G35" s="279">
        <f t="shared" si="1"/>
        <v>10.585916464928772</v>
      </c>
      <c r="H35" s="159">
        <f t="shared" si="2"/>
        <v>0</v>
      </c>
      <c r="I35" s="42">
        <f t="shared" si="3"/>
        <v>0</v>
      </c>
      <c r="J35" s="29"/>
    </row>
    <row r="36" spans="1:10" x14ac:dyDescent="0.25">
      <c r="A36" s="38">
        <f>Données!A36</f>
        <v>5456</v>
      </c>
      <c r="B36" s="128" t="str">
        <f>Données!B36</f>
        <v>Cudrefin</v>
      </c>
      <c r="C36" s="266">
        <f>VPI!R36</f>
        <v>70775.484519773992</v>
      </c>
      <c r="D36" s="148">
        <f>Effort!I36-IF(PCS!I42&lt;0, Effort!D36, 0)</f>
        <v>20.023349421923715</v>
      </c>
      <c r="E36" s="381">
        <f>IF(PCS!I42&lt;0, 0, PCS!F42/Aide!C36)</f>
        <v>3.5594108144835972</v>
      </c>
      <c r="F36" s="381">
        <f>Effort!G36</f>
        <v>0</v>
      </c>
      <c r="G36" s="279">
        <f t="shared" si="1"/>
        <v>23.582760236407314</v>
      </c>
      <c r="H36" s="159">
        <f t="shared" si="2"/>
        <v>0</v>
      </c>
      <c r="I36" s="42">
        <f t="shared" si="3"/>
        <v>0</v>
      </c>
      <c r="J36" s="29"/>
    </row>
    <row r="37" spans="1:10" x14ac:dyDescent="0.25">
      <c r="A37" s="38">
        <f>Données!A37</f>
        <v>5458</v>
      </c>
      <c r="B37" s="128" t="str">
        <f>Données!B37</f>
        <v>Faoug</v>
      </c>
      <c r="C37" s="266">
        <f>VPI!R37</f>
        <v>30258.802820512818</v>
      </c>
      <c r="D37" s="148">
        <f>Effort!I37-IF(PCS!I43&lt;0, Effort!D37, 0)</f>
        <v>18.733431485993556</v>
      </c>
      <c r="E37" s="381">
        <f>IF(PCS!I43&lt;0, 0, PCS!F43/Aide!C37)</f>
        <v>2.5075081605199507</v>
      </c>
      <c r="F37" s="381">
        <f>Effort!G37</f>
        <v>0</v>
      </c>
      <c r="G37" s="279">
        <f t="shared" si="1"/>
        <v>21.240939646513507</v>
      </c>
      <c r="H37" s="159">
        <f t="shared" si="2"/>
        <v>0</v>
      </c>
      <c r="I37" s="42">
        <f t="shared" si="3"/>
        <v>0</v>
      </c>
      <c r="J37" s="29"/>
    </row>
    <row r="38" spans="1:10" x14ac:dyDescent="0.25">
      <c r="A38" s="38">
        <f>Données!A38</f>
        <v>5464</v>
      </c>
      <c r="B38" s="128" t="str">
        <f>Données!B38</f>
        <v>Vully-les-Lacs</v>
      </c>
      <c r="C38" s="266">
        <f>VPI!R38</f>
        <v>128619.64756218906</v>
      </c>
      <c r="D38" s="148">
        <f>Effort!I38-IF(PCS!I44&lt;0, Effort!D38, 0)</f>
        <v>14.55318578225075</v>
      </c>
      <c r="E38" s="381">
        <f>IF(PCS!I44&lt;0, 0, PCS!F44/Aide!C38)</f>
        <v>3.551536904804014</v>
      </c>
      <c r="F38" s="381">
        <f>Effort!G38</f>
        <v>0</v>
      </c>
      <c r="G38" s="279">
        <f t="shared" si="1"/>
        <v>18.104722687054764</v>
      </c>
      <c r="H38" s="159">
        <f t="shared" si="2"/>
        <v>0</v>
      </c>
      <c r="I38" s="42">
        <f t="shared" si="3"/>
        <v>0</v>
      </c>
      <c r="J38" s="29"/>
    </row>
    <row r="39" spans="1:10" x14ac:dyDescent="0.25">
      <c r="A39" s="38">
        <f>Données!A39</f>
        <v>5471</v>
      </c>
      <c r="B39" s="128" t="str">
        <f>Données!B39</f>
        <v>Bettens</v>
      </c>
      <c r="C39" s="266">
        <f>VPI!R39</f>
        <v>23731.223904761908</v>
      </c>
      <c r="D39" s="148">
        <f>Effort!I39-IF(PCS!I45&lt;0, Effort!D39, 0)</f>
        <v>20.519369950804389</v>
      </c>
      <c r="E39" s="381">
        <f>IF(PCS!I45&lt;0, 0, PCS!F45/Aide!C39)</f>
        <v>3.1047126054554495</v>
      </c>
      <c r="F39" s="381">
        <f>Effort!G39</f>
        <v>0</v>
      </c>
      <c r="G39" s="279">
        <f t="shared" si="1"/>
        <v>23.62408255625984</v>
      </c>
      <c r="H39" s="159">
        <f t="shared" si="2"/>
        <v>0</v>
      </c>
      <c r="I39" s="42">
        <f t="shared" si="3"/>
        <v>0</v>
      </c>
      <c r="J39" s="29"/>
    </row>
    <row r="40" spans="1:10" x14ac:dyDescent="0.25">
      <c r="A40" s="38">
        <f>Données!A40</f>
        <v>5472</v>
      </c>
      <c r="B40" s="128" t="str">
        <f>Données!B40</f>
        <v>Bournens</v>
      </c>
      <c r="C40" s="266">
        <f>VPI!R40</f>
        <v>20138.90088235294</v>
      </c>
      <c r="D40" s="148">
        <f>Effort!I40-IF(PCS!I46&lt;0, Effort!D40, 0)</f>
        <v>22.323727423596793</v>
      </c>
      <c r="E40" s="381">
        <f>IF(PCS!I46&lt;0, 0, PCS!F46/Aide!C40)</f>
        <v>3.0812418891427615</v>
      </c>
      <c r="F40" s="381">
        <f>Effort!G40</f>
        <v>0</v>
      </c>
      <c r="G40" s="279">
        <f t="shared" si="1"/>
        <v>25.404969312739553</v>
      </c>
      <c r="H40" s="159">
        <f t="shared" si="2"/>
        <v>0</v>
      </c>
      <c r="I40" s="42">
        <f t="shared" si="3"/>
        <v>0</v>
      </c>
      <c r="J40" s="29"/>
    </row>
    <row r="41" spans="1:10" x14ac:dyDescent="0.25">
      <c r="A41" s="38">
        <f>Données!A41</f>
        <v>5473</v>
      </c>
      <c r="B41" s="128" t="str">
        <f>Données!B41</f>
        <v>Boussens</v>
      </c>
      <c r="C41" s="266">
        <f>VPI!R41</f>
        <v>38661.720757575771</v>
      </c>
      <c r="D41" s="148">
        <f>Effort!I41-IF(PCS!I47&lt;0, Effort!D41, 0)</f>
        <v>21.793717557660337</v>
      </c>
      <c r="E41" s="381">
        <f>IF(PCS!I47&lt;0, 0, PCS!F47/Aide!C41)</f>
        <v>2.3700371634918795</v>
      </c>
      <c r="F41" s="381">
        <f>Effort!G41</f>
        <v>0</v>
      </c>
      <c r="G41" s="279">
        <f t="shared" si="1"/>
        <v>24.163754721152216</v>
      </c>
      <c r="H41" s="159">
        <f t="shared" si="2"/>
        <v>0</v>
      </c>
      <c r="I41" s="42">
        <f t="shared" si="3"/>
        <v>0</v>
      </c>
      <c r="J41" s="29"/>
    </row>
    <row r="42" spans="1:10" x14ac:dyDescent="0.25">
      <c r="A42" s="38">
        <f>Données!A42</f>
        <v>5474</v>
      </c>
      <c r="B42" s="128" t="str">
        <f>Données!B42</f>
        <v>La Chaux (Cossonay)</v>
      </c>
      <c r="C42" s="266">
        <f>VPI!R42</f>
        <v>14789.202587719299</v>
      </c>
      <c r="D42" s="148">
        <f>Effort!I42-IF(PCS!I48&lt;0, Effort!D42, 0)</f>
        <v>16.598603298597673</v>
      </c>
      <c r="E42" s="381">
        <f>IF(PCS!I48&lt;0, 0, PCS!F48/Aide!C42)</f>
        <v>3.384121267062727</v>
      </c>
      <c r="F42" s="381">
        <f>Effort!G42</f>
        <v>0</v>
      </c>
      <c r="G42" s="279">
        <f t="shared" si="1"/>
        <v>19.982724565660401</v>
      </c>
      <c r="H42" s="159">
        <f t="shared" si="2"/>
        <v>0</v>
      </c>
      <c r="I42" s="42">
        <f t="shared" si="3"/>
        <v>0</v>
      </c>
      <c r="J42" s="29"/>
    </row>
    <row r="43" spans="1:10" x14ac:dyDescent="0.25">
      <c r="A43" s="38">
        <f>Données!A43</f>
        <v>5475</v>
      </c>
      <c r="B43" s="128" t="str">
        <f>Données!B43</f>
        <v>Chavannes-le-Veyron</v>
      </c>
      <c r="C43" s="266">
        <f>VPI!R43</f>
        <v>4582.5893333333333</v>
      </c>
      <c r="D43" s="148">
        <f>Effort!I43-IF(PCS!I49&lt;0, Effort!D43, 0)</f>
        <v>10.40846390516945</v>
      </c>
      <c r="E43" s="381">
        <f>IF(PCS!I49&lt;0, 0, PCS!F49/Aide!C43)</f>
        <v>4.6759044813674482</v>
      </c>
      <c r="F43" s="381">
        <f>Effort!G43</f>
        <v>0</v>
      </c>
      <c r="G43" s="279">
        <f t="shared" si="1"/>
        <v>15.084368386536898</v>
      </c>
      <c r="H43" s="159">
        <f t="shared" si="2"/>
        <v>0</v>
      </c>
      <c r="I43" s="42">
        <f t="shared" si="3"/>
        <v>0</v>
      </c>
      <c r="J43" s="29"/>
    </row>
    <row r="44" spans="1:10" x14ac:dyDescent="0.25">
      <c r="A44" s="38">
        <f>Données!A44</f>
        <v>5476</v>
      </c>
      <c r="B44" s="128" t="str">
        <f>Données!B44</f>
        <v>Chevilly</v>
      </c>
      <c r="C44" s="266">
        <f>VPI!R44</f>
        <v>13414.448028169016</v>
      </c>
      <c r="D44" s="148">
        <f>Effort!I44-IF(PCS!I50&lt;0, Effort!D44, 0)</f>
        <v>22.597586496675412</v>
      </c>
      <c r="E44" s="381">
        <f>IF(PCS!I50&lt;0, 0, PCS!F50/Aide!C44)</f>
        <v>2.937370208394499</v>
      </c>
      <c r="F44" s="381">
        <f>Effort!G44</f>
        <v>0</v>
      </c>
      <c r="G44" s="279">
        <f t="shared" si="1"/>
        <v>25.534956705069909</v>
      </c>
      <c r="H44" s="159">
        <f t="shared" si="2"/>
        <v>0</v>
      </c>
      <c r="I44" s="42">
        <f t="shared" si="3"/>
        <v>0</v>
      </c>
      <c r="J44" s="29"/>
    </row>
    <row r="45" spans="1:10" x14ac:dyDescent="0.25">
      <c r="A45" s="38">
        <f>Données!A45</f>
        <v>5477</v>
      </c>
      <c r="B45" s="128" t="str">
        <f>Données!B45</f>
        <v>Cossonay</v>
      </c>
      <c r="C45" s="266">
        <f>VPI!R45</f>
        <v>157014.45764705885</v>
      </c>
      <c r="D45" s="148">
        <f>Effort!I45-IF(PCS!I51&lt;0, Effort!D45, 0)</f>
        <v>10.048603531355399</v>
      </c>
      <c r="E45" s="381">
        <f>IF(PCS!I51&lt;0, 0, PCS!F51/Aide!C45)</f>
        <v>5.2996669381266193</v>
      </c>
      <c r="F45" s="381">
        <f>Effort!G45</f>
        <v>0</v>
      </c>
      <c r="G45" s="279">
        <f t="shared" si="1"/>
        <v>15.348270469482017</v>
      </c>
      <c r="H45" s="159">
        <f t="shared" si="2"/>
        <v>0</v>
      </c>
      <c r="I45" s="42">
        <f t="shared" si="3"/>
        <v>0</v>
      </c>
      <c r="J45" s="29"/>
    </row>
    <row r="46" spans="1:10" x14ac:dyDescent="0.25">
      <c r="A46" s="38">
        <f>Données!A46</f>
        <v>5479</v>
      </c>
      <c r="B46" s="128" t="str">
        <f>Données!B46</f>
        <v>Cuarnens</v>
      </c>
      <c r="C46" s="266">
        <f>VPI!R46</f>
        <v>18824.412763157892</v>
      </c>
      <c r="D46" s="148">
        <f>Effort!I46-IF(PCS!I52&lt;0, Effort!D46, 0)</f>
        <v>17.284093649087705</v>
      </c>
      <c r="E46" s="381">
        <f>IF(PCS!I52&lt;0, 0, PCS!F52/Aide!C46)</f>
        <v>2.2430163177593219</v>
      </c>
      <c r="F46" s="381">
        <f>Effort!G46</f>
        <v>0</v>
      </c>
      <c r="G46" s="279">
        <f t="shared" si="1"/>
        <v>19.527109966847028</v>
      </c>
      <c r="H46" s="159">
        <f t="shared" si="2"/>
        <v>0</v>
      </c>
      <c r="I46" s="42">
        <f t="shared" si="3"/>
        <v>0</v>
      </c>
      <c r="J46" s="29"/>
    </row>
    <row r="47" spans="1:10" x14ac:dyDescent="0.25">
      <c r="A47" s="38">
        <f>Données!A47</f>
        <v>5480</v>
      </c>
      <c r="B47" s="128" t="str">
        <f>Données!B47</f>
        <v>Daillens</v>
      </c>
      <c r="C47" s="266">
        <f>VPI!R47</f>
        <v>49216.067727272741</v>
      </c>
      <c r="D47" s="148">
        <f>Effort!I47-IF(PCS!I53&lt;0, Effort!D47, 0)</f>
        <v>26.4779517742327</v>
      </c>
      <c r="E47" s="381">
        <f>IF(PCS!I53&lt;0, 0, PCS!F53/Aide!C47)</f>
        <v>4.3142063111706053</v>
      </c>
      <c r="F47" s="381">
        <f>Effort!G47</f>
        <v>0</v>
      </c>
      <c r="G47" s="279">
        <f t="shared" si="1"/>
        <v>30.792158085403305</v>
      </c>
      <c r="H47" s="159">
        <f t="shared" si="2"/>
        <v>0</v>
      </c>
      <c r="I47" s="42">
        <f t="shared" si="3"/>
        <v>0</v>
      </c>
      <c r="J47" s="29"/>
    </row>
    <row r="48" spans="1:10" x14ac:dyDescent="0.25">
      <c r="A48" s="38">
        <f>Données!A48</f>
        <v>5481</v>
      </c>
      <c r="B48" s="128" t="str">
        <f>Données!B48</f>
        <v>Dizy</v>
      </c>
      <c r="C48" s="266">
        <f>VPI!R48</f>
        <v>8943.6092000000008</v>
      </c>
      <c r="D48" s="148">
        <f>Effort!I48-IF(PCS!I54&lt;0, Effort!D48, 0)</f>
        <v>20.320956563403488</v>
      </c>
      <c r="E48" s="381">
        <f>IF(PCS!I54&lt;0, 0, PCS!F54/Aide!C48)</f>
        <v>4.2033338174033803</v>
      </c>
      <c r="F48" s="381">
        <f>Effort!G48</f>
        <v>0</v>
      </c>
      <c r="G48" s="279">
        <f t="shared" si="1"/>
        <v>24.524290380806868</v>
      </c>
      <c r="H48" s="159">
        <f t="shared" si="2"/>
        <v>0</v>
      </c>
      <c r="I48" s="42">
        <f t="shared" si="3"/>
        <v>0</v>
      </c>
      <c r="J48" s="29"/>
    </row>
    <row r="49" spans="1:10" x14ac:dyDescent="0.25">
      <c r="A49" s="38">
        <f>Données!A49</f>
        <v>5482</v>
      </c>
      <c r="B49" s="128" t="str">
        <f>Données!B49</f>
        <v>Eclépens</v>
      </c>
      <c r="C49" s="266">
        <f>VPI!R49</f>
        <v>57580.307391304363</v>
      </c>
      <c r="D49" s="148">
        <f>Effort!I49-IF(PCS!I55&lt;0, Effort!D49, 0)</f>
        <v>27.207652196244275</v>
      </c>
      <c r="E49" s="381">
        <f>IF(PCS!I55&lt;0, 0, PCS!F55/Aide!C49)</f>
        <v>4.404067058493963</v>
      </c>
      <c r="F49" s="381">
        <f>Effort!G49</f>
        <v>0</v>
      </c>
      <c r="G49" s="279">
        <f t="shared" si="1"/>
        <v>31.61171925473824</v>
      </c>
      <c r="H49" s="159">
        <f t="shared" si="2"/>
        <v>0</v>
      </c>
      <c r="I49" s="42">
        <f t="shared" si="3"/>
        <v>0</v>
      </c>
      <c r="J49" s="29"/>
    </row>
    <row r="50" spans="1:10" x14ac:dyDescent="0.25">
      <c r="A50" s="38">
        <f>Données!A50</f>
        <v>5483</v>
      </c>
      <c r="B50" s="128" t="str">
        <f>Données!B50</f>
        <v>Ferreyres</v>
      </c>
      <c r="C50" s="266">
        <f>VPI!R50</f>
        <v>11908.696842105262</v>
      </c>
      <c r="D50" s="148">
        <f>Effort!I50-IF(PCS!I56&lt;0, Effort!D50, 0)</f>
        <v>19.767512646515915</v>
      </c>
      <c r="E50" s="381">
        <f>IF(PCS!I56&lt;0, 0, PCS!F56/Aide!C50)</f>
        <v>0.39872540740239193</v>
      </c>
      <c r="F50" s="381">
        <f>Effort!G50</f>
        <v>0</v>
      </c>
      <c r="G50" s="279">
        <f t="shared" si="1"/>
        <v>20.166238053918306</v>
      </c>
      <c r="H50" s="159">
        <f t="shared" si="2"/>
        <v>0</v>
      </c>
      <c r="I50" s="42">
        <f t="shared" si="3"/>
        <v>0</v>
      </c>
      <c r="J50" s="29"/>
    </row>
    <row r="51" spans="1:10" x14ac:dyDescent="0.25">
      <c r="A51" s="38">
        <f>Données!A51</f>
        <v>5484</v>
      </c>
      <c r="B51" s="128" t="str">
        <f>Données!B51</f>
        <v>Gollion</v>
      </c>
      <c r="C51" s="266">
        <f>VPI!R51</f>
        <v>34768.807162162164</v>
      </c>
      <c r="D51" s="148">
        <f>Effort!I51-IF(PCS!I57&lt;0, Effort!D51, 0)</f>
        <v>15.095002095453127</v>
      </c>
      <c r="E51" s="381">
        <f>IF(PCS!I57&lt;0, 0, PCS!F57/Aide!C51)</f>
        <v>3.1531027075126863</v>
      </c>
      <c r="F51" s="381">
        <f>Effort!G51</f>
        <v>0</v>
      </c>
      <c r="G51" s="279">
        <f t="shared" si="1"/>
        <v>18.248104802965813</v>
      </c>
      <c r="H51" s="159">
        <f t="shared" si="2"/>
        <v>0</v>
      </c>
      <c r="I51" s="42">
        <f t="shared" si="3"/>
        <v>0</v>
      </c>
      <c r="J51" s="29"/>
    </row>
    <row r="52" spans="1:10" x14ac:dyDescent="0.25">
      <c r="A52" s="38">
        <f>Données!A52</f>
        <v>5485</v>
      </c>
      <c r="B52" s="128" t="str">
        <f>Données!B52</f>
        <v>Grancy</v>
      </c>
      <c r="C52" s="266">
        <f>VPI!R52</f>
        <v>29330.080571428571</v>
      </c>
      <c r="D52" s="148">
        <f>Effort!I52-IF(PCS!I58&lt;0, Effort!D52, 0)</f>
        <v>29.415784116428856</v>
      </c>
      <c r="E52" s="381">
        <f>IF(PCS!I58&lt;0, 0, PCS!F58/Aide!C52)</f>
        <v>0.86204570554879001</v>
      </c>
      <c r="F52" s="381">
        <f>Effort!G52</f>
        <v>0</v>
      </c>
      <c r="G52" s="279">
        <f t="shared" si="1"/>
        <v>30.277829821977647</v>
      </c>
      <c r="H52" s="159">
        <f t="shared" si="2"/>
        <v>0</v>
      </c>
      <c r="I52" s="42">
        <f t="shared" si="3"/>
        <v>0</v>
      </c>
      <c r="J52" s="29"/>
    </row>
    <row r="53" spans="1:10" x14ac:dyDescent="0.25">
      <c r="A53" s="38">
        <f>Données!A53</f>
        <v>5486</v>
      </c>
      <c r="B53" s="128" t="str">
        <f>Données!B53</f>
        <v>L'Isle</v>
      </c>
      <c r="C53" s="266">
        <f>VPI!R53</f>
        <v>33915.013599999991</v>
      </c>
      <c r="D53" s="148">
        <f>Effort!I53-IF(PCS!I59&lt;0, Effort!D53, 0)</f>
        <v>12.775148207901914</v>
      </c>
      <c r="E53" s="381">
        <f>IF(PCS!I59&lt;0, 0, PCS!F59/Aide!C53)</f>
        <v>2.8471129671019808</v>
      </c>
      <c r="F53" s="381">
        <f>Effort!G53</f>
        <v>0</v>
      </c>
      <c r="G53" s="279">
        <f t="shared" si="1"/>
        <v>15.622261175003896</v>
      </c>
      <c r="H53" s="159">
        <f t="shared" si="2"/>
        <v>0</v>
      </c>
      <c r="I53" s="42">
        <f t="shared" si="3"/>
        <v>0</v>
      </c>
      <c r="J53" s="29"/>
    </row>
    <row r="54" spans="1:10" x14ac:dyDescent="0.25">
      <c r="A54" s="38">
        <f>Données!A54</f>
        <v>5487</v>
      </c>
      <c r="B54" s="128" t="str">
        <f>Données!B54</f>
        <v>Lussery-Villars</v>
      </c>
      <c r="C54" s="266">
        <f>VPI!R54</f>
        <v>14930.073733333335</v>
      </c>
      <c r="D54" s="148">
        <f>Effort!I54-IF(PCS!I60&lt;0, Effort!D54, 0)</f>
        <v>13.883634772283003</v>
      </c>
      <c r="E54" s="381">
        <f>IF(PCS!I60&lt;0, 0, PCS!F60/Aide!C54)</f>
        <v>2.9065697045497063</v>
      </c>
      <c r="F54" s="381">
        <f>Effort!G54</f>
        <v>0</v>
      </c>
      <c r="G54" s="279">
        <f t="shared" si="1"/>
        <v>16.790204476832709</v>
      </c>
      <c r="H54" s="159">
        <f t="shared" si="2"/>
        <v>0</v>
      </c>
      <c r="I54" s="42">
        <f t="shared" si="3"/>
        <v>0</v>
      </c>
      <c r="J54" s="29"/>
    </row>
    <row r="55" spans="1:10" x14ac:dyDescent="0.25">
      <c r="A55" s="38">
        <f>Données!A55</f>
        <v>5488</v>
      </c>
      <c r="B55" s="128" t="str">
        <f>Données!B55</f>
        <v>Mauraz</v>
      </c>
      <c r="C55" s="266">
        <f>VPI!R55</f>
        <v>1845.4819480519479</v>
      </c>
      <c r="D55" s="148">
        <f>Effort!I55-IF(PCS!I61&lt;0, Effort!D55, 0)</f>
        <v>9.2904027865188645</v>
      </c>
      <c r="E55" s="381">
        <f>IF(PCS!I61&lt;0, 0, PCS!F61/Aide!C55)</f>
        <v>2.1610615071092187</v>
      </c>
      <c r="F55" s="381">
        <f>Effort!G55</f>
        <v>0</v>
      </c>
      <c r="G55" s="279">
        <f t="shared" si="1"/>
        <v>11.451464293628083</v>
      </c>
      <c r="H55" s="159">
        <f t="shared" si="2"/>
        <v>0</v>
      </c>
      <c r="I55" s="42">
        <f t="shared" si="3"/>
        <v>0</v>
      </c>
      <c r="J55" s="29"/>
    </row>
    <row r="56" spans="1:10" x14ac:dyDescent="0.25">
      <c r="A56" s="38">
        <f>Données!A56</f>
        <v>5489</v>
      </c>
      <c r="B56" s="128" t="str">
        <f>Données!B56</f>
        <v>Mex</v>
      </c>
      <c r="C56" s="266">
        <f>VPI!R56</f>
        <v>61579.806386554606</v>
      </c>
      <c r="D56" s="148">
        <f>Effort!I56-IF(PCS!I62&lt;0, Effort!D56, 0)</f>
        <v>34.509585416965699</v>
      </c>
      <c r="E56" s="381">
        <f>IF(PCS!I62&lt;0, 0, PCS!F62/Aide!C56)</f>
        <v>4.3242757427399381</v>
      </c>
      <c r="F56" s="381">
        <f>Effort!G56</f>
        <v>0</v>
      </c>
      <c r="G56" s="279">
        <f t="shared" si="1"/>
        <v>38.833861159705634</v>
      </c>
      <c r="H56" s="159">
        <f t="shared" si="2"/>
        <v>0</v>
      </c>
      <c r="I56" s="42">
        <f t="shared" si="3"/>
        <v>0</v>
      </c>
      <c r="J56" s="29"/>
    </row>
    <row r="57" spans="1:10" x14ac:dyDescent="0.25">
      <c r="A57" s="38">
        <f>Données!A57</f>
        <v>5490</v>
      </c>
      <c r="B57" s="128" t="str">
        <f>Données!B57</f>
        <v>Moiry</v>
      </c>
      <c r="C57" s="266">
        <f>VPI!R57</f>
        <v>9143.6155263157889</v>
      </c>
      <c r="D57" s="148">
        <f>Effort!I57-IF(PCS!I63&lt;0, Effort!D57, 0)</f>
        <v>12.523162659795462</v>
      </c>
      <c r="E57" s="381">
        <f>IF(PCS!I63&lt;0, 0, PCS!F63/Aide!C57)</f>
        <v>0.49678926097959814</v>
      </c>
      <c r="F57" s="381">
        <f>Effort!G57</f>
        <v>0</v>
      </c>
      <c r="G57" s="279">
        <f t="shared" si="1"/>
        <v>13.01995192077506</v>
      </c>
      <c r="H57" s="159">
        <f t="shared" si="2"/>
        <v>0</v>
      </c>
      <c r="I57" s="42">
        <f t="shared" si="3"/>
        <v>0</v>
      </c>
      <c r="J57" s="29"/>
    </row>
    <row r="58" spans="1:10" x14ac:dyDescent="0.25">
      <c r="A58" s="38">
        <f>Données!A58</f>
        <v>5491</v>
      </c>
      <c r="B58" s="128" t="str">
        <f>Données!B58</f>
        <v>Mont-la-Ville</v>
      </c>
      <c r="C58" s="266">
        <f>VPI!R58</f>
        <v>14485.97789473684</v>
      </c>
      <c r="D58" s="148">
        <f>Effort!I58-IF(PCS!I64&lt;0, Effort!D58, 0)</f>
        <v>10.198471832446774</v>
      </c>
      <c r="E58" s="381">
        <f>IF(PCS!I64&lt;0, 0, PCS!F64/Aide!C58)</f>
        <v>1.9361236917384868</v>
      </c>
      <c r="F58" s="381">
        <f>Effort!G58</f>
        <v>0</v>
      </c>
      <c r="G58" s="279">
        <f t="shared" si="1"/>
        <v>12.134595524185261</v>
      </c>
      <c r="H58" s="159">
        <f t="shared" si="2"/>
        <v>0</v>
      </c>
      <c r="I58" s="42">
        <f t="shared" si="3"/>
        <v>0</v>
      </c>
      <c r="J58" s="29"/>
    </row>
    <row r="59" spans="1:10" x14ac:dyDescent="0.25">
      <c r="A59" s="38">
        <f>Données!A59</f>
        <v>5492</v>
      </c>
      <c r="B59" s="128" t="str">
        <f>Données!B59</f>
        <v>Montricher</v>
      </c>
      <c r="C59" s="266">
        <f>VPI!R59</f>
        <v>196115.50781249997</v>
      </c>
      <c r="D59" s="148">
        <f>Effort!I59-IF(PCS!I65&lt;0, Effort!D59, 0)</f>
        <v>53.470911039326836</v>
      </c>
      <c r="E59" s="381">
        <f>IF(PCS!I65&lt;0, 0, PCS!F65/Aide!C59)</f>
        <v>0.54496557254503841</v>
      </c>
      <c r="F59" s="381">
        <f>Effort!G59</f>
        <v>0</v>
      </c>
      <c r="G59" s="279">
        <f t="shared" si="1"/>
        <v>54.015876611871875</v>
      </c>
      <c r="H59" s="159">
        <f t="shared" si="2"/>
        <v>0</v>
      </c>
      <c r="I59" s="42">
        <f t="shared" si="3"/>
        <v>0</v>
      </c>
      <c r="J59" s="29"/>
    </row>
    <row r="60" spans="1:10" x14ac:dyDescent="0.25">
      <c r="A60" s="38">
        <f>Données!A60</f>
        <v>5493</v>
      </c>
      <c r="B60" s="128" t="str">
        <f>Données!B60</f>
        <v>Orny</v>
      </c>
      <c r="C60" s="266">
        <f>VPI!R60</f>
        <v>15159.363245521601</v>
      </c>
      <c r="D60" s="148">
        <f>Effort!I60-IF(PCS!I66&lt;0, Effort!D60, 0)</f>
        <v>13.012608637749132</v>
      </c>
      <c r="E60" s="381">
        <f>IF(PCS!I66&lt;0, 0, PCS!F66/Aide!C60)</f>
        <v>4.8348956887521375</v>
      </c>
      <c r="F60" s="381">
        <f>Effort!G60</f>
        <v>0</v>
      </c>
      <c r="G60" s="279">
        <f t="shared" si="1"/>
        <v>17.847504326501269</v>
      </c>
      <c r="H60" s="159">
        <f t="shared" si="2"/>
        <v>0</v>
      </c>
      <c r="I60" s="42">
        <f t="shared" si="3"/>
        <v>0</v>
      </c>
      <c r="J60" s="29"/>
    </row>
    <row r="61" spans="1:10" x14ac:dyDescent="0.25">
      <c r="A61" s="38">
        <f>Données!A61</f>
        <v>5495</v>
      </c>
      <c r="B61" s="128" t="str">
        <f>Données!B61</f>
        <v>Penthalaz</v>
      </c>
      <c r="C61" s="266">
        <f>VPI!R61</f>
        <v>95849.092413793114</v>
      </c>
      <c r="D61" s="148">
        <f>Effort!I61-IF(PCS!I67&lt;0, Effort!D61, 0)</f>
        <v>6.9937967176195404</v>
      </c>
      <c r="E61" s="381">
        <f>IF(PCS!I67&lt;0, 0, PCS!F67/Aide!C61)</f>
        <v>2.7751060891811079</v>
      </c>
      <c r="F61" s="381">
        <f>Effort!G61</f>
        <v>0</v>
      </c>
      <c r="G61" s="279">
        <f t="shared" si="1"/>
        <v>9.7689028068006483</v>
      </c>
      <c r="H61" s="159">
        <f t="shared" si="2"/>
        <v>0</v>
      </c>
      <c r="I61" s="42">
        <f t="shared" si="3"/>
        <v>0</v>
      </c>
      <c r="J61" s="29"/>
    </row>
    <row r="62" spans="1:10" x14ac:dyDescent="0.25">
      <c r="A62" s="38">
        <f>Données!A62</f>
        <v>5496</v>
      </c>
      <c r="B62" s="128" t="str">
        <f>Données!B62</f>
        <v>Penthaz</v>
      </c>
      <c r="C62" s="266">
        <f>VPI!R62</f>
        <v>67087.565323741001</v>
      </c>
      <c r="D62" s="148">
        <f>Effort!I62-IF(PCS!I68&lt;0, Effort!D62, 0)</f>
        <v>16.182172691689651</v>
      </c>
      <c r="E62" s="381">
        <f>IF(PCS!I68&lt;0, 0, PCS!F68/Aide!C62)</f>
        <v>3.3136401496646783</v>
      </c>
      <c r="F62" s="381">
        <f>Effort!G62</f>
        <v>0</v>
      </c>
      <c r="G62" s="279">
        <f t="shared" si="1"/>
        <v>19.495812841354329</v>
      </c>
      <c r="H62" s="159">
        <f t="shared" si="2"/>
        <v>0</v>
      </c>
      <c r="I62" s="42">
        <f t="shared" si="3"/>
        <v>0</v>
      </c>
      <c r="J62" s="29"/>
    </row>
    <row r="63" spans="1:10" x14ac:dyDescent="0.25">
      <c r="A63" s="38">
        <f>Données!A63</f>
        <v>5497</v>
      </c>
      <c r="B63" s="128" t="str">
        <f>Données!B63</f>
        <v>Pompaples</v>
      </c>
      <c r="C63" s="266">
        <f>VPI!R63</f>
        <v>25508.981363636369</v>
      </c>
      <c r="D63" s="148">
        <f>Effort!I63-IF(PCS!I69&lt;0, Effort!D63, 0)</f>
        <v>12.175677639600872</v>
      </c>
      <c r="E63" s="381">
        <f>IF(PCS!I69&lt;0, 0, PCS!F69/Aide!C63)</f>
        <v>7.2856925312170331</v>
      </c>
      <c r="F63" s="381">
        <f>Effort!G63</f>
        <v>0</v>
      </c>
      <c r="G63" s="279">
        <f t="shared" si="1"/>
        <v>19.461370170817904</v>
      </c>
      <c r="H63" s="159">
        <f t="shared" si="2"/>
        <v>0</v>
      </c>
      <c r="I63" s="42">
        <f t="shared" si="3"/>
        <v>0</v>
      </c>
      <c r="J63" s="29"/>
    </row>
    <row r="64" spans="1:10" x14ac:dyDescent="0.25">
      <c r="A64" s="38">
        <f>Données!A64</f>
        <v>5498</v>
      </c>
      <c r="B64" s="128" t="str">
        <f>Données!B64</f>
        <v>La Sarraz</v>
      </c>
      <c r="C64" s="266">
        <f>VPI!R64</f>
        <v>78158.734848484863</v>
      </c>
      <c r="D64" s="148">
        <f>Effort!I64-IF(PCS!I70&lt;0, Effort!D64, 0)</f>
        <v>10.368278131951408</v>
      </c>
      <c r="E64" s="381">
        <f>IF(PCS!I70&lt;0, 0, PCS!F70/Aide!C64)</f>
        <v>2.6559700640295629</v>
      </c>
      <c r="F64" s="381">
        <f>Effort!G64</f>
        <v>0</v>
      </c>
      <c r="G64" s="279">
        <f t="shared" si="1"/>
        <v>13.02424819598097</v>
      </c>
      <c r="H64" s="159">
        <f t="shared" si="2"/>
        <v>0</v>
      </c>
      <c r="I64" s="42">
        <f t="shared" si="3"/>
        <v>0</v>
      </c>
      <c r="J64" s="29"/>
    </row>
    <row r="65" spans="1:10" x14ac:dyDescent="0.25">
      <c r="A65" s="38">
        <f>Données!A65</f>
        <v>5499</v>
      </c>
      <c r="B65" s="128" t="str">
        <f>Données!B65</f>
        <v>Senarclens</v>
      </c>
      <c r="C65" s="266">
        <f>VPI!R65</f>
        <v>25627.946715328464</v>
      </c>
      <c r="D65" s="148">
        <f>Effort!I65-IF(PCS!I71&lt;0, Effort!D65, 0)</f>
        <v>28.98086834222665</v>
      </c>
      <c r="E65" s="381">
        <f>IF(PCS!I71&lt;0, 0, PCS!F71/Aide!C65)</f>
        <v>3.8080858011784415</v>
      </c>
      <c r="F65" s="381">
        <f>Effort!G65</f>
        <v>0</v>
      </c>
      <c r="G65" s="279">
        <f t="shared" si="1"/>
        <v>32.788954143405093</v>
      </c>
      <c r="H65" s="159">
        <f t="shared" si="2"/>
        <v>0</v>
      </c>
      <c r="I65" s="42">
        <f t="shared" si="3"/>
        <v>0</v>
      </c>
      <c r="J65" s="29"/>
    </row>
    <row r="66" spans="1:10" x14ac:dyDescent="0.25">
      <c r="A66" s="38">
        <f>Données!A66</f>
        <v>5501</v>
      </c>
      <c r="B66" s="128" t="str">
        <f>Données!B66</f>
        <v>Sullens</v>
      </c>
      <c r="C66" s="266">
        <f>VPI!R66</f>
        <v>54206.164375000008</v>
      </c>
      <c r="D66" s="148">
        <f>Effort!I66-IF(PCS!I72&lt;0, Effort!D66, 0)</f>
        <v>25.491535515792993</v>
      </c>
      <c r="E66" s="381">
        <f>IF(PCS!I72&lt;0, 0, PCS!F72/Aide!C66)</f>
        <v>2.537336972387469</v>
      </c>
      <c r="F66" s="381">
        <f>Effort!G66</f>
        <v>0</v>
      </c>
      <c r="G66" s="279">
        <f t="shared" si="1"/>
        <v>28.028872488180461</v>
      </c>
      <c r="H66" s="159">
        <f t="shared" si="2"/>
        <v>0</v>
      </c>
      <c r="I66" s="42">
        <f t="shared" si="3"/>
        <v>0</v>
      </c>
      <c r="J66" s="29"/>
    </row>
    <row r="67" spans="1:10" x14ac:dyDescent="0.25">
      <c r="A67" s="38">
        <f>Données!A67</f>
        <v>5503</v>
      </c>
      <c r="B67" s="128" t="str">
        <f>Données!B67</f>
        <v>Vufflens-la-Ville</v>
      </c>
      <c r="C67" s="266">
        <f>VPI!R67</f>
        <v>77419.766343283569</v>
      </c>
      <c r="D67" s="148">
        <f>Effort!I67-IF(PCS!I73&lt;0, Effort!D67, 0)</f>
        <v>29.45069733828651</v>
      </c>
      <c r="E67" s="381">
        <f>IF(PCS!I73&lt;0, 0, PCS!F73/Aide!C67)</f>
        <v>2.4000451793680688</v>
      </c>
      <c r="F67" s="381">
        <f>Effort!G67</f>
        <v>0</v>
      </c>
      <c r="G67" s="279">
        <f t="shared" si="1"/>
        <v>31.850742517654577</v>
      </c>
      <c r="H67" s="159">
        <f t="shared" si="2"/>
        <v>0</v>
      </c>
      <c r="I67" s="42">
        <f t="shared" si="3"/>
        <v>0</v>
      </c>
      <c r="J67" s="29"/>
    </row>
    <row r="68" spans="1:10" x14ac:dyDescent="0.25">
      <c r="A68" s="38">
        <f>Données!A68</f>
        <v>5511</v>
      </c>
      <c r="B68" s="128" t="str">
        <f>Données!B68</f>
        <v>Assens</v>
      </c>
      <c r="C68" s="266">
        <f>VPI!R68</f>
        <v>74810.046857142865</v>
      </c>
      <c r="D68" s="148">
        <f>Effort!I68-IF(PCS!I74&lt;0, Effort!D68, 0)</f>
        <v>23.196358304589932</v>
      </c>
      <c r="E68" s="381">
        <f>IF(PCS!I74&lt;0, 0, PCS!F74/Aide!C68)</f>
        <v>3.2818444890007208</v>
      </c>
      <c r="F68" s="381">
        <f>Effort!G68</f>
        <v>0</v>
      </c>
      <c r="G68" s="279">
        <f t="shared" si="1"/>
        <v>26.478202793590654</v>
      </c>
      <c r="H68" s="159">
        <f t="shared" si="2"/>
        <v>0</v>
      </c>
      <c r="I68" s="42">
        <f t="shared" si="3"/>
        <v>0</v>
      </c>
      <c r="J68" s="29"/>
    </row>
    <row r="69" spans="1:10" x14ac:dyDescent="0.25">
      <c r="A69" s="38">
        <f>Données!A69</f>
        <v>5512</v>
      </c>
      <c r="B69" s="128" t="str">
        <f>Données!B69</f>
        <v>Bercher</v>
      </c>
      <c r="C69" s="266">
        <f>VPI!R69</f>
        <v>42301.871392405068</v>
      </c>
      <c r="D69" s="148">
        <f>Effort!I69-IF(PCS!I75&lt;0, Effort!D69, 0)</f>
        <v>10.974881803052948</v>
      </c>
      <c r="E69" s="381">
        <f>IF(PCS!I75&lt;0, 0, PCS!F75/Aide!C69)</f>
        <v>2.4557795336366959</v>
      </c>
      <c r="F69" s="381">
        <f>Effort!G69</f>
        <v>0</v>
      </c>
      <c r="G69" s="279">
        <f t="shared" si="1"/>
        <v>13.430661336689644</v>
      </c>
      <c r="H69" s="159">
        <f t="shared" si="2"/>
        <v>0</v>
      </c>
      <c r="I69" s="42">
        <f t="shared" si="3"/>
        <v>0</v>
      </c>
      <c r="J69" s="29"/>
    </row>
    <row r="70" spans="1:10" x14ac:dyDescent="0.25">
      <c r="A70" s="38">
        <f>Données!A70</f>
        <v>5514</v>
      </c>
      <c r="B70" s="128" t="str">
        <f>Données!B70</f>
        <v>Bottens</v>
      </c>
      <c r="C70" s="266">
        <f>VPI!R70</f>
        <v>45049.61903448277</v>
      </c>
      <c r="D70" s="148">
        <f>Effort!I70-IF(PCS!I76&lt;0, Effort!D70, 0)</f>
        <v>14.015304544444557</v>
      </c>
      <c r="E70" s="381">
        <f>IF(PCS!I76&lt;0, 0, PCS!F76/Aide!C70)</f>
        <v>3.012855111962399</v>
      </c>
      <c r="F70" s="381">
        <f>Effort!G70</f>
        <v>0</v>
      </c>
      <c r="G70" s="279">
        <f t="shared" si="1"/>
        <v>17.028159656406956</v>
      </c>
      <c r="H70" s="159">
        <f t="shared" si="2"/>
        <v>0</v>
      </c>
      <c r="I70" s="42">
        <f t="shared" si="3"/>
        <v>0</v>
      </c>
      <c r="J70" s="29"/>
    </row>
    <row r="71" spans="1:10" x14ac:dyDescent="0.25">
      <c r="A71" s="38">
        <f>Données!A71</f>
        <v>5515</v>
      </c>
      <c r="B71" s="128" t="str">
        <f>Données!B71</f>
        <v>Bretigny-sur-Morrens</v>
      </c>
      <c r="C71" s="266">
        <f>VPI!R71</f>
        <v>32261.164358974351</v>
      </c>
      <c r="D71" s="148">
        <f>Effort!I71-IF(PCS!I77&lt;0, Effort!D71, 0)</f>
        <v>18.177238588306494</v>
      </c>
      <c r="E71" s="381">
        <f>IF(PCS!I77&lt;0, 0, PCS!F77/Aide!C71)</f>
        <v>2.3597833963119963</v>
      </c>
      <c r="F71" s="381">
        <f>Effort!G71</f>
        <v>0</v>
      </c>
      <c r="G71" s="279">
        <f t="shared" ref="G71:G134" si="4">D71+E71-F71</f>
        <v>20.537021984618491</v>
      </c>
      <c r="H71" s="159">
        <f t="shared" ref="H71:H134" si="5">IF(G71&lt;H$5,G71-H$5,0)</f>
        <v>0</v>
      </c>
      <c r="I71" s="42">
        <f t="shared" ref="I71:I134" si="6">-H71*C71</f>
        <v>0</v>
      </c>
      <c r="J71" s="29"/>
    </row>
    <row r="72" spans="1:10" x14ac:dyDescent="0.25">
      <c r="A72" s="38">
        <f>Données!A72</f>
        <v>5516</v>
      </c>
      <c r="B72" s="128" t="str">
        <f>Données!B72</f>
        <v>Cugy</v>
      </c>
      <c r="C72" s="266">
        <f>VPI!R72</f>
        <v>114099.68980263159</v>
      </c>
      <c r="D72" s="148">
        <f>Effort!I72-IF(PCS!I78&lt;0, Effort!D72, 0)</f>
        <v>19.787458078413767</v>
      </c>
      <c r="E72" s="381">
        <f>IF(PCS!I78&lt;0, 0, PCS!F78/Aide!C72)</f>
        <v>2.1157271366607366</v>
      </c>
      <c r="F72" s="381">
        <f>Effort!G72</f>
        <v>0</v>
      </c>
      <c r="G72" s="279">
        <f t="shared" si="4"/>
        <v>21.903185215074505</v>
      </c>
      <c r="H72" s="159">
        <f t="shared" si="5"/>
        <v>0</v>
      </c>
      <c r="I72" s="42">
        <f t="shared" si="6"/>
        <v>0</v>
      </c>
      <c r="J72" s="29"/>
    </row>
    <row r="73" spans="1:10" x14ac:dyDescent="0.25">
      <c r="A73" s="38">
        <f>Données!A73</f>
        <v>5518</v>
      </c>
      <c r="B73" s="128" t="str">
        <f>Données!B73</f>
        <v>Echallens</v>
      </c>
      <c r="C73" s="266">
        <f>VPI!R73</f>
        <v>201769.75393103444</v>
      </c>
      <c r="D73" s="148">
        <f>Effort!I73-IF(PCS!I79&lt;0, Effort!D73, 0)</f>
        <v>3.553125487674313</v>
      </c>
      <c r="E73" s="381">
        <f>IF(PCS!I79&lt;0, 0, PCS!F79/Aide!C73)</f>
        <v>6.5090461995056996</v>
      </c>
      <c r="F73" s="381">
        <f>Effort!G73</f>
        <v>0</v>
      </c>
      <c r="G73" s="279">
        <f t="shared" si="4"/>
        <v>10.062171687180012</v>
      </c>
      <c r="H73" s="159">
        <f t="shared" si="5"/>
        <v>0</v>
      </c>
      <c r="I73" s="42">
        <f t="shared" si="6"/>
        <v>0</v>
      </c>
      <c r="J73" s="29"/>
    </row>
    <row r="74" spans="1:10" x14ac:dyDescent="0.25">
      <c r="A74" s="38">
        <f>Données!A74</f>
        <v>5520</v>
      </c>
      <c r="B74" s="128" t="str">
        <f>Données!B74</f>
        <v>Essertines-sur-Yverdon</v>
      </c>
      <c r="C74" s="266">
        <f>VPI!R74</f>
        <v>32600.230945945943</v>
      </c>
      <c r="D74" s="148">
        <f>Effort!I74-IF(PCS!I80&lt;0, Effort!D74, 0)</f>
        <v>10.774712693017715</v>
      </c>
      <c r="E74" s="381">
        <f>IF(PCS!I80&lt;0, 0, PCS!F80/Aide!C74)</f>
        <v>4.8877520304749629</v>
      </c>
      <c r="F74" s="381">
        <f>Effort!G74</f>
        <v>0</v>
      </c>
      <c r="G74" s="279">
        <f t="shared" si="4"/>
        <v>15.662464723492679</v>
      </c>
      <c r="H74" s="159">
        <f t="shared" si="5"/>
        <v>0</v>
      </c>
      <c r="I74" s="42">
        <f t="shared" si="6"/>
        <v>0</v>
      </c>
      <c r="J74" s="29"/>
    </row>
    <row r="75" spans="1:10" x14ac:dyDescent="0.25">
      <c r="A75" s="38">
        <f>Données!A75</f>
        <v>5521</v>
      </c>
      <c r="B75" s="128" t="str">
        <f>Données!B75</f>
        <v>Etagnières</v>
      </c>
      <c r="C75" s="266">
        <f>VPI!R75</f>
        <v>45069.292328767129</v>
      </c>
      <c r="D75" s="148">
        <f>Effort!I75-IF(PCS!I81&lt;0, Effort!D75, 0)</f>
        <v>20.373167743696005</v>
      </c>
      <c r="E75" s="381">
        <f>IF(PCS!I81&lt;0, 0, PCS!F81/Aide!C75)</f>
        <v>2.366734299307288</v>
      </c>
      <c r="F75" s="381">
        <f>Effort!G75</f>
        <v>0</v>
      </c>
      <c r="G75" s="279">
        <f t="shared" si="4"/>
        <v>22.739902043003294</v>
      </c>
      <c r="H75" s="159">
        <f t="shared" si="5"/>
        <v>0</v>
      </c>
      <c r="I75" s="42">
        <f t="shared" si="6"/>
        <v>0</v>
      </c>
      <c r="J75" s="29"/>
    </row>
    <row r="76" spans="1:10" x14ac:dyDescent="0.25">
      <c r="A76" s="38">
        <f>Données!A76</f>
        <v>5522</v>
      </c>
      <c r="B76" s="128" t="str">
        <f>Données!B76</f>
        <v>Fey</v>
      </c>
      <c r="C76" s="266">
        <f>VPI!R76</f>
        <v>22943.940666666665</v>
      </c>
      <c r="D76" s="148">
        <f>Effort!I76-IF(PCS!I82&lt;0, Effort!D76, 0)</f>
        <v>11.928276105209999</v>
      </c>
      <c r="E76" s="381">
        <f>IF(PCS!I82&lt;0, 0, PCS!F82/Aide!C76)</f>
        <v>5.2228011631015665</v>
      </c>
      <c r="F76" s="381">
        <f>Effort!G76</f>
        <v>0</v>
      </c>
      <c r="G76" s="279">
        <f t="shared" si="4"/>
        <v>17.151077268311568</v>
      </c>
      <c r="H76" s="159">
        <f t="shared" si="5"/>
        <v>0</v>
      </c>
      <c r="I76" s="42">
        <f t="shared" si="6"/>
        <v>0</v>
      </c>
      <c r="J76" s="29"/>
    </row>
    <row r="77" spans="1:10" x14ac:dyDescent="0.25">
      <c r="A77" s="38">
        <f>Données!A77</f>
        <v>5523</v>
      </c>
      <c r="B77" s="128" t="str">
        <f>Données!B77</f>
        <v>Froideville</v>
      </c>
      <c r="C77" s="266">
        <f>VPI!R77</f>
        <v>92586.842777777769</v>
      </c>
      <c r="D77" s="148">
        <f>Effort!I77-IF(PCS!I83&lt;0, Effort!D77, 0)</f>
        <v>13.036748770003241</v>
      </c>
      <c r="E77" s="381">
        <f>IF(PCS!I83&lt;0, 0, PCS!F83/Aide!C77)</f>
        <v>2.4756196250274751</v>
      </c>
      <c r="F77" s="381">
        <f>Effort!G77</f>
        <v>0</v>
      </c>
      <c r="G77" s="279">
        <f t="shared" si="4"/>
        <v>15.512368395030716</v>
      </c>
      <c r="H77" s="159">
        <f t="shared" si="5"/>
        <v>0</v>
      </c>
      <c r="I77" s="42">
        <f t="shared" si="6"/>
        <v>0</v>
      </c>
      <c r="J77" s="29"/>
    </row>
    <row r="78" spans="1:10" x14ac:dyDescent="0.25">
      <c r="A78" s="38">
        <f>Données!A78</f>
        <v>5527</v>
      </c>
      <c r="B78" s="128" t="str">
        <f>Données!B78</f>
        <v>Morrens</v>
      </c>
      <c r="C78" s="266">
        <f>VPI!R78</f>
        <v>42908.9222972973</v>
      </c>
      <c r="D78" s="148">
        <f>Effort!I78-IF(PCS!I84&lt;0, Effort!D78, 0)</f>
        <v>19.584859405162881</v>
      </c>
      <c r="E78" s="381">
        <f>IF(PCS!I84&lt;0, 0, PCS!F84/Aide!C78)</f>
        <v>3.5293306588019049</v>
      </c>
      <c r="F78" s="381">
        <f>Effort!G78</f>
        <v>0</v>
      </c>
      <c r="G78" s="279">
        <f t="shared" si="4"/>
        <v>23.114190063964784</v>
      </c>
      <c r="H78" s="159">
        <f t="shared" si="5"/>
        <v>0</v>
      </c>
      <c r="I78" s="42">
        <f t="shared" si="6"/>
        <v>0</v>
      </c>
      <c r="J78" s="29"/>
    </row>
    <row r="79" spans="1:10" x14ac:dyDescent="0.25">
      <c r="A79" s="38">
        <f>Données!A79</f>
        <v>5529</v>
      </c>
      <c r="B79" s="128" t="str">
        <f>Données!B79</f>
        <v>Oulens-sous-Echallens</v>
      </c>
      <c r="C79" s="266">
        <f>VPI!R79</f>
        <v>22948.614507042254</v>
      </c>
      <c r="D79" s="148">
        <f>Effort!I79-IF(PCS!I85&lt;0, Effort!D79, 0)</f>
        <v>21.444472285463469</v>
      </c>
      <c r="E79" s="381">
        <f>IF(PCS!I85&lt;0, 0, PCS!F85/Aide!C79)</f>
        <v>1.2712092048540804</v>
      </c>
      <c r="F79" s="381">
        <f>Effort!G79</f>
        <v>0</v>
      </c>
      <c r="G79" s="279">
        <f t="shared" si="4"/>
        <v>22.71568149031755</v>
      </c>
      <c r="H79" s="159">
        <f t="shared" si="5"/>
        <v>0</v>
      </c>
      <c r="I79" s="42">
        <f t="shared" si="6"/>
        <v>0</v>
      </c>
      <c r="J79" s="29"/>
    </row>
    <row r="80" spans="1:10" x14ac:dyDescent="0.25">
      <c r="A80" s="38">
        <f>Données!A80</f>
        <v>5530</v>
      </c>
      <c r="B80" s="128" t="str">
        <f>Données!B80</f>
        <v>Pailly</v>
      </c>
      <c r="C80" s="266">
        <f>VPI!R80</f>
        <v>20543.565197368422</v>
      </c>
      <c r="D80" s="148">
        <f>Effort!I80-IF(PCS!I86&lt;0, Effort!D80, 0)</f>
        <v>18.176257965125416</v>
      </c>
      <c r="E80" s="381">
        <f>IF(PCS!I86&lt;0, 0, PCS!F86/Aide!C80)</f>
        <v>2.7549592515348742</v>
      </c>
      <c r="F80" s="381">
        <f>Effort!G80</f>
        <v>0</v>
      </c>
      <c r="G80" s="279">
        <f t="shared" si="4"/>
        <v>20.93121721666029</v>
      </c>
      <c r="H80" s="159">
        <f t="shared" si="5"/>
        <v>0</v>
      </c>
      <c r="I80" s="42">
        <f t="shared" si="6"/>
        <v>0</v>
      </c>
      <c r="J80" s="29"/>
    </row>
    <row r="81" spans="1:10" x14ac:dyDescent="0.25">
      <c r="A81" s="38">
        <f>Données!A81</f>
        <v>5531</v>
      </c>
      <c r="B81" s="128" t="str">
        <f>Données!B81</f>
        <v>Penthéréaz</v>
      </c>
      <c r="C81" s="266">
        <f>VPI!R81</f>
        <v>17158.758513513516</v>
      </c>
      <c r="D81" s="148">
        <f>Effort!I81-IF(PCS!I87&lt;0, Effort!D81, 0)</f>
        <v>21.75671239191054</v>
      </c>
      <c r="E81" s="381">
        <f>IF(PCS!I87&lt;0, 0, PCS!F87/Aide!C81)</f>
        <v>6.162683618207021</v>
      </c>
      <c r="F81" s="381">
        <f>Effort!G81</f>
        <v>0</v>
      </c>
      <c r="G81" s="279">
        <f t="shared" si="4"/>
        <v>27.919396010117559</v>
      </c>
      <c r="H81" s="159">
        <f t="shared" si="5"/>
        <v>0</v>
      </c>
      <c r="I81" s="42">
        <f t="shared" si="6"/>
        <v>0</v>
      </c>
      <c r="J81" s="29"/>
    </row>
    <row r="82" spans="1:10" x14ac:dyDescent="0.25">
      <c r="A82" s="38">
        <f>Données!A82</f>
        <v>5533</v>
      </c>
      <c r="B82" s="128" t="str">
        <f>Données!B82</f>
        <v>Poliez-Pittet</v>
      </c>
      <c r="C82" s="266">
        <f>VPI!R82</f>
        <v>27174.793424657531</v>
      </c>
      <c r="D82" s="148">
        <f>Effort!I82-IF(PCS!I88&lt;0, Effort!D82, 0)</f>
        <v>13.897139740378732</v>
      </c>
      <c r="E82" s="381">
        <f>IF(PCS!I88&lt;0, 0, PCS!F88/Aide!C82)</f>
        <v>3.4487307239275209</v>
      </c>
      <c r="F82" s="381">
        <f>Effort!G82</f>
        <v>0</v>
      </c>
      <c r="G82" s="279">
        <f t="shared" si="4"/>
        <v>17.345870464306252</v>
      </c>
      <c r="H82" s="159">
        <f t="shared" si="5"/>
        <v>0</v>
      </c>
      <c r="I82" s="42">
        <f t="shared" si="6"/>
        <v>0</v>
      </c>
      <c r="J82" s="29"/>
    </row>
    <row r="83" spans="1:10" x14ac:dyDescent="0.25">
      <c r="A83" s="38">
        <f>Données!A83</f>
        <v>5534</v>
      </c>
      <c r="B83" s="128" t="str">
        <f>Données!B83</f>
        <v>Rueyres</v>
      </c>
      <c r="C83" s="266">
        <f>VPI!R83</f>
        <v>15880.296484018269</v>
      </c>
      <c r="D83" s="148">
        <f>Effort!I83-IF(PCS!I89&lt;0, Effort!D83, 0)</f>
        <v>29.148779764620482</v>
      </c>
      <c r="E83" s="381">
        <f>IF(PCS!I89&lt;0, 0, PCS!F89/Aide!C83)</f>
        <v>0.93092877799088025</v>
      </c>
      <c r="F83" s="381">
        <f>Effort!G83</f>
        <v>0</v>
      </c>
      <c r="G83" s="279">
        <f t="shared" si="4"/>
        <v>30.07970854261136</v>
      </c>
      <c r="H83" s="159">
        <f t="shared" si="5"/>
        <v>0</v>
      </c>
      <c r="I83" s="42">
        <f t="shared" si="6"/>
        <v>0</v>
      </c>
      <c r="J83" s="29"/>
    </row>
    <row r="84" spans="1:10" x14ac:dyDescent="0.25">
      <c r="A84" s="38">
        <f>Données!A84</f>
        <v>5535</v>
      </c>
      <c r="B84" s="128" t="str">
        <f>Données!B84</f>
        <v>Saint-Barthélemy</v>
      </c>
      <c r="C84" s="266">
        <f>VPI!R84</f>
        <v>27185.565066666662</v>
      </c>
      <c r="D84" s="148">
        <f>Effort!I84-IF(PCS!I90&lt;0, Effort!D84, 0)</f>
        <v>15.358153482251858</v>
      </c>
      <c r="E84" s="381">
        <f>IF(PCS!I90&lt;0, 0, PCS!F90/Aide!C84)</f>
        <v>2.4101849580584775</v>
      </c>
      <c r="F84" s="381">
        <f>Effort!G84</f>
        <v>0</v>
      </c>
      <c r="G84" s="279">
        <f t="shared" si="4"/>
        <v>17.768338440310334</v>
      </c>
      <c r="H84" s="159">
        <f t="shared" si="5"/>
        <v>0</v>
      </c>
      <c r="I84" s="42">
        <f t="shared" si="6"/>
        <v>0</v>
      </c>
      <c r="J84" s="29"/>
    </row>
    <row r="85" spans="1:10" x14ac:dyDescent="0.25">
      <c r="A85" s="38">
        <f>Données!A85</f>
        <v>5537</v>
      </c>
      <c r="B85" s="128" t="str">
        <f>Données!B85</f>
        <v>Villars-le-Terroir</v>
      </c>
      <c r="C85" s="266">
        <f>VPI!R85</f>
        <v>37062.3994736842</v>
      </c>
      <c r="D85" s="148">
        <f>Effort!I85-IF(PCS!I91&lt;0, Effort!D85, 0)</f>
        <v>7.3931594075174942</v>
      </c>
      <c r="E85" s="381">
        <f>IF(PCS!I91&lt;0, 0, PCS!F91/Aide!C85)</f>
        <v>3.2984465856508094</v>
      </c>
      <c r="F85" s="381">
        <f>Effort!G85</f>
        <v>0</v>
      </c>
      <c r="G85" s="279">
        <f t="shared" si="4"/>
        <v>10.691605993168304</v>
      </c>
      <c r="H85" s="159">
        <f t="shared" si="5"/>
        <v>0</v>
      </c>
      <c r="I85" s="42">
        <f t="shared" si="6"/>
        <v>0</v>
      </c>
      <c r="J85" s="29"/>
    </row>
    <row r="86" spans="1:10" x14ac:dyDescent="0.25">
      <c r="A86" s="38">
        <f>Données!A86</f>
        <v>5539</v>
      </c>
      <c r="B86" s="128" t="str">
        <f>Données!B86</f>
        <v>Vuarrens</v>
      </c>
      <c r="C86" s="266">
        <f>VPI!R86</f>
        <v>33245.200000000004</v>
      </c>
      <c r="D86" s="148">
        <f>Effort!I86-IF(PCS!I92&lt;0, Effort!D86, 0)</f>
        <v>11.86301262736993</v>
      </c>
      <c r="E86" s="381">
        <f>IF(PCS!I92&lt;0, 0, PCS!F92/Aide!C86)</f>
        <v>3.7055735865628718</v>
      </c>
      <c r="F86" s="381">
        <f>Effort!G86</f>
        <v>0</v>
      </c>
      <c r="G86" s="279">
        <f t="shared" si="4"/>
        <v>15.568586213932802</v>
      </c>
      <c r="H86" s="159">
        <f t="shared" si="5"/>
        <v>0</v>
      </c>
      <c r="I86" s="42">
        <f t="shared" si="6"/>
        <v>0</v>
      </c>
      <c r="J86" s="29"/>
    </row>
    <row r="87" spans="1:10" x14ac:dyDescent="0.25">
      <c r="A87" s="38">
        <f>Données!A87</f>
        <v>5540</v>
      </c>
      <c r="B87" s="128" t="str">
        <f>Données!B87</f>
        <v>Montilliez</v>
      </c>
      <c r="C87" s="266">
        <f>VPI!R87</f>
        <v>73930.013586206886</v>
      </c>
      <c r="D87" s="148">
        <f>Effort!I87-IF(PCS!I93&lt;0, Effort!D87, 0)</f>
        <v>18.953309807652332</v>
      </c>
      <c r="E87" s="381">
        <f>IF(PCS!I93&lt;0, 0, PCS!F93/Aide!C87)</f>
        <v>1.6548613217464048</v>
      </c>
      <c r="F87" s="381">
        <f>Effort!G87</f>
        <v>0</v>
      </c>
      <c r="G87" s="279">
        <f t="shared" si="4"/>
        <v>20.608171129398738</v>
      </c>
      <c r="H87" s="159">
        <f t="shared" si="5"/>
        <v>0</v>
      </c>
      <c r="I87" s="42">
        <f t="shared" si="6"/>
        <v>0</v>
      </c>
      <c r="J87" s="29"/>
    </row>
    <row r="88" spans="1:10" x14ac:dyDescent="0.25">
      <c r="A88" s="38">
        <f>Données!A88</f>
        <v>5541</v>
      </c>
      <c r="B88" s="128" t="str">
        <f>Données!B88</f>
        <v>Goumoëns</v>
      </c>
      <c r="C88" s="266">
        <f>VPI!R88</f>
        <v>42494.398410596026</v>
      </c>
      <c r="D88" s="148">
        <f>Effort!I88-IF(PCS!I94&lt;0, Effort!D88, 0)</f>
        <v>16.507663865305204</v>
      </c>
      <c r="E88" s="381">
        <f>IF(PCS!I94&lt;0, 0, PCS!F94/Aide!C88)</f>
        <v>1.2587483762721599</v>
      </c>
      <c r="F88" s="381">
        <f>Effort!G88</f>
        <v>0</v>
      </c>
      <c r="G88" s="279">
        <f t="shared" si="4"/>
        <v>17.766412241577363</v>
      </c>
      <c r="H88" s="159">
        <f t="shared" si="5"/>
        <v>0</v>
      </c>
      <c r="I88" s="42">
        <f t="shared" si="6"/>
        <v>0</v>
      </c>
      <c r="J88" s="29"/>
    </row>
    <row r="89" spans="1:10" x14ac:dyDescent="0.25">
      <c r="A89" s="38">
        <f>Données!A89</f>
        <v>5551</v>
      </c>
      <c r="B89" s="128" t="str">
        <f>Données!B89</f>
        <v>Bonvillars</v>
      </c>
      <c r="C89" s="266">
        <f>VPI!R89</f>
        <v>18997.947192982458</v>
      </c>
      <c r="D89" s="148">
        <f>Effort!I89-IF(PCS!I95&lt;0, Effort!D89, 0)</f>
        <v>22.35070318088745</v>
      </c>
      <c r="E89" s="381">
        <f>IF(PCS!I95&lt;0, 0, PCS!F95/Aide!C89)</f>
        <v>2.3191703057409736</v>
      </c>
      <c r="F89" s="381">
        <f>Effort!G89</f>
        <v>0</v>
      </c>
      <c r="G89" s="279">
        <f t="shared" si="4"/>
        <v>24.669873486628425</v>
      </c>
      <c r="H89" s="159">
        <f t="shared" si="5"/>
        <v>0</v>
      </c>
      <c r="I89" s="42">
        <f t="shared" si="6"/>
        <v>0</v>
      </c>
      <c r="J89" s="29"/>
    </row>
    <row r="90" spans="1:10" x14ac:dyDescent="0.25">
      <c r="A90" s="38">
        <f>Données!A90</f>
        <v>5552</v>
      </c>
      <c r="B90" s="128" t="str">
        <f>Données!B90</f>
        <v>Bullet</v>
      </c>
      <c r="C90" s="266">
        <f>VPI!R90</f>
        <v>20424.764857142854</v>
      </c>
      <c r="D90" s="148">
        <f>Effort!I90-IF(PCS!I96&lt;0, Effort!D90, 0)</f>
        <v>14.022655919334914</v>
      </c>
      <c r="E90" s="381">
        <f>IF(PCS!I96&lt;0, 0, PCS!F96/Aide!C90)</f>
        <v>12.002455681357242</v>
      </c>
      <c r="F90" s="381">
        <f>Effort!G90</f>
        <v>0</v>
      </c>
      <c r="G90" s="279">
        <f t="shared" si="4"/>
        <v>26.025111600692156</v>
      </c>
      <c r="H90" s="159">
        <f t="shared" si="5"/>
        <v>0</v>
      </c>
      <c r="I90" s="42">
        <f t="shared" si="6"/>
        <v>0</v>
      </c>
      <c r="J90" s="29"/>
    </row>
    <row r="91" spans="1:10" x14ac:dyDescent="0.25">
      <c r="A91" s="38">
        <f>Données!A91</f>
        <v>5553</v>
      </c>
      <c r="B91" s="128" t="str">
        <f>Données!B91</f>
        <v>Champagne</v>
      </c>
      <c r="C91" s="266">
        <f>VPI!R91</f>
        <v>36175.512923076931</v>
      </c>
      <c r="D91" s="148">
        <f>Effort!I91-IF(PCS!I97&lt;0, Effort!D91, 0)</f>
        <v>18.594602115045685</v>
      </c>
      <c r="E91" s="381">
        <f>IF(PCS!I97&lt;0, 0, PCS!F97/Aide!C91)</f>
        <v>5.8251769767049462</v>
      </c>
      <c r="F91" s="381">
        <f>Effort!G91</f>
        <v>0</v>
      </c>
      <c r="G91" s="279">
        <f t="shared" si="4"/>
        <v>24.41977909175063</v>
      </c>
      <c r="H91" s="159">
        <f t="shared" si="5"/>
        <v>0</v>
      </c>
      <c r="I91" s="42">
        <f t="shared" si="6"/>
        <v>0</v>
      </c>
      <c r="J91" s="29"/>
    </row>
    <row r="92" spans="1:10" x14ac:dyDescent="0.25">
      <c r="A92" s="38">
        <f>Données!A92</f>
        <v>5554</v>
      </c>
      <c r="B92" s="128" t="str">
        <f>Données!B92</f>
        <v>Concise</v>
      </c>
      <c r="C92" s="266">
        <f>VPI!R92</f>
        <v>34308.622777777782</v>
      </c>
      <c r="D92" s="148">
        <f>Effort!I92-IF(PCS!I98&lt;0, Effort!D92, 0)</f>
        <v>16.917145868195963</v>
      </c>
      <c r="E92" s="381">
        <f>IF(PCS!I98&lt;0, 0, PCS!F98/Aide!C92)</f>
        <v>37.418915743581856</v>
      </c>
      <c r="F92" s="381">
        <f>Effort!G92</f>
        <v>0</v>
      </c>
      <c r="G92" s="279">
        <f t="shared" si="4"/>
        <v>54.336061611777822</v>
      </c>
      <c r="H92" s="159">
        <f t="shared" si="5"/>
        <v>0</v>
      </c>
      <c r="I92" s="42">
        <f t="shared" si="6"/>
        <v>0</v>
      </c>
      <c r="J92" s="29"/>
    </row>
    <row r="93" spans="1:10" x14ac:dyDescent="0.25">
      <c r="A93" s="38">
        <f>Données!A93</f>
        <v>5555</v>
      </c>
      <c r="B93" s="128" t="str">
        <f>Données!B93</f>
        <v>Corcelles-près-Concise</v>
      </c>
      <c r="C93" s="266">
        <f>VPI!R93</f>
        <v>13639.969855072464</v>
      </c>
      <c r="D93" s="148">
        <f>Effort!I93-IF(PCS!I99&lt;0, Effort!D93, 0)</f>
        <v>16.400024129658703</v>
      </c>
      <c r="E93" s="381">
        <f>IF(PCS!I99&lt;0, 0, PCS!F99/Aide!C93)</f>
        <v>6.9007582861333194</v>
      </c>
      <c r="F93" s="381">
        <f>Effort!G93</f>
        <v>0</v>
      </c>
      <c r="G93" s="279">
        <f t="shared" si="4"/>
        <v>23.300782415792021</v>
      </c>
      <c r="H93" s="159">
        <f t="shared" si="5"/>
        <v>0</v>
      </c>
      <c r="I93" s="42">
        <f t="shared" si="6"/>
        <v>0</v>
      </c>
      <c r="J93" s="29"/>
    </row>
    <row r="94" spans="1:10" x14ac:dyDescent="0.25">
      <c r="A94" s="38">
        <f>Données!A94</f>
        <v>5556</v>
      </c>
      <c r="B94" s="128" t="str">
        <f>Données!B94</f>
        <v>Fiez</v>
      </c>
      <c r="C94" s="266">
        <f>VPI!R94</f>
        <v>12931.397729468599</v>
      </c>
      <c r="D94" s="148">
        <f>Effort!I94-IF(PCS!I100&lt;0, Effort!D94, 0)</f>
        <v>13.658775721887991</v>
      </c>
      <c r="E94" s="381">
        <f>IF(PCS!I100&lt;0, 0, PCS!F100/Aide!C94)</f>
        <v>0.79824858966921508</v>
      </c>
      <c r="F94" s="381">
        <f>Effort!G94</f>
        <v>0</v>
      </c>
      <c r="G94" s="279">
        <f t="shared" si="4"/>
        <v>14.457024311557207</v>
      </c>
      <c r="H94" s="159">
        <f t="shared" si="5"/>
        <v>0</v>
      </c>
      <c r="I94" s="42">
        <f t="shared" si="6"/>
        <v>0</v>
      </c>
      <c r="J94" s="29"/>
    </row>
    <row r="95" spans="1:10" x14ac:dyDescent="0.25">
      <c r="A95" s="38">
        <f>Données!A95</f>
        <v>5557</v>
      </c>
      <c r="B95" s="128" t="str">
        <f>Données!B95</f>
        <v>Fontaines-sur-Grandson</v>
      </c>
      <c r="C95" s="266">
        <f>VPI!R95</f>
        <v>4700.3647826086954</v>
      </c>
      <c r="D95" s="148">
        <f>Effort!I95-IF(PCS!I101&lt;0, Effort!D95, 0)</f>
        <v>4.4203081538858857</v>
      </c>
      <c r="E95" s="381">
        <f>IF(PCS!I101&lt;0, 0, PCS!F101/Aide!C95)</f>
        <v>1.9261377400958426</v>
      </c>
      <c r="F95" s="381">
        <f>Effort!G95</f>
        <v>0</v>
      </c>
      <c r="G95" s="279">
        <f t="shared" si="4"/>
        <v>6.3464458939817288</v>
      </c>
      <c r="H95" s="159">
        <f t="shared" si="5"/>
        <v>0</v>
      </c>
      <c r="I95" s="42">
        <f t="shared" si="6"/>
        <v>0</v>
      </c>
      <c r="J95" s="29"/>
    </row>
    <row r="96" spans="1:10" x14ac:dyDescent="0.25">
      <c r="A96" s="38">
        <f>Données!A96</f>
        <v>5559</v>
      </c>
      <c r="B96" s="128" t="str">
        <f>Données!B96</f>
        <v>Giez</v>
      </c>
      <c r="C96" s="266">
        <f>VPI!R96</f>
        <v>19760.849242424243</v>
      </c>
      <c r="D96" s="148">
        <f>Effort!I96-IF(PCS!I102&lt;0, Effort!D96, 0)</f>
        <v>25.139712862972985</v>
      </c>
      <c r="E96" s="381">
        <f>IF(PCS!I102&lt;0, 0, PCS!F102/Aide!C96)</f>
        <v>3.50679538869346</v>
      </c>
      <c r="F96" s="381">
        <f>Effort!G96</f>
        <v>0</v>
      </c>
      <c r="G96" s="279">
        <f t="shared" si="4"/>
        <v>28.646508251666447</v>
      </c>
      <c r="H96" s="159">
        <f t="shared" si="5"/>
        <v>0</v>
      </c>
      <c r="I96" s="42">
        <f t="shared" si="6"/>
        <v>0</v>
      </c>
      <c r="J96" s="29"/>
    </row>
    <row r="97" spans="1:10" x14ac:dyDescent="0.25">
      <c r="A97" s="38">
        <f>Données!A97</f>
        <v>5560</v>
      </c>
      <c r="B97" s="128" t="str">
        <f>Données!B97</f>
        <v>Grandevent</v>
      </c>
      <c r="C97" s="266">
        <f>VPI!R97</f>
        <v>8048.598285714289</v>
      </c>
      <c r="D97" s="148">
        <f>Effort!I97-IF(PCS!I103&lt;0, Effort!D97, 0)</f>
        <v>17.981653612185159</v>
      </c>
      <c r="E97" s="381">
        <f>IF(PCS!I103&lt;0, 0, PCS!F103/Aide!C97)</f>
        <v>3.5503542338197365</v>
      </c>
      <c r="F97" s="381">
        <f>Effort!G97</f>
        <v>0</v>
      </c>
      <c r="G97" s="279">
        <f t="shared" si="4"/>
        <v>21.532007846004895</v>
      </c>
      <c r="H97" s="159">
        <f t="shared" si="5"/>
        <v>0</v>
      </c>
      <c r="I97" s="42">
        <f t="shared" si="6"/>
        <v>0</v>
      </c>
      <c r="J97" s="29"/>
    </row>
    <row r="98" spans="1:10" x14ac:dyDescent="0.25">
      <c r="A98" s="38">
        <f>Données!A98</f>
        <v>5561</v>
      </c>
      <c r="B98" s="128" t="str">
        <f>Données!B98</f>
        <v>Grandson</v>
      </c>
      <c r="C98" s="266">
        <f>VPI!R98</f>
        <v>179345.48057971016</v>
      </c>
      <c r="D98" s="148">
        <f>Effort!I98-IF(PCS!I104&lt;0, Effort!D98, 0)</f>
        <v>25.733440227653741</v>
      </c>
      <c r="E98" s="381">
        <f>IF(PCS!I104&lt;0, 0, PCS!F104/Aide!C98)</f>
        <v>2.834278780580028</v>
      </c>
      <c r="F98" s="381">
        <f>Effort!G98</f>
        <v>0</v>
      </c>
      <c r="G98" s="279">
        <f t="shared" si="4"/>
        <v>28.56771900823377</v>
      </c>
      <c r="H98" s="159">
        <f t="shared" si="5"/>
        <v>0</v>
      </c>
      <c r="I98" s="42">
        <f t="shared" si="6"/>
        <v>0</v>
      </c>
      <c r="J98" s="29"/>
    </row>
    <row r="99" spans="1:10" x14ac:dyDescent="0.25">
      <c r="A99" s="38">
        <f>Données!A99</f>
        <v>5562</v>
      </c>
      <c r="B99" s="128" t="str">
        <f>Données!B99</f>
        <v>Mauborget</v>
      </c>
      <c r="C99" s="266">
        <f>VPI!R99</f>
        <v>4951.6888333333327</v>
      </c>
      <c r="D99" s="148">
        <f>Effort!I99-IF(PCS!I105&lt;0, Effort!D99, 0)</f>
        <v>20.602648772331072</v>
      </c>
      <c r="E99" s="381">
        <f>IF(PCS!I105&lt;0, 0, PCS!F105/Aide!C99)</f>
        <v>8.0972838458851744</v>
      </c>
      <c r="F99" s="381">
        <f>Effort!G99</f>
        <v>0</v>
      </c>
      <c r="G99" s="279">
        <f t="shared" si="4"/>
        <v>28.699932618216245</v>
      </c>
      <c r="H99" s="159">
        <f t="shared" si="5"/>
        <v>0</v>
      </c>
      <c r="I99" s="42">
        <f t="shared" si="6"/>
        <v>0</v>
      </c>
      <c r="J99" s="29"/>
    </row>
    <row r="100" spans="1:10" x14ac:dyDescent="0.25">
      <c r="A100" s="38">
        <f>Données!A100</f>
        <v>5563</v>
      </c>
      <c r="B100" s="128" t="str">
        <f>Données!B100</f>
        <v>Mutrux</v>
      </c>
      <c r="C100" s="266">
        <f>VPI!R100</f>
        <v>2911.2397499999997</v>
      </c>
      <c r="D100" s="148">
        <f>Effort!I100-IF(PCS!I106&lt;0, Effort!D100, 0)</f>
        <v>-13.164556223566944</v>
      </c>
      <c r="E100" s="381">
        <f>IF(PCS!I106&lt;0, 0, PCS!F106/Aide!C100)</f>
        <v>3.9155655249623473</v>
      </c>
      <c r="F100" s="381">
        <f>Effort!G100</f>
        <v>0</v>
      </c>
      <c r="G100" s="279">
        <f t="shared" si="4"/>
        <v>-9.2489906986045973</v>
      </c>
      <c r="H100" s="159">
        <f t="shared" si="5"/>
        <v>-1.2489906986045973</v>
      </c>
      <c r="I100" s="42">
        <f t="shared" si="6"/>
        <v>3636.1113691579731</v>
      </c>
      <c r="J100" s="29"/>
    </row>
    <row r="101" spans="1:10" x14ac:dyDescent="0.25">
      <c r="A101" s="38">
        <f>Données!A101</f>
        <v>5564</v>
      </c>
      <c r="B101" s="128" t="str">
        <f>Données!B101</f>
        <v>Novalles</v>
      </c>
      <c r="C101" s="266">
        <f>VPI!R101</f>
        <v>2278.1877960526317</v>
      </c>
      <c r="D101" s="148">
        <f>Effort!I101-IF(PCS!I107&lt;0, Effort!D101, 0)</f>
        <v>-3.1126146824435033</v>
      </c>
      <c r="E101" s="381">
        <f>IF(PCS!I107&lt;0, 0, PCS!F107/Aide!C101)</f>
        <v>2.247773431528687</v>
      </c>
      <c r="F101" s="381">
        <f>Effort!G101</f>
        <v>0</v>
      </c>
      <c r="G101" s="279">
        <f t="shared" si="4"/>
        <v>-0.86484125091481623</v>
      </c>
      <c r="H101" s="159">
        <f t="shared" si="5"/>
        <v>0</v>
      </c>
      <c r="I101" s="42">
        <f t="shared" si="6"/>
        <v>0</v>
      </c>
      <c r="J101" s="29"/>
    </row>
    <row r="102" spans="1:10" x14ac:dyDescent="0.25">
      <c r="A102" s="38">
        <f>Données!A102</f>
        <v>5565</v>
      </c>
      <c r="B102" s="128" t="str">
        <f>Données!B102</f>
        <v>Onnens</v>
      </c>
      <c r="C102" s="266">
        <f>VPI!R102</f>
        <v>21491.927559055119</v>
      </c>
      <c r="D102" s="148">
        <f>Effort!I102-IF(PCS!I108&lt;0, Effort!D102, 0)</f>
        <v>25.384345754930031</v>
      </c>
      <c r="E102" s="381">
        <f>IF(PCS!I108&lt;0, 0, PCS!F108/Aide!C102)</f>
        <v>3.5280116123438834</v>
      </c>
      <c r="F102" s="381">
        <f>Effort!G102</f>
        <v>0</v>
      </c>
      <c r="G102" s="279">
        <f t="shared" si="4"/>
        <v>28.912357367273913</v>
      </c>
      <c r="H102" s="159">
        <f t="shared" si="5"/>
        <v>0</v>
      </c>
      <c r="I102" s="42">
        <f t="shared" si="6"/>
        <v>0</v>
      </c>
      <c r="J102" s="29"/>
    </row>
    <row r="103" spans="1:10" x14ac:dyDescent="0.25">
      <c r="A103" s="38">
        <f>Données!A103</f>
        <v>5566</v>
      </c>
      <c r="B103" s="128" t="str">
        <f>Données!B103</f>
        <v>Provence</v>
      </c>
      <c r="C103" s="266">
        <f>VPI!R103</f>
        <v>9668.921111111109</v>
      </c>
      <c r="D103" s="148">
        <f>Effort!I103-IF(PCS!I109&lt;0, Effort!D103, 0)</f>
        <v>-4.2777870671993661</v>
      </c>
      <c r="E103" s="381">
        <f>IF(PCS!I109&lt;0, 0, PCS!F109/Aide!C103)</f>
        <v>6.2859939905969071</v>
      </c>
      <c r="F103" s="381">
        <f>Effort!G103</f>
        <v>0</v>
      </c>
      <c r="G103" s="279">
        <f t="shared" si="4"/>
        <v>2.008206923397541</v>
      </c>
      <c r="H103" s="159">
        <f t="shared" si="5"/>
        <v>0</v>
      </c>
      <c r="I103" s="42">
        <f t="shared" si="6"/>
        <v>0</v>
      </c>
      <c r="J103" s="29"/>
    </row>
    <row r="104" spans="1:10" x14ac:dyDescent="0.25">
      <c r="A104" s="38">
        <f>Données!A104</f>
        <v>5568</v>
      </c>
      <c r="B104" s="128" t="str">
        <f>Données!B104</f>
        <v>Sainte-Croix</v>
      </c>
      <c r="C104" s="266">
        <f>VPI!R104</f>
        <v>108679.35057142857</v>
      </c>
      <c r="D104" s="148">
        <f>Effort!I104-IF(PCS!I110&lt;0, Effort!D104, 0)</f>
        <v>-12.5561408725858</v>
      </c>
      <c r="E104" s="381">
        <f>IF(PCS!I110&lt;0, 0, PCS!F110/Aide!C104)</f>
        <v>9.4830699629791937</v>
      </c>
      <c r="F104" s="381">
        <f>Effort!G104</f>
        <v>0</v>
      </c>
      <c r="G104" s="279">
        <f t="shared" si="4"/>
        <v>-3.0730709096066064</v>
      </c>
      <c r="H104" s="159">
        <f t="shared" si="5"/>
        <v>0</v>
      </c>
      <c r="I104" s="42">
        <f t="shared" si="6"/>
        <v>0</v>
      </c>
      <c r="J104" s="29"/>
    </row>
    <row r="105" spans="1:10" x14ac:dyDescent="0.25">
      <c r="A105" s="38">
        <f>Données!A105</f>
        <v>5571</v>
      </c>
      <c r="B105" s="128" t="str">
        <f>Données!B105</f>
        <v>Tévenon</v>
      </c>
      <c r="C105" s="266">
        <f>VPI!R105</f>
        <v>25950.769557109554</v>
      </c>
      <c r="D105" s="148">
        <f>Effort!I105-IF(PCS!I111&lt;0, Effort!D105, 0)</f>
        <v>13.160424027051478</v>
      </c>
      <c r="E105" s="381">
        <f>IF(PCS!I111&lt;0, 0, PCS!F111/Aide!C105)</f>
        <v>5.9201937985654096</v>
      </c>
      <c r="F105" s="381">
        <f>Effort!G105</f>
        <v>0</v>
      </c>
      <c r="G105" s="279">
        <f t="shared" si="4"/>
        <v>19.080617825616887</v>
      </c>
      <c r="H105" s="159">
        <f t="shared" si="5"/>
        <v>0</v>
      </c>
      <c r="I105" s="42">
        <f t="shared" si="6"/>
        <v>0</v>
      </c>
      <c r="J105" s="29"/>
    </row>
    <row r="106" spans="1:10" x14ac:dyDescent="0.25">
      <c r="A106" s="38">
        <f>Données!A106</f>
        <v>5581</v>
      </c>
      <c r="B106" s="128" t="str">
        <f>Données!B106</f>
        <v>Belmont-sur-Lausanne</v>
      </c>
      <c r="C106" s="266">
        <f>VPI!R106</f>
        <v>216786.11745370374</v>
      </c>
      <c r="D106" s="148">
        <f>Effort!I106-IF(PCS!I112&lt;0, Effort!D106, 0)</f>
        <v>26.214344942032351</v>
      </c>
      <c r="E106" s="381">
        <f>IF(PCS!I112&lt;0, 0, PCS!F112/Aide!C106)</f>
        <v>2.9301972952011428</v>
      </c>
      <c r="F106" s="381">
        <f>Effort!G106</f>
        <v>0</v>
      </c>
      <c r="G106" s="279">
        <f t="shared" si="4"/>
        <v>29.144542237233495</v>
      </c>
      <c r="H106" s="159">
        <f t="shared" si="5"/>
        <v>0</v>
      </c>
      <c r="I106" s="42">
        <f t="shared" si="6"/>
        <v>0</v>
      </c>
      <c r="J106" s="29"/>
    </row>
    <row r="107" spans="1:10" x14ac:dyDescent="0.25">
      <c r="A107" s="38">
        <f>Données!A107</f>
        <v>5582</v>
      </c>
      <c r="B107" s="128" t="str">
        <f>Données!B107</f>
        <v>Cheseaux-sur-Lausanne</v>
      </c>
      <c r="C107" s="266">
        <f>VPI!R107</f>
        <v>179452.21630136986</v>
      </c>
      <c r="D107" s="148">
        <f>Effort!I107-IF(PCS!I113&lt;0, Effort!D107, 0)</f>
        <v>13.446493085455813</v>
      </c>
      <c r="E107" s="381">
        <f>IF(PCS!I113&lt;0, 0, PCS!F113/Aide!C107)</f>
        <v>2.7689203858342482</v>
      </c>
      <c r="F107" s="381">
        <f>Effort!G107</f>
        <v>0</v>
      </c>
      <c r="G107" s="279">
        <f t="shared" si="4"/>
        <v>16.215413471290063</v>
      </c>
      <c r="H107" s="159">
        <f t="shared" si="5"/>
        <v>0</v>
      </c>
      <c r="I107" s="42">
        <f t="shared" si="6"/>
        <v>0</v>
      </c>
      <c r="J107" s="29"/>
    </row>
    <row r="108" spans="1:10" x14ac:dyDescent="0.25">
      <c r="A108" s="38">
        <f>Données!A108</f>
        <v>5583</v>
      </c>
      <c r="B108" s="128" t="str">
        <f>Données!B108</f>
        <v>Crissier</v>
      </c>
      <c r="C108" s="266">
        <f>VPI!R108</f>
        <v>371804.01181102369</v>
      </c>
      <c r="D108" s="148">
        <f>Effort!I108-IF(PCS!I114&lt;0, Effort!D108, 0)</f>
        <v>14.190642957089436</v>
      </c>
      <c r="E108" s="381">
        <f>IF(PCS!I114&lt;0, 0, PCS!F114/Aide!C108)</f>
        <v>5.5026145227283445</v>
      </c>
      <c r="F108" s="381">
        <f>Effort!G108</f>
        <v>0</v>
      </c>
      <c r="G108" s="279">
        <f t="shared" si="4"/>
        <v>19.693257479817781</v>
      </c>
      <c r="H108" s="159">
        <f t="shared" si="5"/>
        <v>0</v>
      </c>
      <c r="I108" s="42">
        <f t="shared" si="6"/>
        <v>0</v>
      </c>
      <c r="J108" s="29"/>
    </row>
    <row r="109" spans="1:10" x14ac:dyDescent="0.25">
      <c r="A109" s="38">
        <f>Données!A109</f>
        <v>5584</v>
      </c>
      <c r="B109" s="128" t="str">
        <f>Données!B109</f>
        <v>Epalinges</v>
      </c>
      <c r="C109" s="266">
        <f>VPI!R109</f>
        <v>516751.95968992251</v>
      </c>
      <c r="D109" s="148">
        <f>Effort!I109-IF(PCS!I115&lt;0, Effort!D109, 0)</f>
        <v>21.290145956397009</v>
      </c>
      <c r="E109" s="381">
        <f>IF(PCS!I115&lt;0, 0, PCS!F115/Aide!C109)</f>
        <v>3.4223646700076342</v>
      </c>
      <c r="F109" s="381">
        <f>Effort!G109</f>
        <v>0</v>
      </c>
      <c r="G109" s="279">
        <f t="shared" si="4"/>
        <v>24.712510626404644</v>
      </c>
      <c r="H109" s="159">
        <f t="shared" si="5"/>
        <v>0</v>
      </c>
      <c r="I109" s="42">
        <f t="shared" si="6"/>
        <v>0</v>
      </c>
      <c r="J109" s="29"/>
    </row>
    <row r="110" spans="1:10" x14ac:dyDescent="0.25">
      <c r="A110" s="38">
        <f>Données!A110</f>
        <v>5585</v>
      </c>
      <c r="B110" s="128" t="str">
        <f>Données!B110</f>
        <v>Jouxtens-Mézery</v>
      </c>
      <c r="C110" s="266">
        <f>VPI!R110</f>
        <v>251674.37118644069</v>
      </c>
      <c r="D110" s="148">
        <f>Effort!I110-IF(PCS!I116&lt;0, Effort!D110, 0)</f>
        <v>48.143426972233257</v>
      </c>
      <c r="E110" s="381">
        <f>IF(PCS!I116&lt;0, 0, PCS!F116/Aide!C110)</f>
        <v>1.455093195519346</v>
      </c>
      <c r="F110" s="381">
        <f>Effort!G110</f>
        <v>0</v>
      </c>
      <c r="G110" s="279">
        <f t="shared" si="4"/>
        <v>49.598520167752604</v>
      </c>
      <c r="H110" s="159">
        <f t="shared" si="5"/>
        <v>0</v>
      </c>
      <c r="I110" s="42">
        <f t="shared" si="6"/>
        <v>0</v>
      </c>
      <c r="J110" s="29"/>
    </row>
    <row r="111" spans="1:10" x14ac:dyDescent="0.25">
      <c r="A111" s="38">
        <f>Données!A111</f>
        <v>5586</v>
      </c>
      <c r="B111" s="128" t="str">
        <f>Données!B111</f>
        <v>Lausanne</v>
      </c>
      <c r="C111" s="266">
        <f>VPI!R111</f>
        <v>6915333.6485774955</v>
      </c>
      <c r="D111" s="148">
        <f>Effort!I111-IF(PCS!I117&lt;0, Effort!D111, 0)</f>
        <v>7.8815015506178643</v>
      </c>
      <c r="E111" s="381">
        <f>IF(PCS!I117&lt;0, 0, PCS!F117/Aide!C111)</f>
        <v>3.1634409020163488</v>
      </c>
      <c r="F111" s="381">
        <f>Effort!G111</f>
        <v>0</v>
      </c>
      <c r="G111" s="279">
        <f t="shared" si="4"/>
        <v>11.044942452634213</v>
      </c>
      <c r="H111" s="159">
        <f t="shared" si="5"/>
        <v>0</v>
      </c>
      <c r="I111" s="42">
        <f t="shared" si="6"/>
        <v>0</v>
      </c>
      <c r="J111" s="29"/>
    </row>
    <row r="112" spans="1:10" x14ac:dyDescent="0.25">
      <c r="A112" s="38">
        <f>Données!A112</f>
        <v>5587</v>
      </c>
      <c r="B112" s="128" t="str">
        <f>Données!B112</f>
        <v>Le Mont-sur-Lausanne</v>
      </c>
      <c r="C112" s="266">
        <f>VPI!R112</f>
        <v>490592.89707482996</v>
      </c>
      <c r="D112" s="148">
        <f>Effort!I112-IF(PCS!I118&lt;0, Effort!D112, 0)</f>
        <v>22.196973683538026</v>
      </c>
      <c r="E112" s="381">
        <f>IF(PCS!I118&lt;0, 0, PCS!F118/Aide!C112)</f>
        <v>4.6221634139438503</v>
      </c>
      <c r="F112" s="381">
        <f>Effort!G112</f>
        <v>0</v>
      </c>
      <c r="G112" s="279">
        <f t="shared" si="4"/>
        <v>26.819137097481878</v>
      </c>
      <c r="H112" s="159">
        <f t="shared" si="5"/>
        <v>0</v>
      </c>
      <c r="I112" s="42">
        <f t="shared" si="6"/>
        <v>0</v>
      </c>
      <c r="J112" s="29"/>
    </row>
    <row r="113" spans="1:10" x14ac:dyDescent="0.25">
      <c r="A113" s="38">
        <f>Données!A113</f>
        <v>5588</v>
      </c>
      <c r="B113" s="128" t="str">
        <f>Données!B113</f>
        <v>Paudex</v>
      </c>
      <c r="C113" s="266">
        <f>VPI!R113</f>
        <v>123433.64683136411</v>
      </c>
      <c r="D113" s="148">
        <f>Effort!I113-IF(PCS!I119&lt;0, Effort!D113, 0)</f>
        <v>35.450771267018098</v>
      </c>
      <c r="E113" s="381">
        <f>IF(PCS!I119&lt;0, 0, PCS!F119/Aide!C113)</f>
        <v>2.4851352761138381</v>
      </c>
      <c r="F113" s="381">
        <f>Effort!G113</f>
        <v>0</v>
      </c>
      <c r="G113" s="279">
        <f t="shared" si="4"/>
        <v>37.935906543131935</v>
      </c>
      <c r="H113" s="159">
        <f t="shared" si="5"/>
        <v>0</v>
      </c>
      <c r="I113" s="42">
        <f t="shared" si="6"/>
        <v>0</v>
      </c>
      <c r="J113" s="29"/>
    </row>
    <row r="114" spans="1:10" x14ac:dyDescent="0.25">
      <c r="A114" s="38">
        <f>Données!A114</f>
        <v>5589</v>
      </c>
      <c r="B114" s="128" t="str">
        <f>Données!B114</f>
        <v>Prilly</v>
      </c>
      <c r="C114" s="266">
        <f>VPI!R114</f>
        <v>450278.56075331569</v>
      </c>
      <c r="D114" s="148">
        <f>Effort!I114-IF(PCS!I120&lt;0, Effort!D114, 0)</f>
        <v>6.2743077315494986</v>
      </c>
      <c r="E114" s="381">
        <f>IF(PCS!I120&lt;0, 0, PCS!F120/Aide!C114)</f>
        <v>4.4693700087189434</v>
      </c>
      <c r="F114" s="381">
        <f>Effort!G114</f>
        <v>0</v>
      </c>
      <c r="G114" s="279">
        <f t="shared" si="4"/>
        <v>10.743677740268442</v>
      </c>
      <c r="H114" s="159">
        <f t="shared" si="5"/>
        <v>0</v>
      </c>
      <c r="I114" s="42">
        <f t="shared" si="6"/>
        <v>0</v>
      </c>
      <c r="J114" s="29"/>
    </row>
    <row r="115" spans="1:10" x14ac:dyDescent="0.25">
      <c r="A115" s="38">
        <f>Données!A115</f>
        <v>5590</v>
      </c>
      <c r="B115" s="128" t="str">
        <f>Données!B115</f>
        <v>Pully</v>
      </c>
      <c r="C115" s="266">
        <f>VPI!R115</f>
        <v>1605465.5341920371</v>
      </c>
      <c r="D115" s="148">
        <f>Effort!I115-IF(PCS!I121&lt;0, Effort!D115, 0)</f>
        <v>28.792754379487818</v>
      </c>
      <c r="E115" s="381">
        <f>IF(PCS!I121&lt;0, 0, PCS!F121/Aide!C115)</f>
        <v>3.4289909890656713</v>
      </c>
      <c r="F115" s="381">
        <f>Effort!G115</f>
        <v>0</v>
      </c>
      <c r="G115" s="279">
        <f t="shared" si="4"/>
        <v>32.221745368553492</v>
      </c>
      <c r="H115" s="159">
        <f t="shared" si="5"/>
        <v>0</v>
      </c>
      <c r="I115" s="42">
        <f t="shared" si="6"/>
        <v>0</v>
      </c>
      <c r="J115" s="29"/>
    </row>
    <row r="116" spans="1:10" x14ac:dyDescent="0.25">
      <c r="A116" s="38">
        <f>Données!A116</f>
        <v>5591</v>
      </c>
      <c r="B116" s="128" t="str">
        <f>Données!B116</f>
        <v>Renens</v>
      </c>
      <c r="C116" s="266">
        <f>VPI!R116</f>
        <v>640589.63196660485</v>
      </c>
      <c r="D116" s="148">
        <f>Effort!I116-IF(PCS!I122&lt;0, Effort!D116, 0)</f>
        <v>-11.923790707412575</v>
      </c>
      <c r="E116" s="381">
        <f>IF(PCS!I122&lt;0, 0, PCS!F122/Aide!C116)</f>
        <v>5.4924274987070358</v>
      </c>
      <c r="F116" s="381">
        <f>Effort!G116</f>
        <v>0</v>
      </c>
      <c r="G116" s="279">
        <f t="shared" si="4"/>
        <v>-6.4313632087055392</v>
      </c>
      <c r="H116" s="159">
        <f t="shared" si="5"/>
        <v>0</v>
      </c>
      <c r="I116" s="42">
        <f t="shared" si="6"/>
        <v>0</v>
      </c>
      <c r="J116" s="29"/>
    </row>
    <row r="117" spans="1:10" x14ac:dyDescent="0.25">
      <c r="A117" s="38">
        <f>Données!A117</f>
        <v>5592</v>
      </c>
      <c r="B117" s="128" t="str">
        <f>Données!B117</f>
        <v>Romanel-sur-Lausanne</v>
      </c>
      <c r="C117" s="266">
        <f>VPI!R117</f>
        <v>135992.91645390069</v>
      </c>
      <c r="D117" s="148">
        <f>Effort!I117-IF(PCS!I123&lt;0, Effort!D117, 0)</f>
        <v>11.61321065426719</v>
      </c>
      <c r="E117" s="381">
        <f>IF(PCS!I123&lt;0, 0, PCS!F123/Aide!C117)</f>
        <v>3.8451255670897946</v>
      </c>
      <c r="F117" s="381">
        <f>Effort!G117</f>
        <v>0</v>
      </c>
      <c r="G117" s="279">
        <f t="shared" si="4"/>
        <v>15.458336221356985</v>
      </c>
      <c r="H117" s="159">
        <f t="shared" si="5"/>
        <v>0</v>
      </c>
      <c r="I117" s="42">
        <f t="shared" si="6"/>
        <v>0</v>
      </c>
      <c r="J117" s="29"/>
    </row>
    <row r="118" spans="1:10" x14ac:dyDescent="0.25">
      <c r="A118" s="38">
        <f>Données!A118</f>
        <v>5601</v>
      </c>
      <c r="B118" s="128" t="str">
        <f>Données!B118</f>
        <v>Chexbres</v>
      </c>
      <c r="C118" s="266">
        <f>VPI!R118</f>
        <v>102021.70311111111</v>
      </c>
      <c r="D118" s="148">
        <f>Effort!I118-IF(PCS!I124&lt;0, Effort!D118, 0)</f>
        <v>23.586695241959688</v>
      </c>
      <c r="E118" s="381">
        <f>IF(PCS!I124&lt;0, 0, PCS!F124/Aide!C118)</f>
        <v>2.2016156185451643</v>
      </c>
      <c r="F118" s="381">
        <f>Effort!G118</f>
        <v>0</v>
      </c>
      <c r="G118" s="279">
        <f t="shared" si="4"/>
        <v>25.788310860504854</v>
      </c>
      <c r="H118" s="159">
        <f t="shared" si="5"/>
        <v>0</v>
      </c>
      <c r="I118" s="42">
        <f t="shared" si="6"/>
        <v>0</v>
      </c>
      <c r="J118" s="29"/>
    </row>
    <row r="119" spans="1:10" x14ac:dyDescent="0.25">
      <c r="A119" s="38">
        <f>Données!A119</f>
        <v>5604</v>
      </c>
      <c r="B119" s="128" t="str">
        <f>Données!B119</f>
        <v>Forel (Lavaux)</v>
      </c>
      <c r="C119" s="266">
        <f>VPI!R119</f>
        <v>75702.239275362328</v>
      </c>
      <c r="D119" s="148">
        <f>Effort!I119-IF(PCS!I125&lt;0, Effort!D119, 0)</f>
        <v>17.185354836671927</v>
      </c>
      <c r="E119" s="381">
        <f>IF(PCS!I125&lt;0, 0, PCS!F125/Aide!C119)</f>
        <v>2.5987056246039746</v>
      </c>
      <c r="F119" s="381">
        <f>Effort!G119</f>
        <v>0</v>
      </c>
      <c r="G119" s="279">
        <f t="shared" si="4"/>
        <v>19.784060461275899</v>
      </c>
      <c r="H119" s="159">
        <f t="shared" si="5"/>
        <v>0</v>
      </c>
      <c r="I119" s="42">
        <f t="shared" si="6"/>
        <v>0</v>
      </c>
      <c r="J119" s="29"/>
    </row>
    <row r="120" spans="1:10" x14ac:dyDescent="0.25">
      <c r="A120" s="38">
        <f>Données!A120</f>
        <v>5606</v>
      </c>
      <c r="B120" s="128" t="str">
        <f>Données!B120</f>
        <v>Lutry</v>
      </c>
      <c r="C120" s="266">
        <f>VPI!R120</f>
        <v>997292.15626984113</v>
      </c>
      <c r="D120" s="148">
        <f>Effort!I120-IF(PCS!I126&lt;0, Effort!D120, 0)</f>
        <v>32.735325938335322</v>
      </c>
      <c r="E120" s="381">
        <f>IF(PCS!I126&lt;0, 0, PCS!F126/Aide!C120)</f>
        <v>4.3076097490509389</v>
      </c>
      <c r="F120" s="381">
        <f>Effort!G120</f>
        <v>0</v>
      </c>
      <c r="G120" s="279">
        <f t="shared" si="4"/>
        <v>37.042935687386262</v>
      </c>
      <c r="H120" s="159">
        <f t="shared" si="5"/>
        <v>0</v>
      </c>
      <c r="I120" s="42">
        <f t="shared" si="6"/>
        <v>0</v>
      </c>
      <c r="J120" s="29"/>
    </row>
    <row r="121" spans="1:10" x14ac:dyDescent="0.25">
      <c r="A121" s="38">
        <f>Données!A121</f>
        <v>5607</v>
      </c>
      <c r="B121" s="128" t="str">
        <f>Données!B121</f>
        <v>Puidoux</v>
      </c>
      <c r="C121" s="266">
        <f>VPI!R121</f>
        <v>134658.72766105999</v>
      </c>
      <c r="D121" s="148">
        <f>Effort!I121-IF(PCS!I127&lt;0, Effort!D121, 0)</f>
        <v>22.308295883320433</v>
      </c>
      <c r="E121" s="381">
        <f>IF(PCS!I127&lt;0, 0, PCS!F127/Aide!C121)</f>
        <v>4.7779561427272688</v>
      </c>
      <c r="F121" s="381">
        <f>Effort!G121</f>
        <v>0</v>
      </c>
      <c r="G121" s="279">
        <f t="shared" si="4"/>
        <v>27.086252026047703</v>
      </c>
      <c r="H121" s="159">
        <f t="shared" si="5"/>
        <v>0</v>
      </c>
      <c r="I121" s="42">
        <f t="shared" si="6"/>
        <v>0</v>
      </c>
      <c r="J121" s="29"/>
    </row>
    <row r="122" spans="1:10" x14ac:dyDescent="0.25">
      <c r="A122" s="38">
        <f>Données!A122</f>
        <v>5609</v>
      </c>
      <c r="B122" s="128" t="str">
        <f>Données!B122</f>
        <v>Rivaz</v>
      </c>
      <c r="C122" s="266">
        <f>VPI!R122</f>
        <v>13979.892580645163</v>
      </c>
      <c r="D122" s="148">
        <f>Effort!I122-IF(PCS!I128&lt;0, Effort!D122, 0)</f>
        <v>25.362611749128746</v>
      </c>
      <c r="E122" s="381">
        <f>IF(PCS!I128&lt;0, 0, PCS!F128/Aide!C122)</f>
        <v>0.57759563983912654</v>
      </c>
      <c r="F122" s="381">
        <f>Effort!G122</f>
        <v>0</v>
      </c>
      <c r="G122" s="279">
        <f t="shared" si="4"/>
        <v>25.940207388967874</v>
      </c>
      <c r="H122" s="159">
        <f t="shared" si="5"/>
        <v>0</v>
      </c>
      <c r="I122" s="42">
        <f t="shared" si="6"/>
        <v>0</v>
      </c>
      <c r="J122" s="29"/>
    </row>
    <row r="123" spans="1:10" x14ac:dyDescent="0.25">
      <c r="A123" s="38">
        <f>Données!A123</f>
        <v>5610</v>
      </c>
      <c r="B123" s="128" t="str">
        <f>Données!B123</f>
        <v>St-Saphorin (Lavaux)</v>
      </c>
      <c r="C123" s="266">
        <f>VPI!R123</f>
        <v>19286.757384259257</v>
      </c>
      <c r="D123" s="148">
        <f>Effort!I123-IF(PCS!I129&lt;0, Effort!D123, 0)</f>
        <v>28.060921560320121</v>
      </c>
      <c r="E123" s="381">
        <f>IF(PCS!I129&lt;0, 0, PCS!F129/Aide!C123)</f>
        <v>1.0066959216195741</v>
      </c>
      <c r="F123" s="381">
        <f>Effort!G123</f>
        <v>0</v>
      </c>
      <c r="G123" s="279">
        <f t="shared" si="4"/>
        <v>29.067617481939696</v>
      </c>
      <c r="H123" s="159">
        <f t="shared" si="5"/>
        <v>0</v>
      </c>
      <c r="I123" s="42">
        <f t="shared" si="6"/>
        <v>0</v>
      </c>
      <c r="J123" s="29"/>
    </row>
    <row r="124" spans="1:10" x14ac:dyDescent="0.25">
      <c r="A124" s="38">
        <f>Données!A124</f>
        <v>5611</v>
      </c>
      <c r="B124" s="128" t="str">
        <f>Données!B124</f>
        <v>Savigny</v>
      </c>
      <c r="C124" s="266">
        <f>VPI!R124</f>
        <v>143902.95567632848</v>
      </c>
      <c r="D124" s="148">
        <f>Effort!I124-IF(PCS!I130&lt;0, Effort!D124, 0)</f>
        <v>19.607350167848235</v>
      </c>
      <c r="E124" s="381">
        <f>IF(PCS!I130&lt;0, 0, PCS!F130/Aide!C124)</f>
        <v>5.0826536297496929</v>
      </c>
      <c r="F124" s="381">
        <f>Effort!G124</f>
        <v>0</v>
      </c>
      <c r="G124" s="279">
        <f t="shared" si="4"/>
        <v>24.690003797597928</v>
      </c>
      <c r="H124" s="159">
        <f t="shared" si="5"/>
        <v>0</v>
      </c>
      <c r="I124" s="42">
        <f t="shared" si="6"/>
        <v>0</v>
      </c>
      <c r="J124" s="29"/>
    </row>
    <row r="125" spans="1:10" x14ac:dyDescent="0.25">
      <c r="A125" s="38">
        <f>Données!A125</f>
        <v>5613</v>
      </c>
      <c r="B125" s="128" t="str">
        <f>Données!B125</f>
        <v>Bourg-en-Lavaux</v>
      </c>
      <c r="C125" s="266">
        <f>VPI!R125</f>
        <v>363833.56800000003</v>
      </c>
      <c r="D125" s="148">
        <f>Effort!I125-IF(PCS!I131&lt;0, Effort!D125, 0)</f>
        <v>28.839758681989821</v>
      </c>
      <c r="E125" s="381">
        <f>IF(PCS!I131&lt;0, 0, PCS!F131/Aide!C125)</f>
        <v>3.5918960204353652</v>
      </c>
      <c r="F125" s="381">
        <f>Effort!G125</f>
        <v>0</v>
      </c>
      <c r="G125" s="279">
        <f t="shared" si="4"/>
        <v>32.431654702425185</v>
      </c>
      <c r="H125" s="159">
        <f t="shared" si="5"/>
        <v>0</v>
      </c>
      <c r="I125" s="42">
        <f t="shared" si="6"/>
        <v>0</v>
      </c>
      <c r="J125" s="29"/>
    </row>
    <row r="126" spans="1:10" x14ac:dyDescent="0.25">
      <c r="A126" s="38">
        <f>Données!A126</f>
        <v>5621</v>
      </c>
      <c r="B126" s="128" t="str">
        <f>Données!B126</f>
        <v>Aclens</v>
      </c>
      <c r="C126" s="266">
        <f>VPI!R126</f>
        <v>33787.730043988267</v>
      </c>
      <c r="D126" s="148">
        <f>Effort!I126-IF(PCS!I132&lt;0, Effort!D126, 0)</f>
        <v>30.440327589167602</v>
      </c>
      <c r="E126" s="381">
        <f>IF(PCS!I132&lt;0, 0, PCS!F132/Aide!C126)</f>
        <v>6.0756665136350367</v>
      </c>
      <c r="F126" s="381">
        <f>Effort!G126</f>
        <v>0</v>
      </c>
      <c r="G126" s="279">
        <f t="shared" si="4"/>
        <v>36.515994102802637</v>
      </c>
      <c r="H126" s="159">
        <f t="shared" si="5"/>
        <v>0</v>
      </c>
      <c r="I126" s="42">
        <f t="shared" si="6"/>
        <v>0</v>
      </c>
      <c r="J126" s="29"/>
    </row>
    <row r="127" spans="1:10" x14ac:dyDescent="0.25">
      <c r="A127" s="38">
        <f>Données!A127</f>
        <v>5622</v>
      </c>
      <c r="B127" s="128" t="str">
        <f>Données!B127</f>
        <v>Bremblens</v>
      </c>
      <c r="C127" s="266">
        <f>VPI!R127</f>
        <v>29905.330441176469</v>
      </c>
      <c r="D127" s="148">
        <f>Effort!I127-IF(PCS!I133&lt;0, Effort!D127, 0)</f>
        <v>27.796928167410428</v>
      </c>
      <c r="E127" s="381">
        <f>IF(PCS!I133&lt;0, 0, PCS!F133/Aide!C127)</f>
        <v>2.031474626889628</v>
      </c>
      <c r="F127" s="381">
        <f>Effort!G127</f>
        <v>0</v>
      </c>
      <c r="G127" s="279">
        <f t="shared" si="4"/>
        <v>29.828402794300057</v>
      </c>
      <c r="H127" s="159">
        <f t="shared" si="5"/>
        <v>0</v>
      </c>
      <c r="I127" s="42">
        <f t="shared" si="6"/>
        <v>0</v>
      </c>
      <c r="J127" s="29"/>
    </row>
    <row r="128" spans="1:10" x14ac:dyDescent="0.25">
      <c r="A128" s="38">
        <f>Données!A128</f>
        <v>5623</v>
      </c>
      <c r="B128" s="128" t="str">
        <f>Données!B128</f>
        <v>Buchillon</v>
      </c>
      <c r="C128" s="266">
        <f>VPI!R128</f>
        <v>94247.214615384597</v>
      </c>
      <c r="D128" s="148">
        <f>Effort!I128-IF(PCS!I134&lt;0, Effort!D128, 0)</f>
        <v>43.25881160296592</v>
      </c>
      <c r="E128" s="381">
        <f>IF(PCS!I134&lt;0, 0, PCS!F134/Aide!C128)</f>
        <v>1.3049067338688705</v>
      </c>
      <c r="F128" s="381">
        <f>Effort!G128</f>
        <v>0</v>
      </c>
      <c r="G128" s="279">
        <f t="shared" si="4"/>
        <v>44.563718336834789</v>
      </c>
      <c r="H128" s="159">
        <f t="shared" si="5"/>
        <v>0</v>
      </c>
      <c r="I128" s="42">
        <f t="shared" si="6"/>
        <v>0</v>
      </c>
      <c r="J128" s="29"/>
    </row>
    <row r="129" spans="1:10" x14ac:dyDescent="0.25">
      <c r="A129" s="38">
        <f>Données!A129</f>
        <v>5624</v>
      </c>
      <c r="B129" s="128" t="str">
        <f>Données!B129</f>
        <v>Bussigny</v>
      </c>
      <c r="C129" s="266">
        <f>VPI!R129</f>
        <v>412146.03071999998</v>
      </c>
      <c r="D129" s="148">
        <f>Effort!I129-IF(PCS!I135&lt;0, Effort!D129, 0)</f>
        <v>12.130596128232257</v>
      </c>
      <c r="E129" s="381">
        <f>IF(PCS!I135&lt;0, 0, PCS!F135/Aide!C129)</f>
        <v>4.0697040247356338</v>
      </c>
      <c r="F129" s="381">
        <f>Effort!G129</f>
        <v>0</v>
      </c>
      <c r="G129" s="279">
        <f t="shared" si="4"/>
        <v>16.200300152967891</v>
      </c>
      <c r="H129" s="159">
        <f t="shared" si="5"/>
        <v>0</v>
      </c>
      <c r="I129" s="42">
        <f t="shared" si="6"/>
        <v>0</v>
      </c>
      <c r="J129" s="29"/>
    </row>
    <row r="130" spans="1:10" x14ac:dyDescent="0.25">
      <c r="A130" s="38">
        <f>Données!A130</f>
        <v>5627</v>
      </c>
      <c r="B130" s="128" t="str">
        <f>Données!B130</f>
        <v>Chavannes-près-Renens</v>
      </c>
      <c r="C130" s="266">
        <f>VPI!R130</f>
        <v>197756.36438709678</v>
      </c>
      <c r="D130" s="148">
        <f>Effort!I130-IF(PCS!I136&lt;0, Effort!D130, 0)</f>
        <v>-25.19240209842447</v>
      </c>
      <c r="E130" s="381">
        <f>IF(PCS!I136&lt;0, 0, PCS!F136/Aide!C130)</f>
        <v>2.4600745291196451</v>
      </c>
      <c r="F130" s="381">
        <f>Effort!G130</f>
        <v>0</v>
      </c>
      <c r="G130" s="279">
        <f t="shared" si="4"/>
        <v>-22.732327569304825</v>
      </c>
      <c r="H130" s="159">
        <f t="shared" si="5"/>
        <v>-14.732327569304825</v>
      </c>
      <c r="I130" s="42">
        <f t="shared" si="6"/>
        <v>2913411.539065517</v>
      </c>
      <c r="J130" s="29"/>
    </row>
    <row r="131" spans="1:10" x14ac:dyDescent="0.25">
      <c r="A131" s="38">
        <f>Données!A131</f>
        <v>5628</v>
      </c>
      <c r="B131" s="128" t="str">
        <f>Données!B131</f>
        <v>Chigny</v>
      </c>
      <c r="C131" s="266">
        <f>VPI!R131</f>
        <v>29701.321935483869</v>
      </c>
      <c r="D131" s="148">
        <f>Effort!I131-IF(PCS!I137&lt;0, Effort!D131, 0)</f>
        <v>33.57000434477311</v>
      </c>
      <c r="E131" s="381">
        <f>IF(PCS!I137&lt;0, 0, PCS!F137/Aide!C131)</f>
        <v>2.9478285576036813</v>
      </c>
      <c r="F131" s="381">
        <f>Effort!G131</f>
        <v>0</v>
      </c>
      <c r="G131" s="279">
        <f t="shared" si="4"/>
        <v>36.517832902376789</v>
      </c>
      <c r="H131" s="159">
        <f t="shared" si="5"/>
        <v>0</v>
      </c>
      <c r="I131" s="42">
        <f t="shared" si="6"/>
        <v>0</v>
      </c>
      <c r="J131" s="29"/>
    </row>
    <row r="132" spans="1:10" x14ac:dyDescent="0.25">
      <c r="A132" s="38">
        <f>Données!A132</f>
        <v>5629</v>
      </c>
      <c r="B132" s="128" t="str">
        <f>Données!B132</f>
        <v>Clarmont</v>
      </c>
      <c r="C132" s="266">
        <f>VPI!R132</f>
        <v>11214.945694444446</v>
      </c>
      <c r="D132" s="148">
        <f>Effort!I132-IF(PCS!I138&lt;0, Effort!D132, 0)</f>
        <v>28.70657516261441</v>
      </c>
      <c r="E132" s="381">
        <f>IF(PCS!I138&lt;0, 0, PCS!F138/Aide!C132)</f>
        <v>1.6874490983380075</v>
      </c>
      <c r="F132" s="381">
        <f>Effort!G132</f>
        <v>0</v>
      </c>
      <c r="G132" s="279">
        <f t="shared" si="4"/>
        <v>30.394024260952417</v>
      </c>
      <c r="H132" s="159">
        <f t="shared" si="5"/>
        <v>0</v>
      </c>
      <c r="I132" s="42">
        <f t="shared" si="6"/>
        <v>0</v>
      </c>
      <c r="J132" s="29"/>
    </row>
    <row r="133" spans="1:10" x14ac:dyDescent="0.25">
      <c r="A133" s="38">
        <f>Données!A133</f>
        <v>5631</v>
      </c>
      <c r="B133" s="128" t="str">
        <f>Données!B133</f>
        <v>Denens</v>
      </c>
      <c r="C133" s="266">
        <f>VPI!R133</f>
        <v>47500.25692307693</v>
      </c>
      <c r="D133" s="148">
        <f>Effort!I133-IF(PCS!I139&lt;0, Effort!D133, 0)</f>
        <v>32.156606129281371</v>
      </c>
      <c r="E133" s="381">
        <f>IF(PCS!I139&lt;0, 0, PCS!F139/Aide!C133)</f>
        <v>3.4392487658447317</v>
      </c>
      <c r="F133" s="381">
        <f>Effort!G133</f>
        <v>0</v>
      </c>
      <c r="G133" s="279">
        <f t="shared" si="4"/>
        <v>35.595854895126102</v>
      </c>
      <c r="H133" s="159">
        <f t="shared" si="5"/>
        <v>0</v>
      </c>
      <c r="I133" s="42">
        <f t="shared" si="6"/>
        <v>0</v>
      </c>
      <c r="J133" s="29"/>
    </row>
    <row r="134" spans="1:10" x14ac:dyDescent="0.25">
      <c r="A134" s="38">
        <f>Données!A134</f>
        <v>5632</v>
      </c>
      <c r="B134" s="128" t="str">
        <f>Données!B134</f>
        <v>Denges</v>
      </c>
      <c r="C134" s="266">
        <f>VPI!R134</f>
        <v>89815.216612903241</v>
      </c>
      <c r="D134" s="148">
        <f>Effort!I134-IF(PCS!I140&lt;0, Effort!D134, 0)</f>
        <v>25.915430151030343</v>
      </c>
      <c r="E134" s="381">
        <f>IF(PCS!I140&lt;0, 0, PCS!F140/Aide!C134)</f>
        <v>2.9107080610485601</v>
      </c>
      <c r="F134" s="381">
        <f>Effort!G134</f>
        <v>0</v>
      </c>
      <c r="G134" s="279">
        <f t="shared" si="4"/>
        <v>28.826138212078902</v>
      </c>
      <c r="H134" s="159">
        <f t="shared" si="5"/>
        <v>0</v>
      </c>
      <c r="I134" s="42">
        <f t="shared" si="6"/>
        <v>0</v>
      </c>
      <c r="J134" s="29"/>
    </row>
    <row r="135" spans="1:10" x14ac:dyDescent="0.25">
      <c r="A135" s="38">
        <f>Données!A135</f>
        <v>5633</v>
      </c>
      <c r="B135" s="128" t="str">
        <f>Données!B135</f>
        <v>Echandens</v>
      </c>
      <c r="C135" s="266">
        <f>VPI!R135</f>
        <v>146616.96727272726</v>
      </c>
      <c r="D135" s="148">
        <f>Effort!I135-IF(PCS!I141&lt;0, Effort!D135, 0)</f>
        <v>25.318790778261736</v>
      </c>
      <c r="E135" s="381">
        <f>IF(PCS!I141&lt;0, 0, PCS!F141/Aide!C135)</f>
        <v>4.2938950157722049</v>
      </c>
      <c r="F135" s="381">
        <f>Effort!G135</f>
        <v>0</v>
      </c>
      <c r="G135" s="279">
        <f t="shared" ref="G135:G198" si="7">D135+E135-F135</f>
        <v>29.61268579403394</v>
      </c>
      <c r="H135" s="159">
        <f t="shared" ref="H135:H198" si="8">IF(G135&lt;H$5,G135-H$5,0)</f>
        <v>0</v>
      </c>
      <c r="I135" s="42">
        <f t="shared" ref="I135:I198" si="9">-H135*C135</f>
        <v>0</v>
      </c>
      <c r="J135" s="29"/>
    </row>
    <row r="136" spans="1:10" x14ac:dyDescent="0.25">
      <c r="A136" s="38">
        <f>Données!A136</f>
        <v>5634</v>
      </c>
      <c r="B136" s="128" t="str">
        <f>Données!B136</f>
        <v>Echichens</v>
      </c>
      <c r="C136" s="266">
        <f>VPI!R136</f>
        <v>181424.03242424241</v>
      </c>
      <c r="D136" s="148">
        <f>Effort!I136-IF(PCS!I142&lt;0, Effort!D136, 0)</f>
        <v>27.233689911361083</v>
      </c>
      <c r="E136" s="381">
        <f>IF(PCS!I142&lt;0, 0, PCS!F142/Aide!C136)</f>
        <v>4.3547036985295868</v>
      </c>
      <c r="F136" s="381">
        <f>Effort!G136</f>
        <v>0</v>
      </c>
      <c r="G136" s="279">
        <f t="shared" si="7"/>
        <v>31.588393609890669</v>
      </c>
      <c r="H136" s="159">
        <f t="shared" si="8"/>
        <v>0</v>
      </c>
      <c r="I136" s="42">
        <f t="shared" si="9"/>
        <v>0</v>
      </c>
      <c r="J136" s="29"/>
    </row>
    <row r="137" spans="1:10" x14ac:dyDescent="0.25">
      <c r="A137" s="38">
        <f>Données!A137</f>
        <v>5635</v>
      </c>
      <c r="B137" s="128" t="str">
        <f>Données!B137</f>
        <v>Ecublens</v>
      </c>
      <c r="C137" s="266">
        <f>VPI!R137</f>
        <v>505560.77512000001</v>
      </c>
      <c r="D137" s="148">
        <f>Effort!I137-IF(PCS!I143&lt;0, Effort!D137, 0)</f>
        <v>9.1950444522575481</v>
      </c>
      <c r="E137" s="381">
        <f>IF(PCS!I143&lt;0, 0, PCS!F143/Aide!C137)</f>
        <v>5.5082977893983252</v>
      </c>
      <c r="F137" s="381">
        <f>Effort!G137</f>
        <v>0</v>
      </c>
      <c r="G137" s="279">
        <f t="shared" si="7"/>
        <v>14.703342241655873</v>
      </c>
      <c r="H137" s="159">
        <f t="shared" si="8"/>
        <v>0</v>
      </c>
      <c r="I137" s="42">
        <f t="shared" si="9"/>
        <v>0</v>
      </c>
      <c r="J137" s="29"/>
    </row>
    <row r="138" spans="1:10" x14ac:dyDescent="0.25">
      <c r="A138" s="38">
        <f>Données!A138</f>
        <v>5636</v>
      </c>
      <c r="B138" s="128" t="str">
        <f>Données!B138</f>
        <v>Etoy</v>
      </c>
      <c r="C138" s="266">
        <f>VPI!R138</f>
        <v>236704.12550000002</v>
      </c>
      <c r="D138" s="148">
        <f>Effort!I138-IF(PCS!I144&lt;0, Effort!D138, 0)</f>
        <v>34.036782633252514</v>
      </c>
      <c r="E138" s="381">
        <f>IF(PCS!I144&lt;0, 0, PCS!F144/Aide!C138)</f>
        <v>4.5678867561604868</v>
      </c>
      <c r="F138" s="381">
        <f>Effort!G138</f>
        <v>0</v>
      </c>
      <c r="G138" s="279">
        <f t="shared" si="7"/>
        <v>38.604669389413004</v>
      </c>
      <c r="H138" s="159">
        <f t="shared" si="8"/>
        <v>0</v>
      </c>
      <c r="I138" s="42">
        <f t="shared" si="9"/>
        <v>0</v>
      </c>
      <c r="J138" s="29"/>
    </row>
    <row r="139" spans="1:10" x14ac:dyDescent="0.25">
      <c r="A139" s="38">
        <f>Données!A139</f>
        <v>5637</v>
      </c>
      <c r="B139" s="128" t="str">
        <f>Données!B139</f>
        <v>Lavigny</v>
      </c>
      <c r="C139" s="266">
        <f>VPI!R139</f>
        <v>38282.802876712332</v>
      </c>
      <c r="D139" s="148">
        <f>Effort!I139-IF(PCS!I145&lt;0, Effort!D139, 0)</f>
        <v>19.206944187134457</v>
      </c>
      <c r="E139" s="381">
        <f>IF(PCS!I145&lt;0, 0, PCS!F145/Aide!C139)</f>
        <v>4.8369600991948669</v>
      </c>
      <c r="F139" s="381">
        <f>Effort!G139</f>
        <v>0</v>
      </c>
      <c r="G139" s="279">
        <f t="shared" si="7"/>
        <v>24.043904286329322</v>
      </c>
      <c r="H139" s="159">
        <f t="shared" si="8"/>
        <v>0</v>
      </c>
      <c r="I139" s="42">
        <f t="shared" si="9"/>
        <v>0</v>
      </c>
      <c r="J139" s="29"/>
    </row>
    <row r="140" spans="1:10" x14ac:dyDescent="0.25">
      <c r="A140" s="38">
        <f>Données!A140</f>
        <v>5638</v>
      </c>
      <c r="B140" s="128" t="str">
        <f>Données!B140</f>
        <v>Lonay</v>
      </c>
      <c r="C140" s="266">
        <f>VPI!R140</f>
        <v>168507.09218181815</v>
      </c>
      <c r="D140" s="148">
        <f>Effort!I140-IF(PCS!I146&lt;0, Effort!D140, 0)</f>
        <v>28.895761061118581</v>
      </c>
      <c r="E140" s="381">
        <f>IF(PCS!I146&lt;0, 0, PCS!F146/Aide!C140)</f>
        <v>35.252978097743025</v>
      </c>
      <c r="F140" s="381">
        <f>Effort!G140</f>
        <v>0</v>
      </c>
      <c r="G140" s="279">
        <f t="shared" si="7"/>
        <v>64.148739158861602</v>
      </c>
      <c r="H140" s="159">
        <f t="shared" si="8"/>
        <v>0</v>
      </c>
      <c r="I140" s="42">
        <f t="shared" si="9"/>
        <v>0</v>
      </c>
      <c r="J140" s="29"/>
    </row>
    <row r="141" spans="1:10" x14ac:dyDescent="0.25">
      <c r="A141" s="38">
        <f>Données!A141</f>
        <v>5639</v>
      </c>
      <c r="B141" s="128" t="str">
        <f>Données!B141</f>
        <v>Lully</v>
      </c>
      <c r="C141" s="266">
        <f>VPI!R141</f>
        <v>50946.176393442627</v>
      </c>
      <c r="D141" s="148">
        <f>Effort!I141-IF(PCS!I147&lt;0, Effort!D141, 0)</f>
        <v>31.145429137425438</v>
      </c>
      <c r="E141" s="381">
        <f>IF(PCS!I147&lt;0, 0, PCS!F147/Aide!C141)</f>
        <v>5.1789082847434269</v>
      </c>
      <c r="F141" s="381">
        <f>Effort!G141</f>
        <v>0</v>
      </c>
      <c r="G141" s="279">
        <f t="shared" si="7"/>
        <v>36.324337422168867</v>
      </c>
      <c r="H141" s="159">
        <f t="shared" si="8"/>
        <v>0</v>
      </c>
      <c r="I141" s="42">
        <f t="shared" si="9"/>
        <v>0</v>
      </c>
      <c r="J141" s="29"/>
    </row>
    <row r="142" spans="1:10" x14ac:dyDescent="0.25">
      <c r="A142" s="38">
        <f>Données!A142</f>
        <v>5640</v>
      </c>
      <c r="B142" s="128" t="str">
        <f>Données!B142</f>
        <v>Lussy-sur-Morges</v>
      </c>
      <c r="C142" s="266">
        <f>VPI!R142</f>
        <v>53692.239837398381</v>
      </c>
      <c r="D142" s="148">
        <f>Effort!I142-IF(PCS!I148&lt;0, Effort!D142, 0)</f>
        <v>34.167392922721184</v>
      </c>
      <c r="E142" s="381">
        <f>IF(PCS!I148&lt;0, 0, PCS!F148/Aide!C142)</f>
        <v>2.036294543328883</v>
      </c>
      <c r="F142" s="381">
        <f>Effort!G142</f>
        <v>0</v>
      </c>
      <c r="G142" s="279">
        <f t="shared" si="7"/>
        <v>36.20368746605007</v>
      </c>
      <c r="H142" s="159">
        <f t="shared" si="8"/>
        <v>0</v>
      </c>
      <c r="I142" s="42">
        <f t="shared" si="9"/>
        <v>0</v>
      </c>
      <c r="J142" s="29"/>
    </row>
    <row r="143" spans="1:10" x14ac:dyDescent="0.25">
      <c r="A143" s="38">
        <f>Données!A143</f>
        <v>5642</v>
      </c>
      <c r="B143" s="128" t="str">
        <f>Données!B143</f>
        <v>Morges</v>
      </c>
      <c r="C143" s="266">
        <f>VPI!R143</f>
        <v>1132235.5279104479</v>
      </c>
      <c r="D143" s="148">
        <f>Effort!I143-IF(PCS!I149&lt;0, Effort!D143, 0)</f>
        <v>22.5071726755559</v>
      </c>
      <c r="E143" s="381">
        <f>IF(PCS!I149&lt;0, 0, PCS!F149/Aide!C143)</f>
        <v>5.016622226545473</v>
      </c>
      <c r="F143" s="381">
        <f>Effort!G143</f>
        <v>0</v>
      </c>
      <c r="G143" s="279">
        <f t="shared" si="7"/>
        <v>27.523794902101372</v>
      </c>
      <c r="H143" s="159">
        <f t="shared" si="8"/>
        <v>0</v>
      </c>
      <c r="I143" s="42">
        <f t="shared" si="9"/>
        <v>0</v>
      </c>
      <c r="J143" s="29"/>
    </row>
    <row r="144" spans="1:10" x14ac:dyDescent="0.25">
      <c r="A144" s="38">
        <f>Données!A144</f>
        <v>5643</v>
      </c>
      <c r="B144" s="128" t="str">
        <f>Données!B144</f>
        <v>Préverenges</v>
      </c>
      <c r="C144" s="266">
        <f>VPI!R144</f>
        <v>249027.28047999999</v>
      </c>
      <c r="D144" s="148">
        <f>Effort!I144-IF(PCS!I150&lt;0, Effort!D144, 0)</f>
        <v>21.93949069474235</v>
      </c>
      <c r="E144" s="381">
        <f>IF(PCS!I150&lt;0, 0, PCS!F150/Aide!C144)</f>
        <v>2.8991713823818728</v>
      </c>
      <c r="F144" s="381">
        <f>Effort!G144</f>
        <v>0</v>
      </c>
      <c r="G144" s="279">
        <f t="shared" si="7"/>
        <v>24.838662077124223</v>
      </c>
      <c r="H144" s="159">
        <f t="shared" si="8"/>
        <v>0</v>
      </c>
      <c r="I144" s="42">
        <f t="shared" si="9"/>
        <v>0</v>
      </c>
      <c r="J144" s="29"/>
    </row>
    <row r="145" spans="1:10" x14ac:dyDescent="0.25">
      <c r="A145" s="38">
        <f>Données!A145</f>
        <v>5645</v>
      </c>
      <c r="B145" s="128" t="str">
        <f>Données!B145</f>
        <v>Romanel-sur-Morges</v>
      </c>
      <c r="C145" s="266">
        <f>VPI!R145</f>
        <v>27135.573571428577</v>
      </c>
      <c r="D145" s="148">
        <f>Effort!I145-IF(PCS!I151&lt;0, Effort!D145, 0)</f>
        <v>30.311253923559207</v>
      </c>
      <c r="E145" s="381">
        <f>IF(PCS!I151&lt;0, 0, PCS!F151/Aide!C145)</f>
        <v>2.4019997155552502</v>
      </c>
      <c r="F145" s="381">
        <f>Effort!G145</f>
        <v>0</v>
      </c>
      <c r="G145" s="279">
        <f t="shared" si="7"/>
        <v>32.713253639114455</v>
      </c>
      <c r="H145" s="159">
        <f t="shared" si="8"/>
        <v>0</v>
      </c>
      <c r="I145" s="42">
        <f t="shared" si="9"/>
        <v>0</v>
      </c>
      <c r="J145" s="29"/>
    </row>
    <row r="146" spans="1:10" x14ac:dyDescent="0.25">
      <c r="A146" s="38">
        <f>Données!A146</f>
        <v>5646</v>
      </c>
      <c r="B146" s="128" t="str">
        <f>Données!B146</f>
        <v>Saint-Prex</v>
      </c>
      <c r="C146" s="266">
        <f>VPI!R146</f>
        <v>525095.71629943512</v>
      </c>
      <c r="D146" s="148">
        <f>Effort!I146-IF(PCS!I152&lt;0, Effort!D146, 0)</f>
        <v>34.212656050522838</v>
      </c>
      <c r="E146" s="381">
        <f>IF(PCS!I152&lt;0, 0, PCS!F152/Aide!C146)</f>
        <v>2.4510852594083228</v>
      </c>
      <c r="F146" s="381">
        <f>Effort!G146</f>
        <v>0</v>
      </c>
      <c r="G146" s="279">
        <f t="shared" si="7"/>
        <v>36.663741309931162</v>
      </c>
      <c r="H146" s="159">
        <f t="shared" si="8"/>
        <v>0</v>
      </c>
      <c r="I146" s="42">
        <f t="shared" si="9"/>
        <v>0</v>
      </c>
      <c r="J146" s="29"/>
    </row>
    <row r="147" spans="1:10" x14ac:dyDescent="0.25">
      <c r="A147" s="38">
        <f>Données!A147</f>
        <v>5648</v>
      </c>
      <c r="B147" s="128" t="str">
        <f>Données!B147</f>
        <v>Saint-Sulpice</v>
      </c>
      <c r="C147" s="266">
        <f>VPI!R147</f>
        <v>396373.38209090912</v>
      </c>
      <c r="D147" s="148">
        <f>Effort!I147-IF(PCS!I153&lt;0, Effort!D147, 0)</f>
        <v>31.152316091892239</v>
      </c>
      <c r="E147" s="381">
        <f>IF(PCS!I153&lt;0, 0, PCS!F153/Aide!C147)</f>
        <v>4.6639109953554048</v>
      </c>
      <c r="F147" s="381">
        <f>Effort!G147</f>
        <v>0</v>
      </c>
      <c r="G147" s="279">
        <f t="shared" si="7"/>
        <v>35.81622708724764</v>
      </c>
      <c r="H147" s="159">
        <f t="shared" si="8"/>
        <v>0</v>
      </c>
      <c r="I147" s="42">
        <f t="shared" si="9"/>
        <v>0</v>
      </c>
      <c r="J147" s="29"/>
    </row>
    <row r="148" spans="1:10" x14ac:dyDescent="0.25">
      <c r="A148" s="38">
        <f>Données!A148</f>
        <v>5649</v>
      </c>
      <c r="B148" s="128" t="str">
        <f>Données!B148</f>
        <v>Tolochenaz</v>
      </c>
      <c r="C148" s="266">
        <f>VPI!R148</f>
        <v>281314.52828124992</v>
      </c>
      <c r="D148" s="148">
        <f>Effort!I148-IF(PCS!I154&lt;0, Effort!D148, 0)</f>
        <v>46.615847018360711</v>
      </c>
      <c r="E148" s="381">
        <f>IF(PCS!I154&lt;0, 0, PCS!F154/Aide!C148)</f>
        <v>3.0729937066589068</v>
      </c>
      <c r="F148" s="381">
        <f>Effort!G148</f>
        <v>0</v>
      </c>
      <c r="G148" s="279">
        <f t="shared" si="7"/>
        <v>49.688840725019617</v>
      </c>
      <c r="H148" s="159">
        <f t="shared" si="8"/>
        <v>0</v>
      </c>
      <c r="I148" s="42">
        <f t="shared" si="9"/>
        <v>0</v>
      </c>
      <c r="J148" s="29"/>
    </row>
    <row r="149" spans="1:10" x14ac:dyDescent="0.25">
      <c r="A149" s="38">
        <f>Données!A149</f>
        <v>5650</v>
      </c>
      <c r="B149" s="128" t="str">
        <f>Données!B149</f>
        <v>Vaux-sur-Morges</v>
      </c>
      <c r="C149" s="266">
        <f>VPI!R149</f>
        <v>96067.741964285728</v>
      </c>
      <c r="D149" s="148">
        <f>Effort!I149-IF(PCS!I155&lt;0, Effort!D149, 0)</f>
        <v>59.095981066442505</v>
      </c>
      <c r="E149" s="381">
        <f>IF(PCS!I155&lt;0, 0, PCS!F155/Aide!C149)</f>
        <v>2.8927400011474418E-2</v>
      </c>
      <c r="F149" s="381">
        <f>Effort!G149</f>
        <v>0</v>
      </c>
      <c r="G149" s="279">
        <f t="shared" si="7"/>
        <v>59.124908466453981</v>
      </c>
      <c r="H149" s="159">
        <f t="shared" si="8"/>
        <v>0</v>
      </c>
      <c r="I149" s="42">
        <f t="shared" si="9"/>
        <v>0</v>
      </c>
      <c r="J149" s="29"/>
    </row>
    <row r="150" spans="1:10" x14ac:dyDescent="0.25">
      <c r="A150" s="38">
        <f>Données!A150</f>
        <v>5651</v>
      </c>
      <c r="B150" s="128" t="str">
        <f>Données!B150</f>
        <v>Villars-Sainte-Croix</v>
      </c>
      <c r="C150" s="266">
        <f>VPI!R150</f>
        <v>61414.015041322302</v>
      </c>
      <c r="D150" s="148">
        <f>Effort!I150-IF(PCS!I156&lt;0, Effort!D150, 0)</f>
        <v>31.553024187620252</v>
      </c>
      <c r="E150" s="381">
        <f>IF(PCS!I156&lt;0, 0, PCS!F156/Aide!C150)</f>
        <v>2.8682643999334143</v>
      </c>
      <c r="F150" s="381">
        <f>Effort!G150</f>
        <v>0</v>
      </c>
      <c r="G150" s="279">
        <f t="shared" si="7"/>
        <v>34.421288587553668</v>
      </c>
      <c r="H150" s="159">
        <f t="shared" si="8"/>
        <v>0</v>
      </c>
      <c r="I150" s="42">
        <f t="shared" si="9"/>
        <v>0</v>
      </c>
      <c r="J150" s="29"/>
    </row>
    <row r="151" spans="1:10" x14ac:dyDescent="0.25">
      <c r="A151" s="38">
        <f>Données!A151</f>
        <v>5652</v>
      </c>
      <c r="B151" s="128" t="str">
        <f>Données!B151</f>
        <v>Villars-sous-Yens</v>
      </c>
      <c r="C151" s="266">
        <f>VPI!R151</f>
        <v>29186.92625</v>
      </c>
      <c r="D151" s="148">
        <f>Effort!I151-IF(PCS!I157&lt;0, Effort!D151, 0)</f>
        <v>27.300775660968622</v>
      </c>
      <c r="E151" s="381">
        <f>IF(PCS!I157&lt;0, 0, PCS!F157/Aide!C151)</f>
        <v>11.864740296179697</v>
      </c>
      <c r="F151" s="381">
        <f>Effort!G151</f>
        <v>0</v>
      </c>
      <c r="G151" s="279">
        <f t="shared" si="7"/>
        <v>39.165515957148315</v>
      </c>
      <c r="H151" s="159">
        <f t="shared" si="8"/>
        <v>0</v>
      </c>
      <c r="I151" s="42">
        <f t="shared" si="9"/>
        <v>0</v>
      </c>
      <c r="J151" s="29"/>
    </row>
    <row r="152" spans="1:10" x14ac:dyDescent="0.25">
      <c r="A152" s="38">
        <f>Données!A152</f>
        <v>5653</v>
      </c>
      <c r="B152" s="128" t="str">
        <f>Données!B152</f>
        <v>Vufflens-le-Château</v>
      </c>
      <c r="C152" s="266">
        <f>VPI!R152</f>
        <v>66751.135840000003</v>
      </c>
      <c r="D152" s="148">
        <f>Effort!I152-IF(PCS!I158&lt;0, Effort!D152, 0)</f>
        <v>34.845422952458655</v>
      </c>
      <c r="E152" s="381">
        <f>IF(PCS!I158&lt;0, 0, PCS!F158/Aide!C152)</f>
        <v>0.96301005505107218</v>
      </c>
      <c r="F152" s="381">
        <f>Effort!G152</f>
        <v>0</v>
      </c>
      <c r="G152" s="279">
        <f t="shared" si="7"/>
        <v>35.808433007509727</v>
      </c>
      <c r="H152" s="159">
        <f t="shared" si="8"/>
        <v>0</v>
      </c>
      <c r="I152" s="42">
        <f t="shared" si="9"/>
        <v>0</v>
      </c>
      <c r="J152" s="29"/>
    </row>
    <row r="153" spans="1:10" x14ac:dyDescent="0.25">
      <c r="A153" s="38">
        <f>Données!A153</f>
        <v>5654</v>
      </c>
      <c r="B153" s="128" t="str">
        <f>Données!B153</f>
        <v>Vullierens</v>
      </c>
      <c r="C153" s="266">
        <f>VPI!R153</f>
        <v>21960.434210526313</v>
      </c>
      <c r="D153" s="148">
        <f>Effort!I153-IF(PCS!I159&lt;0, Effort!D153, 0)</f>
        <v>20.767223711609567</v>
      </c>
      <c r="E153" s="381">
        <f>IF(PCS!I159&lt;0, 0, PCS!F159/Aide!C153)</f>
        <v>2.1505483246484562</v>
      </c>
      <c r="F153" s="381">
        <f>Effort!G153</f>
        <v>0</v>
      </c>
      <c r="G153" s="279">
        <f t="shared" si="7"/>
        <v>22.917772036258022</v>
      </c>
      <c r="H153" s="159">
        <f t="shared" si="8"/>
        <v>0</v>
      </c>
      <c r="I153" s="42">
        <f t="shared" si="9"/>
        <v>0</v>
      </c>
      <c r="J153" s="29"/>
    </row>
    <row r="154" spans="1:10" x14ac:dyDescent="0.25">
      <c r="A154" s="38">
        <f>Données!A154</f>
        <v>5655</v>
      </c>
      <c r="B154" s="128" t="str">
        <f>Données!B154</f>
        <v>Yens</v>
      </c>
      <c r="C154" s="266">
        <f>VPI!R154</f>
        <v>83347.731285714282</v>
      </c>
      <c r="D154" s="148">
        <f>Effort!I154-IF(PCS!I160&lt;0, Effort!D154, 0)</f>
        <v>28.473636960935739</v>
      </c>
      <c r="E154" s="381">
        <f>IF(PCS!I160&lt;0, 0, PCS!F160/Aide!C154)</f>
        <v>2.7800567145096977</v>
      </c>
      <c r="F154" s="381">
        <f>Effort!G154</f>
        <v>0</v>
      </c>
      <c r="G154" s="279">
        <f t="shared" si="7"/>
        <v>31.253693675445437</v>
      </c>
      <c r="H154" s="159">
        <f t="shared" si="8"/>
        <v>0</v>
      </c>
      <c r="I154" s="42">
        <f t="shared" si="9"/>
        <v>0</v>
      </c>
      <c r="J154" s="29"/>
    </row>
    <row r="155" spans="1:10" x14ac:dyDescent="0.25">
      <c r="A155" s="38">
        <f>Données!A155</f>
        <v>5656</v>
      </c>
      <c r="B155" s="128" t="str">
        <f>Données!B155</f>
        <v>Hautemorges</v>
      </c>
      <c r="C155" s="266">
        <f>VPI!R155</f>
        <v>167962.47422535214</v>
      </c>
      <c r="D155" s="148">
        <f>Effort!I155-IF(PCS!I161&lt;0, Effort!D155, 0)</f>
        <v>15.812003236509483</v>
      </c>
      <c r="E155" s="381">
        <f>IF(PCS!I161&lt;0, 0, PCS!F161/Aide!C155)</f>
        <v>2.638988244512869</v>
      </c>
      <c r="F155" s="381">
        <f>Effort!G155</f>
        <v>0</v>
      </c>
      <c r="G155" s="279">
        <f t="shared" si="7"/>
        <v>18.450991481022353</v>
      </c>
      <c r="H155" s="159">
        <f t="shared" si="8"/>
        <v>0</v>
      </c>
      <c r="I155" s="42">
        <f t="shared" si="9"/>
        <v>0</v>
      </c>
      <c r="J155" s="29"/>
    </row>
    <row r="156" spans="1:10" x14ac:dyDescent="0.25">
      <c r="A156" s="38">
        <f>Données!A156</f>
        <v>5661</v>
      </c>
      <c r="B156" s="128" t="str">
        <f>Données!B156</f>
        <v>Boulens</v>
      </c>
      <c r="C156" s="266">
        <f>VPI!R156</f>
        <v>10042.510349650349</v>
      </c>
      <c r="D156" s="148">
        <f>Effort!I156-IF(PCS!I162&lt;0, Effort!D156, 0)</f>
        <v>8.1316038957777899</v>
      </c>
      <c r="E156" s="381">
        <f>IF(PCS!I162&lt;0, 0, PCS!F162/Aide!C156)</f>
        <v>4.3657893767096292</v>
      </c>
      <c r="F156" s="381">
        <f>Effort!G156</f>
        <v>0</v>
      </c>
      <c r="G156" s="279">
        <f t="shared" si="7"/>
        <v>12.497393272487418</v>
      </c>
      <c r="H156" s="159">
        <f t="shared" si="8"/>
        <v>0</v>
      </c>
      <c r="I156" s="42">
        <f t="shared" si="9"/>
        <v>0</v>
      </c>
      <c r="J156" s="29"/>
    </row>
    <row r="157" spans="1:10" x14ac:dyDescent="0.25">
      <c r="A157" s="38">
        <f>Données!A157</f>
        <v>5663</v>
      </c>
      <c r="B157" s="128" t="str">
        <f>Données!B157</f>
        <v>Bussy-sur-Moudon</v>
      </c>
      <c r="C157" s="266">
        <f>VPI!R157</f>
        <v>7115.4099363057312</v>
      </c>
      <c r="D157" s="148">
        <f>Effort!I157-IF(PCS!I163&lt;0, Effort!D157, 0)</f>
        <v>7.8200728170800815</v>
      </c>
      <c r="E157" s="381">
        <f>IF(PCS!I163&lt;0, 0, PCS!F163/Aide!C157)</f>
        <v>2.7735928325510359</v>
      </c>
      <c r="F157" s="381">
        <f>Effort!G157</f>
        <v>0</v>
      </c>
      <c r="G157" s="279">
        <f t="shared" si="7"/>
        <v>10.593665649631117</v>
      </c>
      <c r="H157" s="159">
        <f t="shared" si="8"/>
        <v>0</v>
      </c>
      <c r="I157" s="42">
        <f t="shared" si="9"/>
        <v>0</v>
      </c>
      <c r="J157" s="29"/>
    </row>
    <row r="158" spans="1:10" x14ac:dyDescent="0.25">
      <c r="A158" s="38">
        <f>Données!A158</f>
        <v>5665</v>
      </c>
      <c r="B158" s="128" t="str">
        <f>Données!B158</f>
        <v>Chavannes-sur-Moudon</v>
      </c>
      <c r="C158" s="266">
        <f>VPI!R158</f>
        <v>5907.4868571428569</v>
      </c>
      <c r="D158" s="148">
        <f>Effort!I158-IF(PCS!I164&lt;0, Effort!D158, 0)</f>
        <v>6.0653635139112598</v>
      </c>
      <c r="E158" s="381">
        <f>IF(PCS!I164&lt;0, 0, PCS!F164/Aide!C158)</f>
        <v>5.5861317677074578E-2</v>
      </c>
      <c r="F158" s="381">
        <f>Effort!G158</f>
        <v>0</v>
      </c>
      <c r="G158" s="279">
        <f t="shared" si="7"/>
        <v>6.121224831588334</v>
      </c>
      <c r="H158" s="159">
        <f t="shared" si="8"/>
        <v>0</v>
      </c>
      <c r="I158" s="42">
        <f t="shared" si="9"/>
        <v>0</v>
      </c>
      <c r="J158" s="29"/>
    </row>
    <row r="159" spans="1:10" x14ac:dyDescent="0.25">
      <c r="A159" s="38">
        <f>Données!A159</f>
        <v>5669</v>
      </c>
      <c r="B159" s="128" t="str">
        <f>Données!B159</f>
        <v>Curtilles</v>
      </c>
      <c r="C159" s="266">
        <f>VPI!R159</f>
        <v>9466.6579452054793</v>
      </c>
      <c r="D159" s="148">
        <f>Effort!I159-IF(PCS!I165&lt;0, Effort!D159, 0)</f>
        <v>13.292480447291242</v>
      </c>
      <c r="E159" s="381">
        <f>IF(PCS!I165&lt;0, 0, PCS!F165/Aide!C159)</f>
        <v>7.7513284439693848</v>
      </c>
      <c r="F159" s="381">
        <f>Effort!G159</f>
        <v>0</v>
      </c>
      <c r="G159" s="279">
        <f t="shared" si="7"/>
        <v>21.043808891260625</v>
      </c>
      <c r="H159" s="159">
        <f t="shared" si="8"/>
        <v>0</v>
      </c>
      <c r="I159" s="42">
        <f t="shared" si="9"/>
        <v>0</v>
      </c>
      <c r="J159" s="29"/>
    </row>
    <row r="160" spans="1:10" x14ac:dyDescent="0.25">
      <c r="A160" s="38">
        <f>Données!A160</f>
        <v>5671</v>
      </c>
      <c r="B160" s="128" t="str">
        <f>Données!B160</f>
        <v>Dompierre</v>
      </c>
      <c r="C160" s="266">
        <f>VPI!R160</f>
        <v>8071.3430769230772</v>
      </c>
      <c r="D160" s="148">
        <f>Effort!I160-IF(PCS!I166&lt;0, Effort!D160, 0)</f>
        <v>13.291623847103939</v>
      </c>
      <c r="E160" s="381">
        <f>IF(PCS!I166&lt;0, 0, PCS!F166/Aide!C160)</f>
        <v>2.3178267633658525</v>
      </c>
      <c r="F160" s="381">
        <f>Effort!G160</f>
        <v>0</v>
      </c>
      <c r="G160" s="279">
        <f t="shared" si="7"/>
        <v>15.609450610469791</v>
      </c>
      <c r="H160" s="159">
        <f t="shared" si="8"/>
        <v>0</v>
      </c>
      <c r="I160" s="42">
        <f t="shared" si="9"/>
        <v>0</v>
      </c>
      <c r="J160" s="29"/>
    </row>
    <row r="161" spans="1:10" x14ac:dyDescent="0.25">
      <c r="A161" s="38">
        <f>Données!A161</f>
        <v>5673</v>
      </c>
      <c r="B161" s="128" t="str">
        <f>Données!B161</f>
        <v>Hermenches</v>
      </c>
      <c r="C161" s="266">
        <f>VPI!R161</f>
        <v>11048.340272108846</v>
      </c>
      <c r="D161" s="148">
        <f>Effort!I161-IF(PCS!I167&lt;0, Effort!D161, 0)</f>
        <v>11.461989599194474</v>
      </c>
      <c r="E161" s="381">
        <f>IF(PCS!I167&lt;0, 0, PCS!F167/Aide!C161)</f>
        <v>2.3206114555255444</v>
      </c>
      <c r="F161" s="381">
        <f>Effort!G161</f>
        <v>0</v>
      </c>
      <c r="G161" s="279">
        <f t="shared" si="7"/>
        <v>13.782601054720018</v>
      </c>
      <c r="H161" s="159">
        <f t="shared" si="8"/>
        <v>0</v>
      </c>
      <c r="I161" s="42">
        <f t="shared" si="9"/>
        <v>0</v>
      </c>
      <c r="J161" s="29"/>
    </row>
    <row r="162" spans="1:10" x14ac:dyDescent="0.25">
      <c r="A162" s="38">
        <f>Données!A162</f>
        <v>5674</v>
      </c>
      <c r="B162" s="128" t="str">
        <f>Données!B162</f>
        <v>Lovatens</v>
      </c>
      <c r="C162" s="266">
        <f>VPI!R162</f>
        <v>4104.2373333333326</v>
      </c>
      <c r="D162" s="148">
        <f>Effort!I162-IF(PCS!I168&lt;0, Effort!D162, 0)</f>
        <v>10.259303590612879</v>
      </c>
      <c r="E162" s="381">
        <f>IF(PCS!I168&lt;0, 0, PCS!F168/Aide!C162)</f>
        <v>0.12200196025051185</v>
      </c>
      <c r="F162" s="381">
        <f>Effort!G162</f>
        <v>0</v>
      </c>
      <c r="G162" s="279">
        <f t="shared" si="7"/>
        <v>10.38130555086339</v>
      </c>
      <c r="H162" s="159">
        <f t="shared" si="8"/>
        <v>0</v>
      </c>
      <c r="I162" s="42">
        <f t="shared" si="9"/>
        <v>0</v>
      </c>
      <c r="J162" s="29"/>
    </row>
    <row r="163" spans="1:10" x14ac:dyDescent="0.25">
      <c r="A163" s="38">
        <f>Données!A163</f>
        <v>5675</v>
      </c>
      <c r="B163" s="128" t="str">
        <f>Données!B163</f>
        <v>Lucens</v>
      </c>
      <c r="C163" s="266">
        <f>VPI!R163</f>
        <v>97920.060444735136</v>
      </c>
      <c r="D163" s="148">
        <f>Effort!I163-IF(PCS!I169&lt;0, Effort!D163, 0)</f>
        <v>-12.154698705508995</v>
      </c>
      <c r="E163" s="381">
        <f>IF(PCS!I169&lt;0, 0, PCS!F169/Aide!C163)</f>
        <v>4.0106859433736766</v>
      </c>
      <c r="F163" s="381">
        <f>Effort!G163</f>
        <v>0</v>
      </c>
      <c r="G163" s="279">
        <f t="shared" si="7"/>
        <v>-8.1440127621353184</v>
      </c>
      <c r="H163" s="159">
        <f t="shared" si="8"/>
        <v>-0.14401276213531844</v>
      </c>
      <c r="I163" s="42">
        <f t="shared" si="9"/>
        <v>14101.738373103644</v>
      </c>
      <c r="J163" s="29"/>
    </row>
    <row r="164" spans="1:10" x14ac:dyDescent="0.25">
      <c r="A164" s="38">
        <f>Données!A164</f>
        <v>5678</v>
      </c>
      <c r="B164" s="128" t="str">
        <f>Données!B164</f>
        <v>Moudon</v>
      </c>
      <c r="C164" s="266">
        <f>VPI!R164</f>
        <v>133786.12827586205</v>
      </c>
      <c r="D164" s="148">
        <f>Effort!I164-IF(PCS!I170&lt;0, Effort!D164, 0)</f>
        <v>-18.491920462889407</v>
      </c>
      <c r="E164" s="381">
        <f>IF(PCS!I170&lt;0, 0, PCS!F170/Aide!C164)</f>
        <v>4.908618654737495</v>
      </c>
      <c r="F164" s="381">
        <f>Effort!G164</f>
        <v>0</v>
      </c>
      <c r="G164" s="279">
        <f t="shared" si="7"/>
        <v>-13.583301808151912</v>
      </c>
      <c r="H164" s="159">
        <f t="shared" si="8"/>
        <v>-5.5833018081519121</v>
      </c>
      <c r="I164" s="42">
        <f t="shared" si="9"/>
        <v>746968.3319082642</v>
      </c>
      <c r="J164" s="29"/>
    </row>
    <row r="165" spans="1:10" x14ac:dyDescent="0.25">
      <c r="A165" s="38">
        <f>Données!A165</f>
        <v>5680</v>
      </c>
      <c r="B165" s="128" t="str">
        <f>Données!B165</f>
        <v>Ogens</v>
      </c>
      <c r="C165" s="266">
        <f>VPI!R165</f>
        <v>7909.509316239315</v>
      </c>
      <c r="D165" s="148">
        <f>Effort!I165-IF(PCS!I171&lt;0, Effort!D165, 0)</f>
        <v>-0.87727811703717862</v>
      </c>
      <c r="E165" s="381">
        <f>IF(PCS!I171&lt;0, 0, PCS!F171/Aide!C165)</f>
        <v>6.610871535689828</v>
      </c>
      <c r="F165" s="381">
        <f>Effort!G165</f>
        <v>0</v>
      </c>
      <c r="G165" s="279">
        <f t="shared" si="7"/>
        <v>5.7335934186526494</v>
      </c>
      <c r="H165" s="159">
        <f t="shared" si="8"/>
        <v>0</v>
      </c>
      <c r="I165" s="42">
        <f t="shared" si="9"/>
        <v>0</v>
      </c>
      <c r="J165" s="29"/>
    </row>
    <row r="166" spans="1:10" x14ac:dyDescent="0.25">
      <c r="A166" s="38">
        <f>Données!A166</f>
        <v>5683</v>
      </c>
      <c r="B166" s="128" t="str">
        <f>Données!B166</f>
        <v>Prévonloup</v>
      </c>
      <c r="C166" s="266">
        <f>VPI!R166</f>
        <v>6488.9761379310348</v>
      </c>
      <c r="D166" s="148">
        <f>Effort!I166-IF(PCS!I172&lt;0, Effort!D166, 0)</f>
        <v>11.037894875450853</v>
      </c>
      <c r="E166" s="381">
        <f>IF(PCS!I172&lt;0, 0, PCS!F172/Aide!C166)</f>
        <v>6.5695572142436918</v>
      </c>
      <c r="F166" s="381">
        <f>Effort!G166</f>
        <v>0</v>
      </c>
      <c r="G166" s="279">
        <f t="shared" si="7"/>
        <v>17.607452089694544</v>
      </c>
      <c r="H166" s="159">
        <f t="shared" si="8"/>
        <v>0</v>
      </c>
      <c r="I166" s="42">
        <f t="shared" si="9"/>
        <v>0</v>
      </c>
      <c r="J166" s="29"/>
    </row>
    <row r="167" spans="1:10" x14ac:dyDescent="0.25">
      <c r="A167" s="38">
        <f>Données!A167</f>
        <v>5684</v>
      </c>
      <c r="B167" s="128" t="str">
        <f>Données!B167</f>
        <v>Rossenges</v>
      </c>
      <c r="C167" s="266">
        <f>VPI!R167</f>
        <v>5023.6746428571432</v>
      </c>
      <c r="D167" s="148">
        <f>Effort!I167-IF(PCS!I173&lt;0, Effort!D167, 0)</f>
        <v>30.348698171910094</v>
      </c>
      <c r="E167" s="381">
        <f>IF(PCS!I173&lt;0, 0, PCS!F173/Aide!C167)</f>
        <v>0</v>
      </c>
      <c r="F167" s="381">
        <f>Effort!G167</f>
        <v>0</v>
      </c>
      <c r="G167" s="279">
        <f t="shared" si="7"/>
        <v>30.348698171910094</v>
      </c>
      <c r="H167" s="159">
        <f t="shared" si="8"/>
        <v>0</v>
      </c>
      <c r="I167" s="42">
        <f t="shared" si="9"/>
        <v>0</v>
      </c>
      <c r="J167" s="29"/>
    </row>
    <row r="168" spans="1:10" x14ac:dyDescent="0.25">
      <c r="A168" s="38">
        <f>Données!A168</f>
        <v>5688</v>
      </c>
      <c r="B168" s="128" t="str">
        <f>Données!B168</f>
        <v>Syens</v>
      </c>
      <c r="C168" s="266">
        <f>VPI!R168</f>
        <v>5225.3353846153841</v>
      </c>
      <c r="D168" s="148">
        <f>Effort!I168-IF(PCS!I174&lt;0, Effort!D168, 0)</f>
        <v>16.969355859647933</v>
      </c>
      <c r="E168" s="381">
        <f>IF(PCS!I174&lt;0, 0, PCS!F174/Aide!C168)</f>
        <v>0.38519058622074465</v>
      </c>
      <c r="F168" s="381">
        <f>Effort!G168</f>
        <v>0</v>
      </c>
      <c r="G168" s="279">
        <f t="shared" si="7"/>
        <v>17.354546445868678</v>
      </c>
      <c r="H168" s="159">
        <f t="shared" si="8"/>
        <v>0</v>
      </c>
      <c r="I168" s="42">
        <f t="shared" si="9"/>
        <v>0</v>
      </c>
      <c r="J168" s="29"/>
    </row>
    <row r="169" spans="1:10" x14ac:dyDescent="0.25">
      <c r="A169" s="38">
        <f>Données!A169</f>
        <v>5690</v>
      </c>
      <c r="B169" s="128" t="str">
        <f>Données!B169</f>
        <v>Villars-le-Comte</v>
      </c>
      <c r="C169" s="266">
        <f>VPI!R169</f>
        <v>4383.2226470588239</v>
      </c>
      <c r="D169" s="148">
        <f>Effort!I169-IF(PCS!I175&lt;0, Effort!D169, 0)</f>
        <v>17.071274554171438</v>
      </c>
      <c r="E169" s="381">
        <f>IF(PCS!I175&lt;0, 0, PCS!F175/Aide!C169)</f>
        <v>7.2883760585231494</v>
      </c>
      <c r="F169" s="381">
        <f>Effort!G169</f>
        <v>0</v>
      </c>
      <c r="G169" s="279">
        <f t="shared" si="7"/>
        <v>24.359650612694587</v>
      </c>
      <c r="H169" s="159">
        <f t="shared" si="8"/>
        <v>0</v>
      </c>
      <c r="I169" s="42">
        <f t="shared" si="9"/>
        <v>0</v>
      </c>
      <c r="J169" s="29"/>
    </row>
    <row r="170" spans="1:10" x14ac:dyDescent="0.25">
      <c r="A170" s="38">
        <f>Données!A170</f>
        <v>5692</v>
      </c>
      <c r="B170" s="128" t="str">
        <f>Données!B170</f>
        <v>Vucherens</v>
      </c>
      <c r="C170" s="266">
        <f>VPI!R170</f>
        <v>18408.334805194805</v>
      </c>
      <c r="D170" s="148">
        <f>Effort!I170-IF(PCS!I176&lt;0, Effort!D170, 0)</f>
        <v>9.5300984698685607</v>
      </c>
      <c r="E170" s="381">
        <f>IF(PCS!I176&lt;0, 0, PCS!F176/Aide!C170)</f>
        <v>4.6145697532635159</v>
      </c>
      <c r="F170" s="381">
        <f>Effort!G170</f>
        <v>0</v>
      </c>
      <c r="G170" s="279">
        <f t="shared" si="7"/>
        <v>14.144668223132076</v>
      </c>
      <c r="H170" s="159">
        <f t="shared" si="8"/>
        <v>0</v>
      </c>
      <c r="I170" s="42">
        <f t="shared" si="9"/>
        <v>0</v>
      </c>
      <c r="J170" s="29"/>
    </row>
    <row r="171" spans="1:10" x14ac:dyDescent="0.25">
      <c r="A171" s="38">
        <f>Données!A171</f>
        <v>5693</v>
      </c>
      <c r="B171" s="128" t="str">
        <f>Données!B171</f>
        <v>Montanaire</v>
      </c>
      <c r="C171" s="266">
        <f>VPI!R171</f>
        <v>74596.156714285724</v>
      </c>
      <c r="D171" s="148">
        <f>Effort!I171-IF(PCS!I177&lt;0, Effort!D171, 0)</f>
        <v>2.7672347644436392</v>
      </c>
      <c r="E171" s="381">
        <f>IF(PCS!I177&lt;0, 0, PCS!F177/Aide!C171)</f>
        <v>4.0032442441208334</v>
      </c>
      <c r="F171" s="381">
        <f>Effort!G171</f>
        <v>0</v>
      </c>
      <c r="G171" s="279">
        <f t="shared" si="7"/>
        <v>6.7704790085644726</v>
      </c>
      <c r="H171" s="159">
        <f t="shared" si="8"/>
        <v>0</v>
      </c>
      <c r="I171" s="42">
        <f t="shared" si="9"/>
        <v>0</v>
      </c>
      <c r="J171" s="29"/>
    </row>
    <row r="172" spans="1:10" x14ac:dyDescent="0.25">
      <c r="A172" s="38">
        <f>Données!A172</f>
        <v>5701</v>
      </c>
      <c r="B172" s="128" t="str">
        <f>Données!B172</f>
        <v>Arnex-sur-Nyon</v>
      </c>
      <c r="C172" s="266">
        <f>VPI!R172</f>
        <v>14428.628999999999</v>
      </c>
      <c r="D172" s="148">
        <f>Effort!I172-IF(PCS!I178&lt;0, Effort!D172, 0)</f>
        <v>30.993994360919817</v>
      </c>
      <c r="E172" s="381">
        <f>IF(PCS!I178&lt;0, 0, PCS!F178/Aide!C172)</f>
        <v>1.8610479207691875</v>
      </c>
      <c r="F172" s="381">
        <f>Effort!G172</f>
        <v>0</v>
      </c>
      <c r="G172" s="279">
        <f t="shared" si="7"/>
        <v>32.855042281689002</v>
      </c>
      <c r="H172" s="159">
        <f t="shared" si="8"/>
        <v>0</v>
      </c>
      <c r="I172" s="42">
        <f t="shared" si="9"/>
        <v>0</v>
      </c>
      <c r="J172" s="29"/>
    </row>
    <row r="173" spans="1:10" x14ac:dyDescent="0.25">
      <c r="A173" s="38">
        <f>Données!A173</f>
        <v>5702</v>
      </c>
      <c r="B173" s="128" t="str">
        <f>Données!B173</f>
        <v>Arzier-Le Muids</v>
      </c>
      <c r="C173" s="266">
        <f>VPI!R173</f>
        <v>188642.38078125002</v>
      </c>
      <c r="D173" s="148">
        <f>Effort!I173-IF(PCS!I179&lt;0, Effort!D173, 0)</f>
        <v>29.49016251347669</v>
      </c>
      <c r="E173" s="381">
        <f>IF(PCS!I179&lt;0, 0, PCS!F179/Aide!C173)</f>
        <v>3.2356175609752893</v>
      </c>
      <c r="F173" s="381">
        <f>Effort!G173</f>
        <v>0</v>
      </c>
      <c r="G173" s="279">
        <f t="shared" si="7"/>
        <v>32.725780074451983</v>
      </c>
      <c r="H173" s="159">
        <f t="shared" si="8"/>
        <v>0</v>
      </c>
      <c r="I173" s="42">
        <f t="shared" si="9"/>
        <v>0</v>
      </c>
      <c r="J173" s="29"/>
    </row>
    <row r="174" spans="1:10" x14ac:dyDescent="0.25">
      <c r="A174" s="38">
        <f>Données!A174</f>
        <v>5703</v>
      </c>
      <c r="B174" s="128" t="str">
        <f>Données!B174</f>
        <v>Bassins</v>
      </c>
      <c r="C174" s="266">
        <f>VPI!R174</f>
        <v>66120.332571428575</v>
      </c>
      <c r="D174" s="148">
        <f>Effort!I174-IF(PCS!I180&lt;0, Effort!D174, 0)</f>
        <v>23.814319250753186</v>
      </c>
      <c r="E174" s="381">
        <f>IF(PCS!I180&lt;0, 0, PCS!F180/Aide!C174)</f>
        <v>3.0248478375988119</v>
      </c>
      <c r="F174" s="381">
        <f>Effort!G174</f>
        <v>0</v>
      </c>
      <c r="G174" s="279">
        <f t="shared" si="7"/>
        <v>26.839167088351999</v>
      </c>
      <c r="H174" s="159">
        <f t="shared" si="8"/>
        <v>0</v>
      </c>
      <c r="I174" s="42">
        <f t="shared" si="9"/>
        <v>0</v>
      </c>
      <c r="J174" s="29"/>
    </row>
    <row r="175" spans="1:10" x14ac:dyDescent="0.25">
      <c r="A175" s="38">
        <f>Données!A175</f>
        <v>5704</v>
      </c>
      <c r="B175" s="128" t="str">
        <f>Données!B175</f>
        <v>Begnins</v>
      </c>
      <c r="C175" s="266">
        <f>VPI!R175</f>
        <v>140338.01370666668</v>
      </c>
      <c r="D175" s="148">
        <f>Effort!I175-IF(PCS!I181&lt;0, Effort!D175, 0)</f>
        <v>31.799556306424186</v>
      </c>
      <c r="E175" s="381">
        <f>IF(PCS!I181&lt;0, 0, PCS!F181/Aide!C175)</f>
        <v>3.9239387494184008</v>
      </c>
      <c r="F175" s="381">
        <f>Effort!G175</f>
        <v>0</v>
      </c>
      <c r="G175" s="279">
        <f t="shared" si="7"/>
        <v>35.723495055842591</v>
      </c>
      <c r="H175" s="159">
        <f t="shared" si="8"/>
        <v>0</v>
      </c>
      <c r="I175" s="42">
        <f t="shared" si="9"/>
        <v>0</v>
      </c>
      <c r="J175" s="29"/>
    </row>
    <row r="176" spans="1:10" x14ac:dyDescent="0.25">
      <c r="A176" s="38">
        <f>Données!A176</f>
        <v>5705</v>
      </c>
      <c r="B176" s="128" t="str">
        <f>Données!B176</f>
        <v>Bogis-Bossey</v>
      </c>
      <c r="C176" s="266">
        <f>VPI!R176</f>
        <v>55817.342916666668</v>
      </c>
      <c r="D176" s="148">
        <f>Effort!I176-IF(PCS!I182&lt;0, Effort!D176, 0)</f>
        <v>30.322905246420635</v>
      </c>
      <c r="E176" s="381">
        <f>IF(PCS!I182&lt;0, 0, PCS!F182/Aide!C176)</f>
        <v>2.4337388327998979</v>
      </c>
      <c r="F176" s="381">
        <f>Effort!G176</f>
        <v>0</v>
      </c>
      <c r="G176" s="279">
        <f t="shared" si="7"/>
        <v>32.756644079220536</v>
      </c>
      <c r="H176" s="159">
        <f t="shared" si="8"/>
        <v>0</v>
      </c>
      <c r="I176" s="42">
        <f t="shared" si="9"/>
        <v>0</v>
      </c>
      <c r="J176" s="29"/>
    </row>
    <row r="177" spans="1:10" x14ac:dyDescent="0.25">
      <c r="A177" s="38">
        <f>Données!A177</f>
        <v>5706</v>
      </c>
      <c r="B177" s="128" t="str">
        <f>Données!B177</f>
        <v>Borex</v>
      </c>
      <c r="C177" s="266">
        <f>VPI!R177</f>
        <v>71534.631578947388</v>
      </c>
      <c r="D177" s="148">
        <f>Effort!I177-IF(PCS!I183&lt;0, Effort!D177, 0)</f>
        <v>31.035270302782671</v>
      </c>
      <c r="E177" s="381">
        <f>IF(PCS!I183&lt;0, 0, PCS!F183/Aide!C177)</f>
        <v>0.98656424786522212</v>
      </c>
      <c r="F177" s="381">
        <f>Effort!G177</f>
        <v>0</v>
      </c>
      <c r="G177" s="279">
        <f t="shared" si="7"/>
        <v>32.021834550647895</v>
      </c>
      <c r="H177" s="159">
        <f t="shared" si="8"/>
        <v>0</v>
      </c>
      <c r="I177" s="42">
        <f t="shared" si="9"/>
        <v>0</v>
      </c>
      <c r="J177" s="29"/>
    </row>
    <row r="178" spans="1:10" x14ac:dyDescent="0.25">
      <c r="A178" s="38">
        <f>Données!A178</f>
        <v>5707</v>
      </c>
      <c r="B178" s="128" t="str">
        <f>Données!B178</f>
        <v>Chavannes-de-Bogis</v>
      </c>
      <c r="C178" s="266">
        <f>VPI!R178</f>
        <v>92416.422643678146</v>
      </c>
      <c r="D178" s="148">
        <f>Effort!I178-IF(PCS!I184&lt;0, Effort!D178, 0)</f>
        <v>31.344157689092238</v>
      </c>
      <c r="E178" s="381">
        <f>IF(PCS!I184&lt;0, 0, PCS!F184/Aide!C178)</f>
        <v>6.223458867452103</v>
      </c>
      <c r="F178" s="381">
        <f>Effort!G178</f>
        <v>0</v>
      </c>
      <c r="G178" s="279">
        <f t="shared" si="7"/>
        <v>37.567616556544344</v>
      </c>
      <c r="H178" s="159">
        <f t="shared" si="8"/>
        <v>0</v>
      </c>
      <c r="I178" s="42">
        <f t="shared" si="9"/>
        <v>0</v>
      </c>
      <c r="J178" s="29"/>
    </row>
    <row r="179" spans="1:10" x14ac:dyDescent="0.25">
      <c r="A179" s="38">
        <f>Données!A179</f>
        <v>5708</v>
      </c>
      <c r="B179" s="128" t="str">
        <f>Données!B179</f>
        <v>Chavannes-des-Bois</v>
      </c>
      <c r="C179" s="266">
        <f>VPI!R179</f>
        <v>78320.692500000005</v>
      </c>
      <c r="D179" s="148">
        <f>Effort!I179-IF(PCS!I185&lt;0, Effort!D179, 0)</f>
        <v>35.84468644799145</v>
      </c>
      <c r="E179" s="381">
        <f>IF(PCS!I185&lt;0, 0, PCS!F185/Aide!C179)</f>
        <v>1.9782272098781557</v>
      </c>
      <c r="F179" s="381">
        <f>Effort!G179</f>
        <v>0</v>
      </c>
      <c r="G179" s="279">
        <f t="shared" si="7"/>
        <v>37.822913657869606</v>
      </c>
      <c r="H179" s="159">
        <f t="shared" si="8"/>
        <v>0</v>
      </c>
      <c r="I179" s="42">
        <f t="shared" si="9"/>
        <v>0</v>
      </c>
      <c r="J179" s="29"/>
    </row>
    <row r="180" spans="1:10" x14ac:dyDescent="0.25">
      <c r="A180" s="38">
        <f>Données!A180</f>
        <v>5709</v>
      </c>
      <c r="B180" s="128" t="str">
        <f>Données!B180</f>
        <v>Chéserex</v>
      </c>
      <c r="C180" s="266">
        <f>VPI!R180</f>
        <v>110451.70315789471</v>
      </c>
      <c r="D180" s="148">
        <f>Effort!I180-IF(PCS!I186&lt;0, Effort!D180, 0)</f>
        <v>36.163086948816371</v>
      </c>
      <c r="E180" s="381">
        <f>IF(PCS!I186&lt;0, 0, PCS!F186/Aide!C180)</f>
        <v>1.4081946729029022</v>
      </c>
      <c r="F180" s="381">
        <f>Effort!G180</f>
        <v>0</v>
      </c>
      <c r="G180" s="279">
        <f t="shared" si="7"/>
        <v>37.571281621719272</v>
      </c>
      <c r="H180" s="159">
        <f t="shared" si="8"/>
        <v>0</v>
      </c>
      <c r="I180" s="42">
        <f t="shared" si="9"/>
        <v>0</v>
      </c>
      <c r="J180" s="29"/>
    </row>
    <row r="181" spans="1:10" x14ac:dyDescent="0.25">
      <c r="A181" s="38">
        <f>Données!A181</f>
        <v>5710</v>
      </c>
      <c r="B181" s="128" t="str">
        <f>Données!B181</f>
        <v>Coinsins</v>
      </c>
      <c r="C181" s="266">
        <f>VPI!R181</f>
        <v>31247.070588235296</v>
      </c>
      <c r="D181" s="148">
        <f>Effort!I181-IF(PCS!I187&lt;0, Effort!D181, 0)</f>
        <v>30.490234985959447</v>
      </c>
      <c r="E181" s="381">
        <f>IF(PCS!I187&lt;0, 0, PCS!F187/Aide!C181)</f>
        <v>2.9836184078996957</v>
      </c>
      <c r="F181" s="381">
        <f>Effort!G181</f>
        <v>0</v>
      </c>
      <c r="G181" s="279">
        <f t="shared" si="7"/>
        <v>33.473853393859144</v>
      </c>
      <c r="H181" s="159">
        <f t="shared" si="8"/>
        <v>0</v>
      </c>
      <c r="I181" s="42">
        <f t="shared" si="9"/>
        <v>0</v>
      </c>
      <c r="J181" s="29"/>
    </row>
    <row r="182" spans="1:10" x14ac:dyDescent="0.25">
      <c r="A182" s="38">
        <f>Données!A182</f>
        <v>5711</v>
      </c>
      <c r="B182" s="128" t="str">
        <f>Données!B182</f>
        <v>Commugny</v>
      </c>
      <c r="C182" s="266">
        <f>VPI!R182</f>
        <v>264202.11623481783</v>
      </c>
      <c r="D182" s="148">
        <f>Effort!I182-IF(PCS!I188&lt;0, Effort!D182, 0)</f>
        <v>35.298438085050876</v>
      </c>
      <c r="E182" s="381">
        <f>IF(PCS!I188&lt;0, 0, PCS!F188/Aide!C182)</f>
        <v>2.9564372766256564</v>
      </c>
      <c r="F182" s="381">
        <f>Effort!G182</f>
        <v>0</v>
      </c>
      <c r="G182" s="279">
        <f t="shared" si="7"/>
        <v>38.254875361676532</v>
      </c>
      <c r="H182" s="159">
        <f t="shared" si="8"/>
        <v>0</v>
      </c>
      <c r="I182" s="42">
        <f t="shared" si="9"/>
        <v>0</v>
      </c>
      <c r="J182" s="29"/>
    </row>
    <row r="183" spans="1:10" x14ac:dyDescent="0.25">
      <c r="A183" s="38">
        <f>Données!A183</f>
        <v>5712</v>
      </c>
      <c r="B183" s="128" t="str">
        <f>Données!B183</f>
        <v>Coppet</v>
      </c>
      <c r="C183" s="266">
        <f>VPI!R183</f>
        <v>381890.66242424241</v>
      </c>
      <c r="D183" s="148">
        <f>Effort!I183-IF(PCS!I189&lt;0, Effort!D183, 0)</f>
        <v>40.566517406848163</v>
      </c>
      <c r="E183" s="381">
        <f>IF(PCS!I189&lt;0, 0, PCS!F189/Aide!C183)</f>
        <v>12.154361684401712</v>
      </c>
      <c r="F183" s="381">
        <f>Effort!G183</f>
        <v>0</v>
      </c>
      <c r="G183" s="279">
        <f t="shared" si="7"/>
        <v>52.720879091249877</v>
      </c>
      <c r="H183" s="159">
        <f t="shared" si="8"/>
        <v>0</v>
      </c>
      <c r="I183" s="42">
        <f t="shared" si="9"/>
        <v>0</v>
      </c>
      <c r="J183" s="29"/>
    </row>
    <row r="184" spans="1:10" x14ac:dyDescent="0.25">
      <c r="A184" s="38">
        <f>Données!A184</f>
        <v>5713</v>
      </c>
      <c r="B184" s="128" t="str">
        <f>Données!B184</f>
        <v>Crans</v>
      </c>
      <c r="C184" s="266">
        <f>VPI!R184</f>
        <v>303238.4722033898</v>
      </c>
      <c r="D184" s="148">
        <f>Effort!I184-IF(PCS!I190&lt;0, Effort!D184, 0)</f>
        <v>42.489749023941414</v>
      </c>
      <c r="E184" s="381">
        <f>IF(PCS!I190&lt;0, 0, PCS!F190/Aide!C184)</f>
        <v>2.7843252502396751</v>
      </c>
      <c r="F184" s="381">
        <f>Effort!G184</f>
        <v>0</v>
      </c>
      <c r="G184" s="279">
        <f t="shared" si="7"/>
        <v>45.274074274181089</v>
      </c>
      <c r="H184" s="159">
        <f t="shared" si="8"/>
        <v>0</v>
      </c>
      <c r="I184" s="42">
        <f t="shared" si="9"/>
        <v>0</v>
      </c>
      <c r="J184" s="29"/>
    </row>
    <row r="185" spans="1:10" x14ac:dyDescent="0.25">
      <c r="A185" s="38">
        <f>Données!A185</f>
        <v>5714</v>
      </c>
      <c r="B185" s="128" t="str">
        <f>Données!B185</f>
        <v>Crassier</v>
      </c>
      <c r="C185" s="266">
        <f>VPI!R185</f>
        <v>66120.939097744369</v>
      </c>
      <c r="D185" s="148">
        <f>Effort!I185-IF(PCS!I191&lt;0, Effort!D185, 0)</f>
        <v>27.911098732258338</v>
      </c>
      <c r="E185" s="381">
        <f>IF(PCS!I191&lt;0, 0, PCS!F191/Aide!C185)</f>
        <v>4.49726855150102</v>
      </c>
      <c r="F185" s="381">
        <f>Effort!G185</f>
        <v>0</v>
      </c>
      <c r="G185" s="279">
        <f t="shared" si="7"/>
        <v>32.408367283759361</v>
      </c>
      <c r="H185" s="159">
        <f t="shared" si="8"/>
        <v>0</v>
      </c>
      <c r="I185" s="42">
        <f t="shared" si="9"/>
        <v>0</v>
      </c>
      <c r="J185" s="29"/>
    </row>
    <row r="186" spans="1:10" x14ac:dyDescent="0.25">
      <c r="A186" s="38">
        <f>Données!A186</f>
        <v>5715</v>
      </c>
      <c r="B186" s="128" t="str">
        <f>Données!B186</f>
        <v>Duillier</v>
      </c>
      <c r="C186" s="266">
        <f>VPI!R186</f>
        <v>62085.974545454548</v>
      </c>
      <c r="D186" s="148">
        <f>Effort!I186-IF(PCS!I192&lt;0, Effort!D186, 0)</f>
        <v>29.458030193387486</v>
      </c>
      <c r="E186" s="381">
        <f>IF(PCS!I192&lt;0, 0, PCS!F192/Aide!C186)</f>
        <v>3.3461004924373783</v>
      </c>
      <c r="F186" s="381">
        <f>Effort!G186</f>
        <v>0</v>
      </c>
      <c r="G186" s="279">
        <f t="shared" si="7"/>
        <v>32.804130685824866</v>
      </c>
      <c r="H186" s="159">
        <f t="shared" si="8"/>
        <v>0</v>
      </c>
      <c r="I186" s="42">
        <f t="shared" si="9"/>
        <v>0</v>
      </c>
      <c r="J186" s="29"/>
    </row>
    <row r="187" spans="1:10" x14ac:dyDescent="0.25">
      <c r="A187" s="38">
        <f>Données!A187</f>
        <v>5716</v>
      </c>
      <c r="B187" s="128" t="str">
        <f>Données!B187</f>
        <v>Eysins</v>
      </c>
      <c r="C187" s="266">
        <f>VPI!R187</f>
        <v>264344.77579831937</v>
      </c>
      <c r="D187" s="148">
        <f>Effort!I187-IF(PCS!I193&lt;0, Effort!D187, 0)</f>
        <v>46.174038218174324</v>
      </c>
      <c r="E187" s="381">
        <f>IF(PCS!I193&lt;0, 0, PCS!F193/Aide!C187)</f>
        <v>1.3973029876777627</v>
      </c>
      <c r="F187" s="381">
        <f>Effort!G187</f>
        <v>0</v>
      </c>
      <c r="G187" s="279">
        <f t="shared" si="7"/>
        <v>47.571341205852086</v>
      </c>
      <c r="H187" s="159">
        <f t="shared" si="8"/>
        <v>0</v>
      </c>
      <c r="I187" s="42">
        <f t="shared" si="9"/>
        <v>0</v>
      </c>
      <c r="J187" s="29"/>
    </row>
    <row r="188" spans="1:10" x14ac:dyDescent="0.25">
      <c r="A188" s="38">
        <f>Données!A188</f>
        <v>5717</v>
      </c>
      <c r="B188" s="128" t="str">
        <f>Données!B188</f>
        <v>Founex</v>
      </c>
      <c r="C188" s="266">
        <f>VPI!R188</f>
        <v>391171.86561403517</v>
      </c>
      <c r="D188" s="148">
        <f>Effort!I188-IF(PCS!I194&lt;0, Effort!D188, 0)</f>
        <v>37.689923633811162</v>
      </c>
      <c r="E188" s="381">
        <f>IF(PCS!I194&lt;0, 0, PCS!F194/Aide!C188)</f>
        <v>1.9299821162110498</v>
      </c>
      <c r="F188" s="381">
        <f>Effort!G188</f>
        <v>0</v>
      </c>
      <c r="G188" s="279">
        <f t="shared" si="7"/>
        <v>39.619905750022212</v>
      </c>
      <c r="H188" s="159">
        <f t="shared" si="8"/>
        <v>0</v>
      </c>
      <c r="I188" s="42">
        <f t="shared" si="9"/>
        <v>0</v>
      </c>
      <c r="J188" s="29"/>
    </row>
    <row r="189" spans="1:10" x14ac:dyDescent="0.25">
      <c r="A189" s="38">
        <f>Données!A189</f>
        <v>5718</v>
      </c>
      <c r="B189" s="128" t="str">
        <f>Données!B189</f>
        <v>Genolier</v>
      </c>
      <c r="C189" s="266">
        <f>VPI!R189</f>
        <v>199612.23730769227</v>
      </c>
      <c r="D189" s="148">
        <f>Effort!I189-IF(PCS!I195&lt;0, Effort!D189, 0)</f>
        <v>36.66732774454853</v>
      </c>
      <c r="E189" s="381">
        <f>IF(PCS!I195&lt;0, 0, PCS!F195/Aide!C189)</f>
        <v>2.4002804961373796</v>
      </c>
      <c r="F189" s="381">
        <f>Effort!G189</f>
        <v>0</v>
      </c>
      <c r="G189" s="279">
        <f t="shared" si="7"/>
        <v>39.067608240685907</v>
      </c>
      <c r="H189" s="159">
        <f t="shared" si="8"/>
        <v>0</v>
      </c>
      <c r="I189" s="42">
        <f t="shared" si="9"/>
        <v>0</v>
      </c>
      <c r="J189" s="29"/>
    </row>
    <row r="190" spans="1:10" x14ac:dyDescent="0.25">
      <c r="A190" s="38">
        <f>Données!A190</f>
        <v>5719</v>
      </c>
      <c r="B190" s="128" t="str">
        <f>Données!B190</f>
        <v>Gingins</v>
      </c>
      <c r="C190" s="266">
        <f>VPI!R190</f>
        <v>144024.32127777775</v>
      </c>
      <c r="D190" s="148">
        <f>Effort!I190-IF(PCS!I196&lt;0, Effort!D190, 0)</f>
        <v>41.774848304208021</v>
      </c>
      <c r="E190" s="381">
        <f>IF(PCS!I196&lt;0, 0, PCS!F196/Aide!C190)</f>
        <v>2.5600224443264881</v>
      </c>
      <c r="F190" s="381">
        <f>Effort!G190</f>
        <v>0</v>
      </c>
      <c r="G190" s="279">
        <f t="shared" si="7"/>
        <v>44.334870748534506</v>
      </c>
      <c r="H190" s="159">
        <f t="shared" si="8"/>
        <v>0</v>
      </c>
      <c r="I190" s="42">
        <f t="shared" si="9"/>
        <v>0</v>
      </c>
      <c r="J190" s="29"/>
    </row>
    <row r="191" spans="1:10" x14ac:dyDescent="0.25">
      <c r="A191" s="38">
        <f>Données!A191</f>
        <v>5720</v>
      </c>
      <c r="B191" s="128" t="str">
        <f>Données!B191</f>
        <v>Givrins</v>
      </c>
      <c r="C191" s="266">
        <f>VPI!R191</f>
        <v>79448.9027363184</v>
      </c>
      <c r="D191" s="148">
        <f>Effort!I191-IF(PCS!I197&lt;0, Effort!D191, 0)</f>
        <v>35.860955365104033</v>
      </c>
      <c r="E191" s="381">
        <f>IF(PCS!I197&lt;0, 0, PCS!F197/Aide!C191)</f>
        <v>2.5660175028044327</v>
      </c>
      <c r="F191" s="381">
        <f>Effort!G191</f>
        <v>0</v>
      </c>
      <c r="G191" s="279">
        <f t="shared" si="7"/>
        <v>38.426972867908468</v>
      </c>
      <c r="H191" s="159">
        <f t="shared" si="8"/>
        <v>0</v>
      </c>
      <c r="I191" s="42">
        <f t="shared" si="9"/>
        <v>0</v>
      </c>
      <c r="J191" s="29"/>
    </row>
    <row r="192" spans="1:10" x14ac:dyDescent="0.25">
      <c r="A192" s="38">
        <f>Données!A192</f>
        <v>5721</v>
      </c>
      <c r="B192" s="128" t="str">
        <f>Données!B192</f>
        <v>Gland</v>
      </c>
      <c r="C192" s="266">
        <f>VPI!R192</f>
        <v>729933.83950819669</v>
      </c>
      <c r="D192" s="148">
        <f>Effort!I192-IF(PCS!I198&lt;0, Effort!D192, 0)</f>
        <v>18.842527115263625</v>
      </c>
      <c r="E192" s="381">
        <f>IF(PCS!I198&lt;0, 0, PCS!F198/Aide!C192)</f>
        <v>4.1018564669056943</v>
      </c>
      <c r="F192" s="381">
        <f>Effort!G192</f>
        <v>0</v>
      </c>
      <c r="G192" s="279">
        <f t="shared" si="7"/>
        <v>22.944383582169319</v>
      </c>
      <c r="H192" s="159">
        <f t="shared" si="8"/>
        <v>0</v>
      </c>
      <c r="I192" s="42">
        <f t="shared" si="9"/>
        <v>0</v>
      </c>
      <c r="J192" s="29"/>
    </row>
    <row r="193" spans="1:10" x14ac:dyDescent="0.25">
      <c r="A193" s="38">
        <f>Données!A193</f>
        <v>5722</v>
      </c>
      <c r="B193" s="128" t="str">
        <f>Données!B193</f>
        <v>Grens</v>
      </c>
      <c r="C193" s="266">
        <f>VPI!R193</f>
        <v>21839.736451612909</v>
      </c>
      <c r="D193" s="148">
        <f>Effort!I193-IF(PCS!I199&lt;0, Effort!D193, 0)</f>
        <v>29.813395417799356</v>
      </c>
      <c r="E193" s="381">
        <f>IF(PCS!I199&lt;0, 0, PCS!F199/Aide!C193)</f>
        <v>22.972723645799633</v>
      </c>
      <c r="F193" s="381">
        <f>Effort!G193</f>
        <v>0</v>
      </c>
      <c r="G193" s="279">
        <f t="shared" si="7"/>
        <v>52.786119063598989</v>
      </c>
      <c r="H193" s="159">
        <f t="shared" si="8"/>
        <v>0</v>
      </c>
      <c r="I193" s="42">
        <f t="shared" si="9"/>
        <v>0</v>
      </c>
      <c r="J193" s="29"/>
    </row>
    <row r="194" spans="1:10" x14ac:dyDescent="0.25">
      <c r="A194" s="38">
        <f>Données!A194</f>
        <v>5723</v>
      </c>
      <c r="B194" s="128" t="str">
        <f>Données!B194</f>
        <v>Mies</v>
      </c>
      <c r="C194" s="266">
        <f>VPI!R194</f>
        <v>253199.57134615383</v>
      </c>
      <c r="D194" s="148">
        <f>Effort!I194-IF(PCS!I200&lt;0, Effort!D194, 0)</f>
        <v>39.784266292009221</v>
      </c>
      <c r="E194" s="381">
        <f>IF(PCS!I200&lt;0, 0, PCS!F200/Aide!C194)</f>
        <v>2.8702569523960588</v>
      </c>
      <c r="F194" s="381">
        <f>Effort!G194</f>
        <v>0</v>
      </c>
      <c r="G194" s="279">
        <f t="shared" si="7"/>
        <v>42.654523244405283</v>
      </c>
      <c r="H194" s="159">
        <f t="shared" si="8"/>
        <v>0</v>
      </c>
      <c r="I194" s="42">
        <f t="shared" si="9"/>
        <v>0</v>
      </c>
      <c r="J194" s="29"/>
    </row>
    <row r="195" spans="1:10" x14ac:dyDescent="0.25">
      <c r="A195" s="38">
        <f>Données!A195</f>
        <v>5724</v>
      </c>
      <c r="B195" s="128" t="str">
        <f>Données!B195</f>
        <v>Nyon</v>
      </c>
      <c r="C195" s="266">
        <f>VPI!R195</f>
        <v>1663090.0153005463</v>
      </c>
      <c r="D195" s="148">
        <f>Effort!I195-IF(PCS!I201&lt;0, Effort!D195, 0)</f>
        <v>24.283975012247737</v>
      </c>
      <c r="E195" s="381">
        <f>IF(PCS!I201&lt;0, 0, PCS!F201/Aide!C195)</f>
        <v>4.955077614070559</v>
      </c>
      <c r="F195" s="381">
        <f>Effort!G195</f>
        <v>0</v>
      </c>
      <c r="G195" s="279">
        <f t="shared" si="7"/>
        <v>29.239052626318298</v>
      </c>
      <c r="H195" s="159">
        <f t="shared" si="8"/>
        <v>0</v>
      </c>
      <c r="I195" s="42">
        <f t="shared" si="9"/>
        <v>0</v>
      </c>
      <c r="J195" s="29"/>
    </row>
    <row r="196" spans="1:10" x14ac:dyDescent="0.25">
      <c r="A196" s="38">
        <f>Données!A196</f>
        <v>5725</v>
      </c>
      <c r="B196" s="128" t="str">
        <f>Données!B196</f>
        <v>Prangins</v>
      </c>
      <c r="C196" s="266">
        <f>VPI!R196</f>
        <v>341674.87389610388</v>
      </c>
      <c r="D196" s="148">
        <f>Effort!I196-IF(PCS!I202&lt;0, Effort!D196, 0)</f>
        <v>32.239977153483807</v>
      </c>
      <c r="E196" s="381">
        <f>IF(PCS!I202&lt;0, 0, PCS!F202/Aide!C196)</f>
        <v>3.1765876800470707</v>
      </c>
      <c r="F196" s="381">
        <f>Effort!G196</f>
        <v>0</v>
      </c>
      <c r="G196" s="279">
        <f t="shared" si="7"/>
        <v>35.416564833530877</v>
      </c>
      <c r="H196" s="159">
        <f t="shared" si="8"/>
        <v>0</v>
      </c>
      <c r="I196" s="42">
        <f t="shared" si="9"/>
        <v>0</v>
      </c>
      <c r="J196" s="29"/>
    </row>
    <row r="197" spans="1:10" x14ac:dyDescent="0.25">
      <c r="A197" s="38">
        <f>Données!A197</f>
        <v>5726</v>
      </c>
      <c r="B197" s="128" t="str">
        <f>Données!B197</f>
        <v>La Rippe</v>
      </c>
      <c r="C197" s="266">
        <f>VPI!R197</f>
        <v>71131.071496062999</v>
      </c>
      <c r="D197" s="148">
        <f>Effort!I197-IF(PCS!I203&lt;0, Effort!D197, 0)</f>
        <v>29.918318517238717</v>
      </c>
      <c r="E197" s="381">
        <f>IF(PCS!I203&lt;0, 0, PCS!F203/Aide!C197)</f>
        <v>0.94665662394424899</v>
      </c>
      <c r="F197" s="381">
        <f>Effort!G197</f>
        <v>0</v>
      </c>
      <c r="G197" s="279">
        <f t="shared" si="7"/>
        <v>30.864975141182967</v>
      </c>
      <c r="H197" s="159">
        <f t="shared" si="8"/>
        <v>0</v>
      </c>
      <c r="I197" s="42">
        <f t="shared" si="9"/>
        <v>0</v>
      </c>
      <c r="J197" s="29"/>
    </row>
    <row r="198" spans="1:10" x14ac:dyDescent="0.25">
      <c r="A198" s="38">
        <f>Données!A198</f>
        <v>5727</v>
      </c>
      <c r="B198" s="128" t="str">
        <f>Données!B198</f>
        <v>Saint-Cergue</v>
      </c>
      <c r="C198" s="266">
        <f>VPI!R198</f>
        <v>108766.91914141414</v>
      </c>
      <c r="D198" s="148">
        <f>Effort!I198-IF(PCS!I204&lt;0, Effort!D198, 0)</f>
        <v>17.428839074352258</v>
      </c>
      <c r="E198" s="381">
        <f>IF(PCS!I204&lt;0, 0, PCS!F204/Aide!C198)</f>
        <v>7.8858310207796913</v>
      </c>
      <c r="F198" s="381">
        <f>Effort!G198</f>
        <v>0</v>
      </c>
      <c r="G198" s="279">
        <f t="shared" si="7"/>
        <v>25.314670095131948</v>
      </c>
      <c r="H198" s="159">
        <f t="shared" si="8"/>
        <v>0</v>
      </c>
      <c r="I198" s="42">
        <f t="shared" si="9"/>
        <v>0</v>
      </c>
      <c r="J198" s="29"/>
    </row>
    <row r="199" spans="1:10" x14ac:dyDescent="0.25">
      <c r="A199" s="38">
        <f>Données!A199</f>
        <v>5728</v>
      </c>
      <c r="B199" s="128" t="str">
        <f>Données!B199</f>
        <v>Signy-Avenex</v>
      </c>
      <c r="C199" s="266">
        <f>VPI!R199</f>
        <v>54935.229999999996</v>
      </c>
      <c r="D199" s="148">
        <f>Effort!I199-IF(PCS!I205&lt;0, Effort!D199, 0)</f>
        <v>37.655843755945497</v>
      </c>
      <c r="E199" s="381">
        <f>IF(PCS!I205&lt;0, 0, PCS!F205/Aide!C199)</f>
        <v>1.9766641552242523</v>
      </c>
      <c r="F199" s="381">
        <f>Effort!G199</f>
        <v>0</v>
      </c>
      <c r="G199" s="279">
        <f t="shared" ref="G199:G262" si="10">D199+E199-F199</f>
        <v>39.632507911169746</v>
      </c>
      <c r="H199" s="159">
        <f t="shared" ref="H199:H262" si="11">IF(G199&lt;H$5,G199-H$5,0)</f>
        <v>0</v>
      </c>
      <c r="I199" s="42">
        <f t="shared" ref="I199:I262" si="12">-H199*C199</f>
        <v>0</v>
      </c>
      <c r="J199" s="29"/>
    </row>
    <row r="200" spans="1:10" x14ac:dyDescent="0.25">
      <c r="A200" s="38">
        <f>Données!A200</f>
        <v>5729</v>
      </c>
      <c r="B200" s="128" t="str">
        <f>Données!B200</f>
        <v>Tannay</v>
      </c>
      <c r="C200" s="266">
        <f>VPI!R200</f>
        <v>200776.3305785124</v>
      </c>
      <c r="D200" s="148">
        <f>Effort!I200-IF(PCS!I206&lt;0, Effort!D200, 0)</f>
        <v>41.939511021081088</v>
      </c>
      <c r="E200" s="381">
        <f>IF(PCS!I206&lt;0, 0, PCS!F206/Aide!C200)</f>
        <v>2.1365451483448381</v>
      </c>
      <c r="F200" s="381">
        <f>Effort!G200</f>
        <v>0</v>
      </c>
      <c r="G200" s="279">
        <f t="shared" si="10"/>
        <v>44.076056169425925</v>
      </c>
      <c r="H200" s="159">
        <f t="shared" si="11"/>
        <v>0</v>
      </c>
      <c r="I200" s="42">
        <f t="shared" si="12"/>
        <v>0</v>
      </c>
      <c r="J200" s="29"/>
    </row>
    <row r="201" spans="1:10" x14ac:dyDescent="0.25">
      <c r="A201" s="38">
        <f>Données!A201</f>
        <v>5730</v>
      </c>
      <c r="B201" s="128" t="str">
        <f>Données!B201</f>
        <v>Trélex</v>
      </c>
      <c r="C201" s="266">
        <f>VPI!R201</f>
        <v>146462.65611611609</v>
      </c>
      <c r="D201" s="148">
        <f>Effort!I201-IF(PCS!I207&lt;0, Effort!D201, 0)</f>
        <v>38.33912469939871</v>
      </c>
      <c r="E201" s="381">
        <f>IF(PCS!I207&lt;0, 0, PCS!F207/Aide!C201)</f>
        <v>1.6964891706115879</v>
      </c>
      <c r="F201" s="381">
        <f>Effort!G201</f>
        <v>0</v>
      </c>
      <c r="G201" s="279">
        <f t="shared" si="10"/>
        <v>40.035613870010295</v>
      </c>
      <c r="H201" s="159">
        <f t="shared" si="11"/>
        <v>0</v>
      </c>
      <c r="I201" s="42">
        <f t="shared" si="12"/>
        <v>0</v>
      </c>
      <c r="J201" s="29"/>
    </row>
    <row r="202" spans="1:10" x14ac:dyDescent="0.25">
      <c r="A202" s="38">
        <f>Données!A202</f>
        <v>5731</v>
      </c>
      <c r="B202" s="128" t="str">
        <f>Données!B202</f>
        <v>Le Vaud</v>
      </c>
      <c r="C202" s="266">
        <f>VPI!R202</f>
        <v>70899.219223744294</v>
      </c>
      <c r="D202" s="148">
        <f>Effort!I202-IF(PCS!I208&lt;0, Effort!D202, 0)</f>
        <v>26.994967079809861</v>
      </c>
      <c r="E202" s="381">
        <f>IF(PCS!I208&lt;0, 0, PCS!F208/Aide!C202)</f>
        <v>2.2696657560103057</v>
      </c>
      <c r="F202" s="381">
        <f>Effort!G202</f>
        <v>0</v>
      </c>
      <c r="G202" s="279">
        <f t="shared" si="10"/>
        <v>29.264632835820166</v>
      </c>
      <c r="H202" s="159">
        <f t="shared" si="11"/>
        <v>0</v>
      </c>
      <c r="I202" s="42">
        <f t="shared" si="12"/>
        <v>0</v>
      </c>
      <c r="J202" s="29"/>
    </row>
    <row r="203" spans="1:10" x14ac:dyDescent="0.25">
      <c r="A203" s="38">
        <f>Données!A203</f>
        <v>5732</v>
      </c>
      <c r="B203" s="128" t="str">
        <f>Données!B203</f>
        <v>Vich</v>
      </c>
      <c r="C203" s="266">
        <f>VPI!R203</f>
        <v>83913.803650793649</v>
      </c>
      <c r="D203" s="148">
        <f>Effort!I203-IF(PCS!I209&lt;0, Effort!D203, 0)</f>
        <v>33.401065068269759</v>
      </c>
      <c r="E203" s="381">
        <f>IF(PCS!I209&lt;0, 0, PCS!F209/Aide!C203)</f>
        <v>2.4116099043984409</v>
      </c>
      <c r="F203" s="381">
        <f>Effort!G203</f>
        <v>0</v>
      </c>
      <c r="G203" s="279">
        <f t="shared" si="10"/>
        <v>35.812674972668198</v>
      </c>
      <c r="H203" s="159">
        <f t="shared" si="11"/>
        <v>0</v>
      </c>
      <c r="I203" s="42">
        <f t="shared" si="12"/>
        <v>0</v>
      </c>
      <c r="J203" s="29"/>
    </row>
    <row r="204" spans="1:10" x14ac:dyDescent="0.25">
      <c r="A204" s="38">
        <f>Données!A204</f>
        <v>5741</v>
      </c>
      <c r="B204" s="128" t="str">
        <f>Données!B204</f>
        <v>L'Abergement</v>
      </c>
      <c r="C204" s="266">
        <f>VPI!R204</f>
        <v>8275.7188124999993</v>
      </c>
      <c r="D204" s="148">
        <f>Effort!I204-IF(PCS!I210&lt;0, Effort!D204, 0)</f>
        <v>11.148005567848273</v>
      </c>
      <c r="E204" s="381">
        <f>IF(PCS!I210&lt;0, 0, PCS!F210/Aide!C204)</f>
        <v>2.0336173063999934</v>
      </c>
      <c r="F204" s="381">
        <f>Effort!G204</f>
        <v>0</v>
      </c>
      <c r="G204" s="279">
        <f t="shared" si="10"/>
        <v>13.181622874248266</v>
      </c>
      <c r="H204" s="159">
        <f t="shared" si="11"/>
        <v>0</v>
      </c>
      <c r="I204" s="42">
        <f t="shared" si="12"/>
        <v>0</v>
      </c>
      <c r="J204" s="29"/>
    </row>
    <row r="205" spans="1:10" x14ac:dyDescent="0.25">
      <c r="A205" s="38">
        <f>Données!A205</f>
        <v>5742</v>
      </c>
      <c r="B205" s="128" t="str">
        <f>Données!B205</f>
        <v>Agiez</v>
      </c>
      <c r="C205" s="266">
        <f>VPI!R205</f>
        <v>9208.6422368421081</v>
      </c>
      <c r="D205" s="148">
        <f>Effort!I205-IF(PCS!I211&lt;0, Effort!D205, 0)</f>
        <v>0.93420175912116932</v>
      </c>
      <c r="E205" s="381">
        <f>IF(PCS!I211&lt;0, 0, PCS!F211/Aide!C205)</f>
        <v>0.54340367138815138</v>
      </c>
      <c r="F205" s="381">
        <f>Effort!G205</f>
        <v>0</v>
      </c>
      <c r="G205" s="279">
        <f t="shared" si="10"/>
        <v>1.4776054305093207</v>
      </c>
      <c r="H205" s="159">
        <f t="shared" si="11"/>
        <v>0</v>
      </c>
      <c r="I205" s="42">
        <f t="shared" si="12"/>
        <v>0</v>
      </c>
      <c r="J205" s="29"/>
    </row>
    <row r="206" spans="1:10" x14ac:dyDescent="0.25">
      <c r="A206" s="38">
        <f>Données!A206</f>
        <v>5743</v>
      </c>
      <c r="B206" s="128" t="str">
        <f>Données!B206</f>
        <v>Arnex-sur-Orbe</v>
      </c>
      <c r="C206" s="266">
        <f>VPI!R206</f>
        <v>19122.067147887326</v>
      </c>
      <c r="D206" s="148">
        <f>Effort!I206-IF(PCS!I212&lt;0, Effort!D206, 0)</f>
        <v>11.953140376925646</v>
      </c>
      <c r="E206" s="381">
        <f>IF(PCS!I212&lt;0, 0, PCS!F212/Aide!C206)</f>
        <v>5.7048011157126597</v>
      </c>
      <c r="F206" s="381">
        <f>Effort!G206</f>
        <v>0</v>
      </c>
      <c r="G206" s="279">
        <f t="shared" si="10"/>
        <v>17.657941492638304</v>
      </c>
      <c r="H206" s="159">
        <f t="shared" si="11"/>
        <v>0</v>
      </c>
      <c r="I206" s="42">
        <f t="shared" si="12"/>
        <v>0</v>
      </c>
      <c r="J206" s="29"/>
    </row>
    <row r="207" spans="1:10" x14ac:dyDescent="0.25">
      <c r="A207" s="38">
        <f>Données!A207</f>
        <v>5744</v>
      </c>
      <c r="B207" s="128" t="str">
        <f>Données!B207</f>
        <v>Ballaigues</v>
      </c>
      <c r="C207" s="266">
        <f>VPI!R207</f>
        <v>60998.783230769215</v>
      </c>
      <c r="D207" s="148">
        <f>Effort!I207-IF(PCS!I213&lt;0, Effort!D207, 0)</f>
        <v>27.88830620709307</v>
      </c>
      <c r="E207" s="381">
        <f>IF(PCS!I213&lt;0, 0, PCS!F213/Aide!C207)</f>
        <v>8.9442838217925527</v>
      </c>
      <c r="F207" s="381">
        <f>Effort!G207</f>
        <v>0</v>
      </c>
      <c r="G207" s="279">
        <f t="shared" si="10"/>
        <v>36.832590028885619</v>
      </c>
      <c r="H207" s="159">
        <f t="shared" si="11"/>
        <v>0</v>
      </c>
      <c r="I207" s="42">
        <f t="shared" si="12"/>
        <v>0</v>
      </c>
      <c r="J207" s="29"/>
    </row>
    <row r="208" spans="1:10" x14ac:dyDescent="0.25">
      <c r="A208" s="38">
        <f>Données!A208</f>
        <v>5745</v>
      </c>
      <c r="B208" s="128" t="str">
        <f>Données!B208</f>
        <v>Baulmes</v>
      </c>
      <c r="C208" s="266">
        <f>VPI!R208</f>
        <v>29147.980130718955</v>
      </c>
      <c r="D208" s="148">
        <f>Effort!I208-IF(PCS!I214&lt;0, Effort!D208, 0)</f>
        <v>2.3578123090930703</v>
      </c>
      <c r="E208" s="381">
        <f>IF(PCS!I214&lt;0, 0, PCS!F214/Aide!C208)</f>
        <v>2.8692928163436724</v>
      </c>
      <c r="F208" s="381">
        <f>Effort!G208</f>
        <v>0</v>
      </c>
      <c r="G208" s="279">
        <f t="shared" si="10"/>
        <v>5.2271051254367427</v>
      </c>
      <c r="H208" s="159">
        <f t="shared" si="11"/>
        <v>0</v>
      </c>
      <c r="I208" s="42">
        <f t="shared" si="12"/>
        <v>0</v>
      </c>
      <c r="J208" s="29"/>
    </row>
    <row r="209" spans="1:10" x14ac:dyDescent="0.25">
      <c r="A209" s="38">
        <f>Données!A209</f>
        <v>5746</v>
      </c>
      <c r="B209" s="128" t="str">
        <f>Données!B209</f>
        <v>Bavois</v>
      </c>
      <c r="C209" s="266">
        <f>VPI!R209</f>
        <v>33851.911712962959</v>
      </c>
      <c r="D209" s="148">
        <f>Effort!I209-IF(PCS!I215&lt;0, Effort!D209, 0)</f>
        <v>15.834339223381637</v>
      </c>
      <c r="E209" s="381">
        <f>IF(PCS!I215&lt;0, 0, PCS!F215/Aide!C209)</f>
        <v>3.1638572116146415</v>
      </c>
      <c r="F209" s="381">
        <f>Effort!G209</f>
        <v>0</v>
      </c>
      <c r="G209" s="279">
        <f t="shared" si="10"/>
        <v>18.998196434996277</v>
      </c>
      <c r="H209" s="159">
        <f t="shared" si="11"/>
        <v>0</v>
      </c>
      <c r="I209" s="42">
        <f t="shared" si="12"/>
        <v>0</v>
      </c>
      <c r="J209" s="29"/>
    </row>
    <row r="210" spans="1:10" x14ac:dyDescent="0.25">
      <c r="A210" s="38">
        <f>Données!A210</f>
        <v>5747</v>
      </c>
      <c r="B210" s="128" t="str">
        <f>Données!B210</f>
        <v>Bofflens</v>
      </c>
      <c r="C210" s="266">
        <f>VPI!R210</f>
        <v>7065.5449275362316</v>
      </c>
      <c r="D210" s="148">
        <f>Effort!I210-IF(PCS!I216&lt;0, Effort!D210, 0)</f>
        <v>20.366471777051501</v>
      </c>
      <c r="E210" s="381">
        <f>IF(PCS!I216&lt;0, 0, PCS!F216/Aide!C210)</f>
        <v>2.9668129231342304</v>
      </c>
      <c r="F210" s="381">
        <f>Effort!G210</f>
        <v>0</v>
      </c>
      <c r="G210" s="279">
        <f t="shared" si="10"/>
        <v>23.333284700185732</v>
      </c>
      <c r="H210" s="159">
        <f t="shared" si="11"/>
        <v>0</v>
      </c>
      <c r="I210" s="42">
        <f t="shared" si="12"/>
        <v>0</v>
      </c>
      <c r="J210" s="29"/>
    </row>
    <row r="211" spans="1:10" x14ac:dyDescent="0.25">
      <c r="A211" s="38">
        <f>Données!A211</f>
        <v>5748</v>
      </c>
      <c r="B211" s="128" t="str">
        <f>Données!B211</f>
        <v>Bretonnières</v>
      </c>
      <c r="C211" s="266">
        <f>VPI!R211</f>
        <v>6864.9177304964542</v>
      </c>
      <c r="D211" s="148">
        <f>Effort!I211-IF(PCS!I217&lt;0, Effort!D211, 0)</f>
        <v>8.6358929070652302</v>
      </c>
      <c r="E211" s="381">
        <f>IF(PCS!I217&lt;0, 0, PCS!F217/Aide!C211)</f>
        <v>1.9818766275318624</v>
      </c>
      <c r="F211" s="381">
        <f>Effort!G211</f>
        <v>0</v>
      </c>
      <c r="G211" s="279">
        <f t="shared" si="10"/>
        <v>10.617769534597093</v>
      </c>
      <c r="H211" s="159">
        <f t="shared" si="11"/>
        <v>0</v>
      </c>
      <c r="I211" s="42">
        <f t="shared" si="12"/>
        <v>0</v>
      </c>
      <c r="J211" s="29"/>
    </row>
    <row r="212" spans="1:10" x14ac:dyDescent="0.25">
      <c r="A212" s="38">
        <f>Données!A212</f>
        <v>5749</v>
      </c>
      <c r="B212" s="128" t="str">
        <f>Données!B212</f>
        <v>Chavornay</v>
      </c>
      <c r="C212" s="266">
        <f>VPI!R212</f>
        <v>149579.8465248227</v>
      </c>
      <c r="D212" s="148">
        <f>Effort!I212-IF(PCS!I218&lt;0, Effort!D212, 0)</f>
        <v>0.44809330602312158</v>
      </c>
      <c r="E212" s="381">
        <f>IF(PCS!I218&lt;0, 0, PCS!F218/Aide!C212)</f>
        <v>5.5443600141839564</v>
      </c>
      <c r="F212" s="381">
        <f>Effort!G212</f>
        <v>0</v>
      </c>
      <c r="G212" s="279">
        <f t="shared" si="10"/>
        <v>5.992453320207078</v>
      </c>
      <c r="H212" s="159">
        <f t="shared" si="11"/>
        <v>0</v>
      </c>
      <c r="I212" s="42">
        <f t="shared" si="12"/>
        <v>0</v>
      </c>
      <c r="J212" s="29"/>
    </row>
    <row r="213" spans="1:10" x14ac:dyDescent="0.25">
      <c r="A213" s="38">
        <f>Données!A213</f>
        <v>5750</v>
      </c>
      <c r="B213" s="128" t="str">
        <f>Données!B213</f>
        <v>Les Clées</v>
      </c>
      <c r="C213" s="266">
        <f>VPI!R213</f>
        <v>5320.5294166666672</v>
      </c>
      <c r="D213" s="148">
        <f>Effort!I213-IF(PCS!I219&lt;0, Effort!D213, 0)</f>
        <v>5.9811129926716067</v>
      </c>
      <c r="E213" s="381">
        <f>IF(PCS!I219&lt;0, 0, PCS!F219/Aide!C213)</f>
        <v>0.50278831118200273</v>
      </c>
      <c r="F213" s="381">
        <f>Effort!G213</f>
        <v>0</v>
      </c>
      <c r="G213" s="279">
        <f t="shared" si="10"/>
        <v>6.4839013038536093</v>
      </c>
      <c r="H213" s="159">
        <f t="shared" si="11"/>
        <v>0</v>
      </c>
      <c r="I213" s="42">
        <f t="shared" si="12"/>
        <v>0</v>
      </c>
      <c r="J213" s="29"/>
    </row>
    <row r="214" spans="1:10" x14ac:dyDescent="0.25">
      <c r="A214" s="38">
        <f>Données!A214</f>
        <v>5752</v>
      </c>
      <c r="B214" s="128" t="str">
        <f>Données!B214</f>
        <v>Croy</v>
      </c>
      <c r="C214" s="266">
        <f>VPI!R214</f>
        <v>9858.3588996138969</v>
      </c>
      <c r="D214" s="148">
        <f>Effort!I214-IF(PCS!I220&lt;0, Effort!D214, 0)</f>
        <v>3.8029986380105782</v>
      </c>
      <c r="E214" s="381">
        <f>IF(PCS!I220&lt;0, 0, PCS!F220/Aide!C214)</f>
        <v>13.119136391460179</v>
      </c>
      <c r="F214" s="381">
        <f>Effort!G214</f>
        <v>0</v>
      </c>
      <c r="G214" s="279">
        <f t="shared" si="10"/>
        <v>16.922135029470759</v>
      </c>
      <c r="H214" s="159">
        <f t="shared" si="11"/>
        <v>0</v>
      </c>
      <c r="I214" s="42">
        <f t="shared" si="12"/>
        <v>0</v>
      </c>
      <c r="J214" s="29"/>
    </row>
    <row r="215" spans="1:10" x14ac:dyDescent="0.25">
      <c r="A215" s="38">
        <f>Données!A215</f>
        <v>5754</v>
      </c>
      <c r="B215" s="128" t="str">
        <f>Données!B215</f>
        <v>Juriens</v>
      </c>
      <c r="C215" s="266">
        <f>VPI!R215</f>
        <v>8812.2215189873423</v>
      </c>
      <c r="D215" s="148">
        <f>Effort!I215-IF(PCS!I221&lt;0, Effort!D215, 0)</f>
        <v>1.3720781456345073</v>
      </c>
      <c r="E215" s="381">
        <f>IF(PCS!I221&lt;0, 0, PCS!F221/Aide!C215)</f>
        <v>3.0630102683916398</v>
      </c>
      <c r="F215" s="381">
        <f>Effort!G215</f>
        <v>0</v>
      </c>
      <c r="G215" s="279">
        <f t="shared" si="10"/>
        <v>4.4350884140261471</v>
      </c>
      <c r="H215" s="159">
        <f t="shared" si="11"/>
        <v>0</v>
      </c>
      <c r="I215" s="42">
        <f t="shared" si="12"/>
        <v>0</v>
      </c>
      <c r="J215" s="29"/>
    </row>
    <row r="216" spans="1:10" x14ac:dyDescent="0.25">
      <c r="A216" s="38">
        <f>Données!A216</f>
        <v>5755</v>
      </c>
      <c r="B216" s="128" t="str">
        <f>Données!B216</f>
        <v>Lignerolle</v>
      </c>
      <c r="C216" s="266">
        <f>VPI!R216</f>
        <v>11116.576615104641</v>
      </c>
      <c r="D216" s="148">
        <f>Effort!I216-IF(PCS!I222&lt;0, Effort!D216, 0)</f>
        <v>-0.65364991815311768</v>
      </c>
      <c r="E216" s="381">
        <f>IF(PCS!I222&lt;0, 0, PCS!F222/Aide!C216)</f>
        <v>1.4637595334781788</v>
      </c>
      <c r="F216" s="381">
        <f>Effort!G216</f>
        <v>0</v>
      </c>
      <c r="G216" s="279">
        <f t="shared" si="10"/>
        <v>0.81010961532506109</v>
      </c>
      <c r="H216" s="159">
        <f t="shared" si="11"/>
        <v>0</v>
      </c>
      <c r="I216" s="42">
        <f t="shared" si="12"/>
        <v>0</v>
      </c>
      <c r="J216" s="29"/>
    </row>
    <row r="217" spans="1:10" x14ac:dyDescent="0.25">
      <c r="A217" s="38">
        <f>Données!A217</f>
        <v>5756</v>
      </c>
      <c r="B217" s="128" t="str">
        <f>Données!B217</f>
        <v>Montcherand</v>
      </c>
      <c r="C217" s="266">
        <f>VPI!R217</f>
        <v>20941.594027777777</v>
      </c>
      <c r="D217" s="148">
        <f>Effort!I217-IF(PCS!I223&lt;0, Effort!D217, 0)</f>
        <v>24.229723575171313</v>
      </c>
      <c r="E217" s="381">
        <f>IF(PCS!I223&lt;0, 0, PCS!F223/Aide!C217)</f>
        <v>0.84127693319960251</v>
      </c>
      <c r="F217" s="381">
        <f>Effort!G217</f>
        <v>0</v>
      </c>
      <c r="G217" s="279">
        <f t="shared" si="10"/>
        <v>25.071000508370915</v>
      </c>
      <c r="H217" s="159">
        <f t="shared" si="11"/>
        <v>0</v>
      </c>
      <c r="I217" s="42">
        <f t="shared" si="12"/>
        <v>0</v>
      </c>
      <c r="J217" s="29"/>
    </row>
    <row r="218" spans="1:10" x14ac:dyDescent="0.25">
      <c r="A218" s="38">
        <f>Données!A218</f>
        <v>5757</v>
      </c>
      <c r="B218" s="128" t="str">
        <f>Données!B218</f>
        <v>Orbe</v>
      </c>
      <c r="C218" s="266">
        <f>VPI!R218</f>
        <v>226209.22728476822</v>
      </c>
      <c r="D218" s="148">
        <f>Effort!I218-IF(PCS!I224&lt;0, Effort!D218, 0)</f>
        <v>-1.7525360496862383</v>
      </c>
      <c r="E218" s="381">
        <f>IF(PCS!I224&lt;0, 0, PCS!F224/Aide!C218)</f>
        <v>9.8959734174854912</v>
      </c>
      <c r="F218" s="381">
        <f>Effort!G218</f>
        <v>0</v>
      </c>
      <c r="G218" s="279">
        <f t="shared" si="10"/>
        <v>8.1434373677992529</v>
      </c>
      <c r="H218" s="159">
        <f t="shared" si="11"/>
        <v>0</v>
      </c>
      <c r="I218" s="42">
        <f t="shared" si="12"/>
        <v>0</v>
      </c>
      <c r="J218" s="29"/>
    </row>
    <row r="219" spans="1:10" x14ac:dyDescent="0.25">
      <c r="A219" s="38">
        <f>Données!A219</f>
        <v>5758</v>
      </c>
      <c r="B219" s="128" t="str">
        <f>Données!B219</f>
        <v>La Praz</v>
      </c>
      <c r="C219" s="266">
        <f>VPI!R219</f>
        <v>5593.0973493975916</v>
      </c>
      <c r="D219" s="148">
        <f>Effort!I219-IF(PCS!I225&lt;0, Effort!D219, 0)</f>
        <v>3.3375257216025531</v>
      </c>
      <c r="E219" s="381">
        <f>IF(PCS!I225&lt;0, 0, PCS!F225/Aide!C219)</f>
        <v>4.0366747777833201</v>
      </c>
      <c r="F219" s="381">
        <f>Effort!G219</f>
        <v>0</v>
      </c>
      <c r="G219" s="279">
        <f t="shared" si="10"/>
        <v>7.3742004993858732</v>
      </c>
      <c r="H219" s="159">
        <f t="shared" si="11"/>
        <v>0</v>
      </c>
      <c r="I219" s="42">
        <f t="shared" si="12"/>
        <v>0</v>
      </c>
      <c r="J219" s="29"/>
    </row>
    <row r="220" spans="1:10" x14ac:dyDescent="0.25">
      <c r="A220" s="38">
        <f>Données!A220</f>
        <v>5759</v>
      </c>
      <c r="B220" s="128" t="str">
        <f>Données!B220</f>
        <v>Premier</v>
      </c>
      <c r="C220" s="266">
        <f>VPI!R220</f>
        <v>5351.6616352201272</v>
      </c>
      <c r="D220" s="148">
        <f>Effort!I220-IF(PCS!I226&lt;0, Effort!D220, 0)</f>
        <v>-4.049163730990248</v>
      </c>
      <c r="E220" s="381">
        <f>IF(PCS!I226&lt;0, 0, PCS!F226/Aide!C220)</f>
        <v>0.21208926822469287</v>
      </c>
      <c r="F220" s="381">
        <f>Effort!G220</f>
        <v>0</v>
      </c>
      <c r="G220" s="279">
        <f t="shared" si="10"/>
        <v>-3.8370744627655551</v>
      </c>
      <c r="H220" s="159">
        <f t="shared" si="11"/>
        <v>0</v>
      </c>
      <c r="I220" s="42">
        <f t="shared" si="12"/>
        <v>0</v>
      </c>
      <c r="J220" s="29"/>
    </row>
    <row r="221" spans="1:10" x14ac:dyDescent="0.25">
      <c r="A221" s="38">
        <f>Données!A221</f>
        <v>5760</v>
      </c>
      <c r="B221" s="128" t="str">
        <f>Données!B221</f>
        <v>Rances</v>
      </c>
      <c r="C221" s="266">
        <f>VPI!R221</f>
        <v>16377.081307189543</v>
      </c>
      <c r="D221" s="148">
        <f>Effort!I221-IF(PCS!I227&lt;0, Effort!D221, 0)</f>
        <v>12.885115920967769</v>
      </c>
      <c r="E221" s="381">
        <f>IF(PCS!I227&lt;0, 0, PCS!F227/Aide!C221)</f>
        <v>3.5599957590981282</v>
      </c>
      <c r="F221" s="381">
        <f>Effort!G221</f>
        <v>0</v>
      </c>
      <c r="G221" s="279">
        <f t="shared" si="10"/>
        <v>16.445111680065896</v>
      </c>
      <c r="H221" s="159">
        <f t="shared" si="11"/>
        <v>0</v>
      </c>
      <c r="I221" s="42">
        <f t="shared" si="12"/>
        <v>0</v>
      </c>
      <c r="J221" s="29"/>
    </row>
    <row r="222" spans="1:10" x14ac:dyDescent="0.25">
      <c r="A222" s="38">
        <f>Données!A222</f>
        <v>5761</v>
      </c>
      <c r="B222" s="128" t="str">
        <f>Données!B222</f>
        <v>Romainmôtier-Envy</v>
      </c>
      <c r="C222" s="266">
        <f>VPI!R222</f>
        <v>13471.82785634119</v>
      </c>
      <c r="D222" s="148">
        <f>Effort!I222-IF(PCS!I228&lt;0, Effort!D222, 0)</f>
        <v>-3.9361618684773809</v>
      </c>
      <c r="E222" s="381">
        <f>IF(PCS!I228&lt;0, 0, PCS!F228/Aide!C222)</f>
        <v>5.5463334891730858</v>
      </c>
      <c r="F222" s="381">
        <f>Effort!G222</f>
        <v>0</v>
      </c>
      <c r="G222" s="279">
        <f t="shared" si="10"/>
        <v>1.6101716206957049</v>
      </c>
      <c r="H222" s="159">
        <f t="shared" si="11"/>
        <v>0</v>
      </c>
      <c r="I222" s="42">
        <f t="shared" si="12"/>
        <v>0</v>
      </c>
      <c r="J222" s="29"/>
    </row>
    <row r="223" spans="1:10" x14ac:dyDescent="0.25">
      <c r="A223" s="38">
        <f>Données!A223</f>
        <v>5762</v>
      </c>
      <c r="B223" s="128" t="str">
        <f>Données!B223</f>
        <v>Sergey</v>
      </c>
      <c r="C223" s="266">
        <f>VPI!R223</f>
        <v>3564.2302564102565</v>
      </c>
      <c r="D223" s="148">
        <f>Effort!I223-IF(PCS!I229&lt;0, Effort!D223, 0)</f>
        <v>3.8379716707142819</v>
      </c>
      <c r="E223" s="381">
        <f>IF(PCS!I229&lt;0, 0, PCS!F229/Aide!C223)</f>
        <v>6.3847811064035263</v>
      </c>
      <c r="F223" s="381">
        <f>Effort!G223</f>
        <v>0</v>
      </c>
      <c r="G223" s="279">
        <f t="shared" si="10"/>
        <v>10.222752777117808</v>
      </c>
      <c r="H223" s="159">
        <f t="shared" si="11"/>
        <v>0</v>
      </c>
      <c r="I223" s="42">
        <f t="shared" si="12"/>
        <v>0</v>
      </c>
      <c r="J223" s="29"/>
    </row>
    <row r="224" spans="1:10" x14ac:dyDescent="0.25">
      <c r="A224" s="38">
        <f>Données!A224</f>
        <v>5763</v>
      </c>
      <c r="B224" s="128" t="str">
        <f>Données!B224</f>
        <v>Valeyres-sous-Rances</v>
      </c>
      <c r="C224" s="266">
        <f>VPI!R224</f>
        <v>21279.080140845068</v>
      </c>
      <c r="D224" s="148">
        <f>Effort!I224-IF(PCS!I230&lt;0, Effort!D224, 0)</f>
        <v>20.033024735549773</v>
      </c>
      <c r="E224" s="381">
        <f>IF(PCS!I230&lt;0, 0, PCS!F230/Aide!C224)</f>
        <v>2.8233527766399997</v>
      </c>
      <c r="F224" s="381">
        <f>Effort!G224</f>
        <v>0</v>
      </c>
      <c r="G224" s="279">
        <f t="shared" si="10"/>
        <v>22.856377512189773</v>
      </c>
      <c r="H224" s="159">
        <f t="shared" si="11"/>
        <v>0</v>
      </c>
      <c r="I224" s="42">
        <f t="shared" si="12"/>
        <v>0</v>
      </c>
      <c r="J224" s="29"/>
    </row>
    <row r="225" spans="1:10" x14ac:dyDescent="0.25">
      <c r="A225" s="38">
        <f>Données!A225</f>
        <v>5764</v>
      </c>
      <c r="B225" s="128" t="str">
        <f>Données!B225</f>
        <v>Vallorbe</v>
      </c>
      <c r="C225" s="266">
        <f>VPI!R225</f>
        <v>94417.86909090908</v>
      </c>
      <c r="D225" s="148">
        <f>Effort!I225-IF(PCS!I231&lt;0, Effort!D225, 0)</f>
        <v>-8.2810841672068101</v>
      </c>
      <c r="E225" s="381">
        <f>IF(PCS!I231&lt;0, 0, PCS!F231/Aide!C225)</f>
        <v>11.445291769500953</v>
      </c>
      <c r="F225" s="381">
        <f>Effort!G225</f>
        <v>0</v>
      </c>
      <c r="G225" s="279">
        <f t="shared" si="10"/>
        <v>3.1642076022941428</v>
      </c>
      <c r="H225" s="159">
        <f t="shared" si="11"/>
        <v>0</v>
      </c>
      <c r="I225" s="42">
        <f t="shared" si="12"/>
        <v>0</v>
      </c>
      <c r="J225" s="29"/>
    </row>
    <row r="226" spans="1:10" x14ac:dyDescent="0.25">
      <c r="A226" s="38">
        <f>Données!A226</f>
        <v>5765</v>
      </c>
      <c r="B226" s="128" t="str">
        <f>Données!B226</f>
        <v>Vaulion</v>
      </c>
      <c r="C226" s="266">
        <f>VPI!R226</f>
        <v>11559.011234567901</v>
      </c>
      <c r="D226" s="148">
        <f>Effort!I226-IF(PCS!I232&lt;0, Effort!D226, 0)</f>
        <v>-3.0276698614387385</v>
      </c>
      <c r="E226" s="381">
        <f>IF(PCS!I232&lt;0, 0, PCS!F232/Aide!C226)</f>
        <v>9.167692447870639</v>
      </c>
      <c r="F226" s="381">
        <f>Effort!G226</f>
        <v>0</v>
      </c>
      <c r="G226" s="279">
        <f t="shared" si="10"/>
        <v>6.1400225864319005</v>
      </c>
      <c r="H226" s="159">
        <f t="shared" si="11"/>
        <v>0</v>
      </c>
      <c r="I226" s="42">
        <f t="shared" si="12"/>
        <v>0</v>
      </c>
      <c r="J226" s="29"/>
    </row>
    <row r="227" spans="1:10" x14ac:dyDescent="0.25">
      <c r="A227" s="38">
        <f>Données!A227</f>
        <v>5766</v>
      </c>
      <c r="B227" s="128" t="str">
        <f>Données!B227</f>
        <v>Vuiteboeuf</v>
      </c>
      <c r="C227" s="266">
        <f>VPI!R227</f>
        <v>14621.166361904759</v>
      </c>
      <c r="D227" s="148">
        <f>Effort!I227-IF(PCS!I233&lt;0, Effort!D227, 0)</f>
        <v>3.4507246894582728</v>
      </c>
      <c r="E227" s="381">
        <f>IF(PCS!I233&lt;0, 0, PCS!F233/Aide!C227)</f>
        <v>5.9164438635612795</v>
      </c>
      <c r="F227" s="381">
        <f>Effort!G227</f>
        <v>0</v>
      </c>
      <c r="G227" s="279">
        <f t="shared" si="10"/>
        <v>9.3671685530195532</v>
      </c>
      <c r="H227" s="159">
        <f t="shared" si="11"/>
        <v>0</v>
      </c>
      <c r="I227" s="42">
        <f t="shared" si="12"/>
        <v>0</v>
      </c>
      <c r="J227" s="29"/>
    </row>
    <row r="228" spans="1:10" x14ac:dyDescent="0.25">
      <c r="A228" s="38">
        <f>Données!A228</f>
        <v>5785</v>
      </c>
      <c r="B228" s="128" t="str">
        <f>Données!B228</f>
        <v>Corcelles-le-Jorat</v>
      </c>
      <c r="C228" s="266">
        <f>VPI!R228</f>
        <v>17967.826266666671</v>
      </c>
      <c r="D228" s="148">
        <f>Effort!I228-IF(PCS!I234&lt;0, Effort!D228, 0)</f>
        <v>18.670958210898732</v>
      </c>
      <c r="E228" s="381">
        <f>IF(PCS!I234&lt;0, 0, PCS!F234/Aide!C228)</f>
        <v>4.2236105176944525</v>
      </c>
      <c r="F228" s="381">
        <f>Effort!G228</f>
        <v>0</v>
      </c>
      <c r="G228" s="279">
        <f t="shared" si="10"/>
        <v>22.894568728593185</v>
      </c>
      <c r="H228" s="159">
        <f t="shared" si="11"/>
        <v>0</v>
      </c>
      <c r="I228" s="42">
        <f t="shared" si="12"/>
        <v>0</v>
      </c>
      <c r="J228" s="29"/>
    </row>
    <row r="229" spans="1:10" x14ac:dyDescent="0.25">
      <c r="A229" s="38">
        <f>Données!A229</f>
        <v>5790</v>
      </c>
      <c r="B229" s="128" t="str">
        <f>Données!B229</f>
        <v>Maracon</v>
      </c>
      <c r="C229" s="266">
        <f>VPI!R229</f>
        <v>17556.382281879196</v>
      </c>
      <c r="D229" s="148">
        <f>Effort!I229-IF(PCS!I235&lt;0, Effort!D229, 0)</f>
        <v>13.298030921129321</v>
      </c>
      <c r="E229" s="381">
        <f>IF(PCS!I235&lt;0, 0, PCS!F235/Aide!C229)</f>
        <v>3.0850985772794699</v>
      </c>
      <c r="F229" s="381">
        <f>Effort!G229</f>
        <v>0</v>
      </c>
      <c r="G229" s="279">
        <f t="shared" si="10"/>
        <v>16.383129498408792</v>
      </c>
      <c r="H229" s="159">
        <f t="shared" si="11"/>
        <v>0</v>
      </c>
      <c r="I229" s="42">
        <f t="shared" si="12"/>
        <v>0</v>
      </c>
      <c r="J229" s="29"/>
    </row>
    <row r="230" spans="1:10" x14ac:dyDescent="0.25">
      <c r="A230" s="38">
        <f>Données!A230</f>
        <v>5792</v>
      </c>
      <c r="B230" s="128" t="str">
        <f>Données!B230</f>
        <v>Montpreveyres</v>
      </c>
      <c r="C230" s="266">
        <f>VPI!R230</f>
        <v>19503.116799999996</v>
      </c>
      <c r="D230" s="148">
        <f>Effort!I230-IF(PCS!I236&lt;0, Effort!D230, 0)</f>
        <v>12.984120331608707</v>
      </c>
      <c r="E230" s="381">
        <f>IF(PCS!I236&lt;0, 0, PCS!F236/Aide!C230)</f>
        <v>5.6710627913585601</v>
      </c>
      <c r="F230" s="381">
        <f>Effort!G230</f>
        <v>0</v>
      </c>
      <c r="G230" s="279">
        <f t="shared" si="10"/>
        <v>18.655183122967266</v>
      </c>
      <c r="H230" s="159">
        <f t="shared" si="11"/>
        <v>0</v>
      </c>
      <c r="I230" s="42">
        <f t="shared" si="12"/>
        <v>0</v>
      </c>
      <c r="J230" s="29"/>
    </row>
    <row r="231" spans="1:10" x14ac:dyDescent="0.25">
      <c r="A231" s="38">
        <f>Données!A231</f>
        <v>5798</v>
      </c>
      <c r="B231" s="128" t="str">
        <f>Données!B231</f>
        <v>Ropraz</v>
      </c>
      <c r="C231" s="266">
        <f>VPI!R231</f>
        <v>16096.874193548387</v>
      </c>
      <c r="D231" s="148">
        <f>Effort!I231-IF(PCS!I237&lt;0, Effort!D231, 0)</f>
        <v>10.971118679068661</v>
      </c>
      <c r="E231" s="381">
        <f>IF(PCS!I237&lt;0, 0, PCS!F237/Aide!C231)</f>
        <v>4.7571586930021077</v>
      </c>
      <c r="F231" s="381">
        <f>Effort!G231</f>
        <v>0</v>
      </c>
      <c r="G231" s="279">
        <f t="shared" si="10"/>
        <v>15.728277372070769</v>
      </c>
      <c r="H231" s="159">
        <f t="shared" si="11"/>
        <v>0</v>
      </c>
      <c r="I231" s="42">
        <f t="shared" si="12"/>
        <v>0</v>
      </c>
      <c r="J231" s="29"/>
    </row>
    <row r="232" spans="1:10" x14ac:dyDescent="0.25">
      <c r="A232" s="38">
        <f>Données!A232</f>
        <v>5799</v>
      </c>
      <c r="B232" s="128" t="str">
        <f>Données!B232</f>
        <v>Servion</v>
      </c>
      <c r="C232" s="266">
        <f>VPI!R232</f>
        <v>78403.185652173925</v>
      </c>
      <c r="D232" s="148">
        <f>Effort!I232-IF(PCS!I238&lt;0, Effort!D232, 0)</f>
        <v>16.57390982059551</v>
      </c>
      <c r="E232" s="381">
        <f>IF(PCS!I238&lt;0, 0, PCS!F238/Aide!C232)</f>
        <v>2.7629622214718461</v>
      </c>
      <c r="F232" s="381">
        <f>Effort!G232</f>
        <v>0</v>
      </c>
      <c r="G232" s="279">
        <f t="shared" si="10"/>
        <v>19.336872042067355</v>
      </c>
      <c r="H232" s="159">
        <f t="shared" si="11"/>
        <v>0</v>
      </c>
      <c r="I232" s="42">
        <f t="shared" si="12"/>
        <v>0</v>
      </c>
      <c r="J232" s="29"/>
    </row>
    <row r="233" spans="1:10" x14ac:dyDescent="0.25">
      <c r="A233" s="38">
        <f>Données!A233</f>
        <v>5803</v>
      </c>
      <c r="B233" s="128" t="str">
        <f>Données!B233</f>
        <v>Vulliens</v>
      </c>
      <c r="C233" s="266">
        <f>VPI!R233</f>
        <v>18504.850945945949</v>
      </c>
      <c r="D233" s="148">
        <f>Effort!I233-IF(PCS!I239&lt;0, Effort!D233, 0)</f>
        <v>10.304884728738681</v>
      </c>
      <c r="E233" s="381">
        <f>IF(PCS!I239&lt;0, 0, PCS!F239/Aide!C233)</f>
        <v>2.6370474500196246</v>
      </c>
      <c r="F233" s="381">
        <f>Effort!G233</f>
        <v>0</v>
      </c>
      <c r="G233" s="279">
        <f t="shared" si="10"/>
        <v>12.941932178758305</v>
      </c>
      <c r="H233" s="159">
        <f t="shared" si="11"/>
        <v>0</v>
      </c>
      <c r="I233" s="42">
        <f t="shared" si="12"/>
        <v>0</v>
      </c>
      <c r="J233" s="29"/>
    </row>
    <row r="234" spans="1:10" x14ac:dyDescent="0.25">
      <c r="A234" s="38">
        <f>Données!A234</f>
        <v>5804</v>
      </c>
      <c r="B234" s="128" t="str">
        <f>Données!B234</f>
        <v>Jorat-Menthue</v>
      </c>
      <c r="C234" s="266">
        <f>VPI!R234</f>
        <v>49008.353617021276</v>
      </c>
      <c r="D234" s="148">
        <f>Effort!I234-IF(PCS!I240&lt;0, Effort!D234, 0)</f>
        <v>12.583766389576631</v>
      </c>
      <c r="E234" s="381">
        <f>IF(PCS!I240&lt;0, 0, PCS!F240/Aide!C234)</f>
        <v>2.0696729743798521</v>
      </c>
      <c r="F234" s="381">
        <f>Effort!G234</f>
        <v>0</v>
      </c>
      <c r="G234" s="279">
        <f t="shared" si="10"/>
        <v>14.653439363956483</v>
      </c>
      <c r="H234" s="159">
        <f t="shared" si="11"/>
        <v>0</v>
      </c>
      <c r="I234" s="42">
        <f t="shared" si="12"/>
        <v>0</v>
      </c>
      <c r="J234" s="29"/>
    </row>
    <row r="235" spans="1:10" x14ac:dyDescent="0.25">
      <c r="A235" s="38">
        <f>Données!A235</f>
        <v>5805</v>
      </c>
      <c r="B235" s="128" t="str">
        <f>Données!B235</f>
        <v>Oron</v>
      </c>
      <c r="C235" s="266">
        <f>VPI!R235</f>
        <v>177337.10588932806</v>
      </c>
      <c r="D235" s="148">
        <f>Effort!I235-IF(PCS!I241&lt;0, Effort!D235, 0)</f>
        <v>2.0903058340272729</v>
      </c>
      <c r="E235" s="381">
        <f>IF(PCS!I241&lt;0, 0, PCS!F241/Aide!C235)</f>
        <v>2.5645060164894025</v>
      </c>
      <c r="F235" s="381">
        <f>Effort!G235</f>
        <v>0</v>
      </c>
      <c r="G235" s="279">
        <f t="shared" si="10"/>
        <v>4.6548118505166753</v>
      </c>
      <c r="H235" s="159">
        <f t="shared" si="11"/>
        <v>0</v>
      </c>
      <c r="I235" s="42">
        <f t="shared" si="12"/>
        <v>0</v>
      </c>
      <c r="J235" s="29"/>
    </row>
    <row r="236" spans="1:10" x14ac:dyDescent="0.25">
      <c r="A236" s="38">
        <f>Données!A236</f>
        <v>5806</v>
      </c>
      <c r="B236" s="128" t="str">
        <f>Données!B236</f>
        <v>Jorat-Mézières</v>
      </c>
      <c r="C236" s="266">
        <f>VPI!R236</f>
        <v>98520.834794520561</v>
      </c>
      <c r="D236" s="148">
        <f>Effort!I236-IF(PCS!I242&lt;0, Effort!D236, 0)</f>
        <v>8.3841943747374525</v>
      </c>
      <c r="E236" s="381">
        <f>IF(PCS!I242&lt;0, 0, PCS!F242/Aide!C236)</f>
        <v>5.2756644427956854</v>
      </c>
      <c r="F236" s="381">
        <f>Effort!G236</f>
        <v>0</v>
      </c>
      <c r="G236" s="279">
        <f t="shared" si="10"/>
        <v>13.659858817533138</v>
      </c>
      <c r="H236" s="159">
        <f t="shared" si="11"/>
        <v>0</v>
      </c>
      <c r="I236" s="42">
        <f t="shared" si="12"/>
        <v>0</v>
      </c>
      <c r="J236" s="29"/>
    </row>
    <row r="237" spans="1:10" x14ac:dyDescent="0.25">
      <c r="A237" s="38">
        <f>Données!A237</f>
        <v>5812</v>
      </c>
      <c r="B237" s="128" t="str">
        <f>Données!B237</f>
        <v>Champtauroz</v>
      </c>
      <c r="C237" s="266">
        <f>VPI!R237</f>
        <v>3559.4911688311695</v>
      </c>
      <c r="D237" s="148">
        <f>Effort!I237-IF(PCS!I243&lt;0, Effort!D237, 0)</f>
        <v>-14.331226966447193</v>
      </c>
      <c r="E237" s="381">
        <f>IF(PCS!I243&lt;0, 0, PCS!F243/Aide!C237)</f>
        <v>7.8574151959994856</v>
      </c>
      <c r="F237" s="381">
        <f>Effort!G237</f>
        <v>0</v>
      </c>
      <c r="G237" s="279">
        <f t="shared" si="10"/>
        <v>-6.4738117704477078</v>
      </c>
      <c r="H237" s="159">
        <f t="shared" si="11"/>
        <v>0</v>
      </c>
      <c r="I237" s="42">
        <f t="shared" si="12"/>
        <v>0</v>
      </c>
      <c r="J237" s="29"/>
    </row>
    <row r="238" spans="1:10" x14ac:dyDescent="0.25">
      <c r="A238" s="38">
        <f>Données!A238</f>
        <v>5813</v>
      </c>
      <c r="B238" s="128" t="str">
        <f>Données!B238</f>
        <v>Chevroux</v>
      </c>
      <c r="C238" s="266">
        <f>VPI!R238</f>
        <v>19217.847664233581</v>
      </c>
      <c r="D238" s="148">
        <f>Effort!I238-IF(PCS!I244&lt;0, Effort!D238, 0)</f>
        <v>20.666730317245278</v>
      </c>
      <c r="E238" s="381">
        <f>IF(PCS!I244&lt;0, 0, PCS!F244/Aide!C238)</f>
        <v>2.999355131078294</v>
      </c>
      <c r="F238" s="381">
        <f>Effort!G238</f>
        <v>0</v>
      </c>
      <c r="G238" s="279">
        <f t="shared" si="10"/>
        <v>23.666085448323571</v>
      </c>
      <c r="H238" s="159">
        <f t="shared" si="11"/>
        <v>0</v>
      </c>
      <c r="I238" s="42">
        <f t="shared" si="12"/>
        <v>0</v>
      </c>
      <c r="J238" s="29"/>
    </row>
    <row r="239" spans="1:10" x14ac:dyDescent="0.25">
      <c r="A239" s="38">
        <f>Données!A239</f>
        <v>5816</v>
      </c>
      <c r="B239" s="128" t="str">
        <f>Données!B239</f>
        <v>Corcelles-près-Payerne</v>
      </c>
      <c r="C239" s="266">
        <f>VPI!R239</f>
        <v>70362.963604395612</v>
      </c>
      <c r="D239" s="148">
        <f>Effort!I239-IF(PCS!I245&lt;0, Effort!D239, 0)</f>
        <v>1.2147642709532356</v>
      </c>
      <c r="E239" s="381">
        <f>IF(PCS!I245&lt;0, 0, PCS!F245/Aide!C239)</f>
        <v>6.2722328252306534</v>
      </c>
      <c r="F239" s="381">
        <f>Effort!G239</f>
        <v>0</v>
      </c>
      <c r="G239" s="279">
        <f t="shared" si="10"/>
        <v>7.486997096183889</v>
      </c>
      <c r="H239" s="159">
        <f t="shared" si="11"/>
        <v>0</v>
      </c>
      <c r="I239" s="42">
        <f t="shared" si="12"/>
        <v>0</v>
      </c>
      <c r="J239" s="29"/>
    </row>
    <row r="240" spans="1:10" x14ac:dyDescent="0.25">
      <c r="A240" s="38">
        <f>Données!A240</f>
        <v>5817</v>
      </c>
      <c r="B240" s="128" t="str">
        <f>Données!B240</f>
        <v>Grandcour</v>
      </c>
      <c r="C240" s="266">
        <f>VPI!R240</f>
        <v>25032.364353741497</v>
      </c>
      <c r="D240" s="148">
        <f>Effort!I240-IF(PCS!I246&lt;0, Effort!D240, 0)</f>
        <v>4.1373037517545228</v>
      </c>
      <c r="E240" s="381">
        <f>IF(PCS!I246&lt;0, 0, PCS!F246/Aide!C240)</f>
        <v>2.2787693640882143</v>
      </c>
      <c r="F240" s="381">
        <f>Effort!G240</f>
        <v>0</v>
      </c>
      <c r="G240" s="279">
        <f t="shared" si="10"/>
        <v>6.4160731158427371</v>
      </c>
      <c r="H240" s="159">
        <f t="shared" si="11"/>
        <v>0</v>
      </c>
      <c r="I240" s="42">
        <f t="shared" si="12"/>
        <v>0</v>
      </c>
      <c r="J240" s="29"/>
    </row>
    <row r="241" spans="1:10" x14ac:dyDescent="0.25">
      <c r="A241" s="38">
        <f>Données!A241</f>
        <v>5819</v>
      </c>
      <c r="B241" s="128" t="str">
        <f>Données!B241</f>
        <v>Henniez</v>
      </c>
      <c r="C241" s="266">
        <f>VPI!R241</f>
        <v>17871.328115942026</v>
      </c>
      <c r="D241" s="148">
        <f>Effort!I241-IF(PCS!I247&lt;0, Effort!D241, 0)</f>
        <v>22.566973306223161</v>
      </c>
      <c r="E241" s="381">
        <f>IF(PCS!I247&lt;0, 0, PCS!F247/Aide!C241)</f>
        <v>5.057719516624493</v>
      </c>
      <c r="F241" s="381">
        <f>Effort!G241</f>
        <v>0</v>
      </c>
      <c r="G241" s="279">
        <f t="shared" si="10"/>
        <v>27.624692822847656</v>
      </c>
      <c r="H241" s="159">
        <f t="shared" si="11"/>
        <v>0</v>
      </c>
      <c r="I241" s="42">
        <f t="shared" si="12"/>
        <v>0</v>
      </c>
      <c r="J241" s="29"/>
    </row>
    <row r="242" spans="1:10" x14ac:dyDescent="0.25">
      <c r="A242" s="38">
        <f>Données!A242</f>
        <v>5821</v>
      </c>
      <c r="B242" s="128" t="str">
        <f>Données!B242</f>
        <v>Missy</v>
      </c>
      <c r="C242" s="266">
        <f>VPI!R242</f>
        <v>8690.2762499999972</v>
      </c>
      <c r="D242" s="148">
        <f>Effort!I242-IF(PCS!I248&lt;0, Effort!D242, 0)</f>
        <v>1.3652603986397054</v>
      </c>
      <c r="E242" s="381">
        <f>IF(PCS!I248&lt;0, 0, PCS!F248/Aide!C242)</f>
        <v>1.4077774570169739</v>
      </c>
      <c r="F242" s="381">
        <f>Effort!G242</f>
        <v>0</v>
      </c>
      <c r="G242" s="279">
        <f t="shared" si="10"/>
        <v>2.7730378556566793</v>
      </c>
      <c r="H242" s="159">
        <f t="shared" si="11"/>
        <v>0</v>
      </c>
      <c r="I242" s="42">
        <f t="shared" si="12"/>
        <v>0</v>
      </c>
      <c r="J242" s="29"/>
    </row>
    <row r="243" spans="1:10" x14ac:dyDescent="0.25">
      <c r="A243" s="38">
        <f>Données!A243</f>
        <v>5822</v>
      </c>
      <c r="B243" s="128" t="str">
        <f>Données!B243</f>
        <v>Payerne</v>
      </c>
      <c r="C243" s="266">
        <f>VPI!R243</f>
        <v>264097.39385714289</v>
      </c>
      <c r="D243" s="148">
        <f>Effort!I243-IF(PCS!I249&lt;0, Effort!D243, 0)</f>
        <v>-10.532105419167774</v>
      </c>
      <c r="E243" s="381">
        <f>IF(PCS!I249&lt;0, 0, PCS!F249/Aide!C243)</f>
        <v>3.9364600870024158</v>
      </c>
      <c r="F243" s="381">
        <f>Effort!G243</f>
        <v>0</v>
      </c>
      <c r="G243" s="279">
        <f t="shared" si="10"/>
        <v>-6.5956453321653576</v>
      </c>
      <c r="H243" s="159">
        <f t="shared" si="11"/>
        <v>0</v>
      </c>
      <c r="I243" s="42">
        <f t="shared" si="12"/>
        <v>0</v>
      </c>
      <c r="J243" s="29"/>
    </row>
    <row r="244" spans="1:10" x14ac:dyDescent="0.25">
      <c r="A244" s="38">
        <f>Données!A244</f>
        <v>5827</v>
      </c>
      <c r="B244" s="128" t="str">
        <f>Données!B244</f>
        <v>Trey</v>
      </c>
      <c r="C244" s="266">
        <f>VPI!R244</f>
        <v>7673.6615384615379</v>
      </c>
      <c r="D244" s="148">
        <f>Effort!I244-IF(PCS!I250&lt;0, Effort!D244, 0)</f>
        <v>0.3561302642501083</v>
      </c>
      <c r="E244" s="381">
        <f>IF(PCS!I250&lt;0, 0, PCS!F250/Aide!C244)</f>
        <v>0</v>
      </c>
      <c r="F244" s="381">
        <f>Effort!G244</f>
        <v>0</v>
      </c>
      <c r="G244" s="279">
        <f t="shared" si="10"/>
        <v>0.3561302642501083</v>
      </c>
      <c r="H244" s="159">
        <f t="shared" si="11"/>
        <v>0</v>
      </c>
      <c r="I244" s="42">
        <f t="shared" si="12"/>
        <v>0</v>
      </c>
      <c r="J244" s="29"/>
    </row>
    <row r="245" spans="1:10" x14ac:dyDescent="0.25">
      <c r="A245" s="38">
        <f>Données!A245</f>
        <v>5828</v>
      </c>
      <c r="B245" s="128" t="str">
        <f>Données!B245</f>
        <v>Treytorrens (Payerne)</v>
      </c>
      <c r="C245" s="266">
        <f>VPI!R245</f>
        <v>2724.637709611452</v>
      </c>
      <c r="D245" s="148">
        <f>Effort!I245-IF(PCS!I251&lt;0, Effort!D245, 0)</f>
        <v>-0.43399046651654416</v>
      </c>
      <c r="E245" s="381">
        <f>IF(PCS!I251&lt;0, 0, PCS!F251/Aide!C245)</f>
        <v>2.7710106093615912E-2</v>
      </c>
      <c r="F245" s="381">
        <f>Effort!G245</f>
        <v>0</v>
      </c>
      <c r="G245" s="279">
        <f t="shared" si="10"/>
        <v>-0.40628036042292826</v>
      </c>
      <c r="H245" s="159">
        <f t="shared" si="11"/>
        <v>0</v>
      </c>
      <c r="I245" s="42">
        <f t="shared" si="12"/>
        <v>0</v>
      </c>
      <c r="J245" s="29"/>
    </row>
    <row r="246" spans="1:10" x14ac:dyDescent="0.25">
      <c r="A246" s="38">
        <f>Données!A246</f>
        <v>5830</v>
      </c>
      <c r="B246" s="128" t="str">
        <f>Données!B246</f>
        <v>Villarzel</v>
      </c>
      <c r="C246" s="266">
        <f>VPI!R246</f>
        <v>12684.394533333332</v>
      </c>
      <c r="D246" s="148">
        <f>Effort!I246-IF(PCS!I252&lt;0, Effort!D246, 0)</f>
        <v>1.8225781619633388</v>
      </c>
      <c r="E246" s="381">
        <f>IF(PCS!I252&lt;0, 0, PCS!F252/Aide!C246)</f>
        <v>3.6633577486010922</v>
      </c>
      <c r="F246" s="381">
        <f>Effort!G246</f>
        <v>0</v>
      </c>
      <c r="G246" s="279">
        <f t="shared" si="10"/>
        <v>5.4859359105644305</v>
      </c>
      <c r="H246" s="159">
        <f t="shared" si="11"/>
        <v>0</v>
      </c>
      <c r="I246" s="42">
        <f t="shared" si="12"/>
        <v>0</v>
      </c>
      <c r="J246" s="29"/>
    </row>
    <row r="247" spans="1:10" x14ac:dyDescent="0.25">
      <c r="A247" s="38">
        <f>Données!A247</f>
        <v>5831</v>
      </c>
      <c r="B247" s="128" t="str">
        <f>Données!B247</f>
        <v>Valbroye</v>
      </c>
      <c r="C247" s="266">
        <f>VPI!R247</f>
        <v>90997.957399527193</v>
      </c>
      <c r="D247" s="148">
        <f>Effort!I247-IF(PCS!I253&lt;0, Effort!D247, 0)</f>
        <v>2.0237473153543952</v>
      </c>
      <c r="E247" s="381">
        <f>IF(PCS!I253&lt;0, 0, PCS!F253/Aide!C247)</f>
        <v>3.8576927991773133</v>
      </c>
      <c r="F247" s="381">
        <f>Effort!G247</f>
        <v>0</v>
      </c>
      <c r="G247" s="279">
        <f t="shared" si="10"/>
        <v>5.8814401145317081</v>
      </c>
      <c r="H247" s="159">
        <f t="shared" si="11"/>
        <v>0</v>
      </c>
      <c r="I247" s="42">
        <f t="shared" si="12"/>
        <v>0</v>
      </c>
      <c r="J247" s="29"/>
    </row>
    <row r="248" spans="1:10" x14ac:dyDescent="0.25">
      <c r="A248" s="38">
        <f>Données!A248</f>
        <v>5841</v>
      </c>
      <c r="B248" s="128" t="str">
        <f>Données!B248</f>
        <v>Château-d'Oex</v>
      </c>
      <c r="C248" s="266">
        <f>VPI!R248</f>
        <v>131854.94253578733</v>
      </c>
      <c r="D248" s="148">
        <f>Effort!I248-IF(PCS!I254&lt;0, Effort!D248, 0)</f>
        <v>12.179502798550308</v>
      </c>
      <c r="E248" s="381">
        <f>IF(PCS!I254&lt;0, 0, PCS!F254/Aide!C248)</f>
        <v>5.3228429022257524</v>
      </c>
      <c r="F248" s="381">
        <f>Effort!G248</f>
        <v>0</v>
      </c>
      <c r="G248" s="279">
        <f t="shared" si="10"/>
        <v>17.502345700776061</v>
      </c>
      <c r="H248" s="159">
        <f t="shared" si="11"/>
        <v>0</v>
      </c>
      <c r="I248" s="42">
        <f t="shared" si="12"/>
        <v>0</v>
      </c>
      <c r="J248" s="29"/>
    </row>
    <row r="249" spans="1:10" x14ac:dyDescent="0.25">
      <c r="A249" s="38">
        <f>Données!A249</f>
        <v>5842</v>
      </c>
      <c r="B249" s="128" t="str">
        <f>Données!B249</f>
        <v>Rossinière</v>
      </c>
      <c r="C249" s="266">
        <f>VPI!R249</f>
        <v>19719.391028806585</v>
      </c>
      <c r="D249" s="148">
        <f>Effort!I249-IF(PCS!I255&lt;0, Effort!D249, 0)</f>
        <v>18.692930970967069</v>
      </c>
      <c r="E249" s="381">
        <f>IF(PCS!I255&lt;0, 0, PCS!F255/Aide!C249)</f>
        <v>3.3505104140124424</v>
      </c>
      <c r="F249" s="381">
        <f>Effort!G249</f>
        <v>0</v>
      </c>
      <c r="G249" s="279">
        <f t="shared" si="10"/>
        <v>22.043441384979513</v>
      </c>
      <c r="H249" s="159">
        <f t="shared" si="11"/>
        <v>0</v>
      </c>
      <c r="I249" s="42">
        <f t="shared" si="12"/>
        <v>0</v>
      </c>
      <c r="J249" s="29"/>
    </row>
    <row r="250" spans="1:10" x14ac:dyDescent="0.25">
      <c r="A250" s="38">
        <f>Données!A250</f>
        <v>5843</v>
      </c>
      <c r="B250" s="128" t="str">
        <f>Données!B250</f>
        <v>Rougemont</v>
      </c>
      <c r="C250" s="266">
        <f>VPI!R250</f>
        <v>88722.552616033761</v>
      </c>
      <c r="D250" s="148">
        <f>Effort!I250-IF(PCS!I256&lt;0, Effort!D250, 0)</f>
        <v>45.611773149881472</v>
      </c>
      <c r="E250" s="381">
        <f>IF(PCS!I256&lt;0, 0, PCS!F256/Aide!C250)</f>
        <v>11.488883997864033</v>
      </c>
      <c r="F250" s="381">
        <f>Effort!G250</f>
        <v>0</v>
      </c>
      <c r="G250" s="279">
        <f t="shared" si="10"/>
        <v>57.100657147745508</v>
      </c>
      <c r="H250" s="159">
        <f t="shared" si="11"/>
        <v>0</v>
      </c>
      <c r="I250" s="42">
        <f t="shared" si="12"/>
        <v>0</v>
      </c>
      <c r="J250" s="29"/>
    </row>
    <row r="251" spans="1:10" x14ac:dyDescent="0.25">
      <c r="A251" s="38">
        <f>Données!A251</f>
        <v>5851</v>
      </c>
      <c r="B251" s="128" t="str">
        <f>Données!B251</f>
        <v>Allaman</v>
      </c>
      <c r="C251" s="266">
        <f>VPI!R251</f>
        <v>22070.113025641029</v>
      </c>
      <c r="D251" s="148">
        <f>Effort!I251-IF(PCS!I257&lt;0, Effort!D251, 0)</f>
        <v>28.657822764463937</v>
      </c>
      <c r="E251" s="381">
        <f>IF(PCS!I257&lt;0, 0, PCS!F257/Aide!C251)</f>
        <v>14.786439907256501</v>
      </c>
      <c r="F251" s="381">
        <f>Effort!G251</f>
        <v>0</v>
      </c>
      <c r="G251" s="279">
        <f t="shared" si="10"/>
        <v>43.444262671720438</v>
      </c>
      <c r="H251" s="159">
        <f t="shared" si="11"/>
        <v>0</v>
      </c>
      <c r="I251" s="42">
        <f t="shared" si="12"/>
        <v>0</v>
      </c>
      <c r="J251" s="29"/>
    </row>
    <row r="252" spans="1:10" x14ac:dyDescent="0.25">
      <c r="A252" s="38">
        <f>Données!A252</f>
        <v>5852</v>
      </c>
      <c r="B252" s="128" t="str">
        <f>Données!B252</f>
        <v>Bursinel</v>
      </c>
      <c r="C252" s="266">
        <f>VPI!R252</f>
        <v>36549.131935483871</v>
      </c>
      <c r="D252" s="148">
        <f>Effort!I252-IF(PCS!I258&lt;0, Effort!D252, 0)</f>
        <v>33.51809511666653</v>
      </c>
      <c r="E252" s="381">
        <f>IF(PCS!I258&lt;0, 0, PCS!F258/Aide!C252)</f>
        <v>34.485980329844821</v>
      </c>
      <c r="F252" s="381">
        <f>Effort!G252</f>
        <v>0</v>
      </c>
      <c r="G252" s="279">
        <f t="shared" si="10"/>
        <v>68.004075446511351</v>
      </c>
      <c r="H252" s="159">
        <f t="shared" si="11"/>
        <v>0</v>
      </c>
      <c r="I252" s="42">
        <f t="shared" si="12"/>
        <v>0</v>
      </c>
      <c r="J252" s="29"/>
    </row>
    <row r="253" spans="1:10" x14ac:dyDescent="0.25">
      <c r="A253" s="38">
        <f>Données!A253</f>
        <v>5853</v>
      </c>
      <c r="B253" s="128" t="str">
        <f>Données!B253</f>
        <v>Bursins</v>
      </c>
      <c r="C253" s="266">
        <f>VPI!R253</f>
        <v>43710.813239436618</v>
      </c>
      <c r="D253" s="148">
        <f>Effort!I253-IF(PCS!I259&lt;0, Effort!D253, 0)</f>
        <v>29.797367909409651</v>
      </c>
      <c r="E253" s="381">
        <f>IF(PCS!I259&lt;0, 0, PCS!F259/Aide!C253)</f>
        <v>4.2937213035119228</v>
      </c>
      <c r="F253" s="381">
        <f>Effort!G253</f>
        <v>0</v>
      </c>
      <c r="G253" s="279">
        <f t="shared" si="10"/>
        <v>34.091089212921574</v>
      </c>
      <c r="H253" s="159">
        <f t="shared" si="11"/>
        <v>0</v>
      </c>
      <c r="I253" s="42">
        <f t="shared" si="12"/>
        <v>0</v>
      </c>
      <c r="J253" s="29"/>
    </row>
    <row r="254" spans="1:10" x14ac:dyDescent="0.25">
      <c r="A254" s="38">
        <f>Données!A254</f>
        <v>5854</v>
      </c>
      <c r="B254" s="128" t="str">
        <f>Données!B254</f>
        <v>Burtigny</v>
      </c>
      <c r="C254" s="266">
        <f>VPI!R254</f>
        <v>16984.704925690025</v>
      </c>
      <c r="D254" s="148">
        <f>Effort!I254-IF(PCS!I260&lt;0, Effort!D254, 0)</f>
        <v>22.677971001713075</v>
      </c>
      <c r="E254" s="381">
        <f>IF(PCS!I260&lt;0, 0, PCS!F260/Aide!C254)</f>
        <v>1.4942128880681131</v>
      </c>
      <c r="F254" s="381">
        <f>Effort!G254</f>
        <v>0</v>
      </c>
      <c r="G254" s="279">
        <f t="shared" si="10"/>
        <v>24.172183889781188</v>
      </c>
      <c r="H254" s="159">
        <f t="shared" si="11"/>
        <v>0</v>
      </c>
      <c r="I254" s="42">
        <f t="shared" si="12"/>
        <v>0</v>
      </c>
      <c r="J254" s="29"/>
    </row>
    <row r="255" spans="1:10" x14ac:dyDescent="0.25">
      <c r="A255" s="38">
        <f>Données!A255</f>
        <v>5855</v>
      </c>
      <c r="B255" s="128" t="str">
        <f>Données!B255</f>
        <v>Dully</v>
      </c>
      <c r="C255" s="266">
        <f>VPI!R255</f>
        <v>80639.677735849051</v>
      </c>
      <c r="D255" s="148">
        <f>Effort!I255-IF(PCS!I261&lt;0, Effort!D255, 0)</f>
        <v>42.482943285511325</v>
      </c>
      <c r="E255" s="381">
        <f>IF(PCS!I261&lt;0, 0, PCS!F261/Aide!C255)</f>
        <v>1.9670188355611973</v>
      </c>
      <c r="F255" s="381">
        <f>Effort!G255</f>
        <v>0</v>
      </c>
      <c r="G255" s="279">
        <f t="shared" si="10"/>
        <v>44.449962121072524</v>
      </c>
      <c r="H255" s="159">
        <f t="shared" si="11"/>
        <v>0</v>
      </c>
      <c r="I255" s="42">
        <f t="shared" si="12"/>
        <v>0</v>
      </c>
      <c r="J255" s="29"/>
    </row>
    <row r="256" spans="1:10" x14ac:dyDescent="0.25">
      <c r="A256" s="38">
        <f>Données!A256</f>
        <v>5856</v>
      </c>
      <c r="B256" s="128" t="str">
        <f>Données!B256</f>
        <v>Essertines-sur-Rolle</v>
      </c>
      <c r="C256" s="266">
        <f>VPI!R256</f>
        <v>40086.564661654142</v>
      </c>
      <c r="D256" s="148">
        <f>Effort!I256-IF(PCS!I262&lt;0, Effort!D256, 0)</f>
        <v>28.960084788021703</v>
      </c>
      <c r="E256" s="381">
        <f>IF(PCS!I262&lt;0, 0, PCS!F262/Aide!C256)</f>
        <v>3.2955767378682794</v>
      </c>
      <c r="F256" s="381">
        <f>Effort!G256</f>
        <v>0</v>
      </c>
      <c r="G256" s="279">
        <f t="shared" si="10"/>
        <v>32.255661525889984</v>
      </c>
      <c r="H256" s="159">
        <f t="shared" si="11"/>
        <v>0</v>
      </c>
      <c r="I256" s="42">
        <f t="shared" si="12"/>
        <v>0</v>
      </c>
      <c r="J256" s="29"/>
    </row>
    <row r="257" spans="1:10" x14ac:dyDescent="0.25">
      <c r="A257" s="38">
        <f>Données!A257</f>
        <v>5857</v>
      </c>
      <c r="B257" s="128" t="str">
        <f>Données!B257</f>
        <v>Gilly</v>
      </c>
      <c r="C257" s="266">
        <f>VPI!R257</f>
        <v>92966.463565891449</v>
      </c>
      <c r="D257" s="148">
        <f>Effort!I257-IF(PCS!I263&lt;0, Effort!D257, 0)</f>
        <v>30.641739547200345</v>
      </c>
      <c r="E257" s="381">
        <f>IF(PCS!I263&lt;0, 0, PCS!F263/Aide!C257)</f>
        <v>1.5910054478426658</v>
      </c>
      <c r="F257" s="381">
        <f>Effort!G257</f>
        <v>0</v>
      </c>
      <c r="G257" s="279">
        <f t="shared" si="10"/>
        <v>32.232744995043014</v>
      </c>
      <c r="H257" s="159">
        <f t="shared" si="11"/>
        <v>0</v>
      </c>
      <c r="I257" s="42">
        <f t="shared" si="12"/>
        <v>0</v>
      </c>
      <c r="J257" s="29"/>
    </row>
    <row r="258" spans="1:10" x14ac:dyDescent="0.25">
      <c r="A258" s="38">
        <f>Données!A258</f>
        <v>5858</v>
      </c>
      <c r="B258" s="128" t="str">
        <f>Données!B258</f>
        <v>Luins</v>
      </c>
      <c r="C258" s="266">
        <f>VPI!R258</f>
        <v>34472.230883190881</v>
      </c>
      <c r="D258" s="148">
        <f>Effort!I258-IF(PCS!I264&lt;0, Effort!D258, 0)</f>
        <v>29.523542047092505</v>
      </c>
      <c r="E258" s="381">
        <f>IF(PCS!I264&lt;0, 0, PCS!F264/Aide!C258)</f>
        <v>6.4698871899454904</v>
      </c>
      <c r="F258" s="381">
        <f>Effort!G258</f>
        <v>0</v>
      </c>
      <c r="G258" s="279">
        <f t="shared" si="10"/>
        <v>35.993429237037994</v>
      </c>
      <c r="H258" s="159">
        <f t="shared" si="11"/>
        <v>0</v>
      </c>
      <c r="I258" s="42">
        <f t="shared" si="12"/>
        <v>0</v>
      </c>
      <c r="J258" s="29"/>
    </row>
    <row r="259" spans="1:10" x14ac:dyDescent="0.25">
      <c r="A259" s="38">
        <f>Données!A259</f>
        <v>5859</v>
      </c>
      <c r="B259" s="128" t="str">
        <f>Données!B259</f>
        <v>Mont-sur-Rolle</v>
      </c>
      <c r="C259" s="266">
        <f>VPI!R259</f>
        <v>184009.52141732289</v>
      </c>
      <c r="D259" s="148">
        <f>Effort!I259-IF(PCS!I265&lt;0, Effort!D259, 0)</f>
        <v>30.346733776532581</v>
      </c>
      <c r="E259" s="381">
        <f>IF(PCS!I265&lt;0, 0, PCS!F265/Aide!C259)</f>
        <v>2.9043279710942644</v>
      </c>
      <c r="F259" s="381">
        <f>Effort!G259</f>
        <v>0</v>
      </c>
      <c r="G259" s="279">
        <f t="shared" si="10"/>
        <v>33.251061747626842</v>
      </c>
      <c r="H259" s="159">
        <f t="shared" si="11"/>
        <v>0</v>
      </c>
      <c r="I259" s="42">
        <f t="shared" si="12"/>
        <v>0</v>
      </c>
      <c r="J259" s="29"/>
    </row>
    <row r="260" spans="1:10" x14ac:dyDescent="0.25">
      <c r="A260" s="38">
        <f>Données!A260</f>
        <v>5860</v>
      </c>
      <c r="B260" s="128" t="str">
        <f>Données!B260</f>
        <v>Perroy</v>
      </c>
      <c r="C260" s="266">
        <f>VPI!R260</f>
        <v>115014.47146614069</v>
      </c>
      <c r="D260" s="148">
        <f>Effort!I260-IF(PCS!I266&lt;0, Effort!D260, 0)</f>
        <v>32.389188586613557</v>
      </c>
      <c r="E260" s="381">
        <f>IF(PCS!I266&lt;0, 0, PCS!F266/Aide!C260)</f>
        <v>2.231485627228714</v>
      </c>
      <c r="F260" s="381">
        <f>Effort!G260</f>
        <v>0</v>
      </c>
      <c r="G260" s="279">
        <f t="shared" si="10"/>
        <v>34.620674213842271</v>
      </c>
      <c r="H260" s="159">
        <f t="shared" si="11"/>
        <v>0</v>
      </c>
      <c r="I260" s="42">
        <f t="shared" si="12"/>
        <v>0</v>
      </c>
      <c r="J260" s="29"/>
    </row>
    <row r="261" spans="1:10" x14ac:dyDescent="0.25">
      <c r="A261" s="38">
        <f>Données!A261</f>
        <v>5861</v>
      </c>
      <c r="B261" s="128" t="str">
        <f>Données!B261</f>
        <v>Rolle</v>
      </c>
      <c r="C261" s="266">
        <f>VPI!R261</f>
        <v>1018783.8085714284</v>
      </c>
      <c r="D261" s="148">
        <f>Effort!I261-IF(PCS!I267&lt;0, Effort!D261, 0)</f>
        <v>45.617295194037865</v>
      </c>
      <c r="E261" s="381">
        <f>IF(PCS!I267&lt;0, 0, PCS!F267/Aide!C261)</f>
        <v>1.7514074870330056</v>
      </c>
      <c r="F261" s="381">
        <f>Effort!G261</f>
        <v>0</v>
      </c>
      <c r="G261" s="279">
        <f t="shared" si="10"/>
        <v>47.368702681070872</v>
      </c>
      <c r="H261" s="159">
        <f t="shared" si="11"/>
        <v>0</v>
      </c>
      <c r="I261" s="42">
        <f t="shared" si="12"/>
        <v>0</v>
      </c>
      <c r="J261" s="29"/>
    </row>
    <row r="262" spans="1:10" x14ac:dyDescent="0.25">
      <c r="A262" s="38">
        <f>Données!A262</f>
        <v>5862</v>
      </c>
      <c r="B262" s="128" t="str">
        <f>Données!B262</f>
        <v>Tartegnin</v>
      </c>
      <c r="C262" s="266">
        <f>VPI!R262</f>
        <v>11391.445316455696</v>
      </c>
      <c r="D262" s="148">
        <f>Effort!I262-IF(PCS!I268&lt;0, Effort!D262, 0)</f>
        <v>25.767146879724883</v>
      </c>
      <c r="E262" s="381">
        <f>IF(PCS!I268&lt;0, 0, PCS!F268/Aide!C262)</f>
        <v>2.6513474946300475</v>
      </c>
      <c r="F262" s="381">
        <f>Effort!G262</f>
        <v>0</v>
      </c>
      <c r="G262" s="279">
        <f t="shared" si="10"/>
        <v>28.418494374354932</v>
      </c>
      <c r="H262" s="159">
        <f t="shared" si="11"/>
        <v>0</v>
      </c>
      <c r="I262" s="42">
        <f t="shared" si="12"/>
        <v>0</v>
      </c>
      <c r="J262" s="29"/>
    </row>
    <row r="263" spans="1:10" x14ac:dyDescent="0.25">
      <c r="A263" s="38">
        <f>Données!A263</f>
        <v>5863</v>
      </c>
      <c r="B263" s="128" t="str">
        <f>Données!B263</f>
        <v>Vinzel</v>
      </c>
      <c r="C263" s="266">
        <f>VPI!R263</f>
        <v>22595.272461538461</v>
      </c>
      <c r="D263" s="148">
        <f>Effort!I263-IF(PCS!I269&lt;0, Effort!D263, 0)</f>
        <v>30.72223307729071</v>
      </c>
      <c r="E263" s="381">
        <f>IF(PCS!I269&lt;0, 0, PCS!F269/Aide!C263)</f>
        <v>1.5498974424677301</v>
      </c>
      <c r="F263" s="381">
        <f>Effort!G263</f>
        <v>0</v>
      </c>
      <c r="G263" s="279">
        <f t="shared" ref="G263:G305" si="13">D263+E263-F263</f>
        <v>32.272130519758441</v>
      </c>
      <c r="H263" s="159">
        <f t="shared" ref="H263:H305" si="14">IF(G263&lt;H$5,G263-H$5,0)</f>
        <v>0</v>
      </c>
      <c r="I263" s="42">
        <f t="shared" ref="I263:I305" si="15">-H263*C263</f>
        <v>0</v>
      </c>
      <c r="J263" s="29"/>
    </row>
    <row r="264" spans="1:10" x14ac:dyDescent="0.25">
      <c r="A264" s="38">
        <f>Données!A264</f>
        <v>5871</v>
      </c>
      <c r="B264" s="128" t="str">
        <f>Données!B264</f>
        <v>L'Abbaye</v>
      </c>
      <c r="C264" s="266">
        <f>VPI!R264</f>
        <v>50382.809788942126</v>
      </c>
      <c r="D264" s="148">
        <f>Effort!I264-IF(PCS!I270&lt;0, Effort!D264, 0)</f>
        <v>12.228626192531022</v>
      </c>
      <c r="E264" s="381">
        <f>IF(PCS!I270&lt;0, 0, PCS!F270/Aide!C264)</f>
        <v>7.751113854823374</v>
      </c>
      <c r="F264" s="381">
        <f>Effort!G264</f>
        <v>0</v>
      </c>
      <c r="G264" s="279">
        <f t="shared" si="13"/>
        <v>19.979740047354397</v>
      </c>
      <c r="H264" s="159">
        <f t="shared" si="14"/>
        <v>0</v>
      </c>
      <c r="I264" s="42">
        <f t="shared" si="15"/>
        <v>0</v>
      </c>
      <c r="J264" s="29"/>
    </row>
    <row r="265" spans="1:10" x14ac:dyDescent="0.25">
      <c r="A265" s="38">
        <f>Données!A265</f>
        <v>5872</v>
      </c>
      <c r="B265" s="128" t="str">
        <f>Données!B265</f>
        <v>Le Chenit</v>
      </c>
      <c r="C265" s="266">
        <f>VPI!R265</f>
        <v>317388.40065632458</v>
      </c>
      <c r="D265" s="148">
        <f>Effort!I265-IF(PCS!I271&lt;0, Effort!D265, 0)</f>
        <v>29.577790490566123</v>
      </c>
      <c r="E265" s="381">
        <f>IF(PCS!I271&lt;0, 0, PCS!F271/Aide!C265)</f>
        <v>7.4012710298875577</v>
      </c>
      <c r="F265" s="381">
        <f>Effort!G265</f>
        <v>0</v>
      </c>
      <c r="G265" s="279">
        <f t="shared" si="13"/>
        <v>36.979061520453683</v>
      </c>
      <c r="H265" s="159">
        <f t="shared" si="14"/>
        <v>0</v>
      </c>
      <c r="I265" s="42">
        <f t="shared" si="15"/>
        <v>0</v>
      </c>
      <c r="J265" s="29"/>
    </row>
    <row r="266" spans="1:10" x14ac:dyDescent="0.25">
      <c r="A266" s="38">
        <f>Données!A266</f>
        <v>5873</v>
      </c>
      <c r="B266" s="128" t="str">
        <f>Données!B266</f>
        <v>Le Lieu</v>
      </c>
      <c r="C266" s="266">
        <f>VPI!R266</f>
        <v>32064.674107142859</v>
      </c>
      <c r="D266" s="148">
        <f>Effort!I266-IF(PCS!I272&lt;0, Effort!D266, 0)</f>
        <v>19.153284743089102</v>
      </c>
      <c r="E266" s="381">
        <f>IF(PCS!I272&lt;0, 0, PCS!F272/Aide!C266)</f>
        <v>11.061038662513415</v>
      </c>
      <c r="F266" s="381">
        <f>Effort!G266</f>
        <v>0</v>
      </c>
      <c r="G266" s="279">
        <f t="shared" si="13"/>
        <v>30.214323405602517</v>
      </c>
      <c r="H266" s="159">
        <f t="shared" si="14"/>
        <v>0</v>
      </c>
      <c r="I266" s="42">
        <f t="shared" si="15"/>
        <v>0</v>
      </c>
      <c r="J266" s="29"/>
    </row>
    <row r="267" spans="1:10" x14ac:dyDescent="0.25">
      <c r="A267" s="38">
        <f>Données!A267</f>
        <v>5882</v>
      </c>
      <c r="B267" s="128" t="str">
        <f>Données!B267</f>
        <v>Chardonne</v>
      </c>
      <c r="C267" s="266">
        <f>VPI!R267</f>
        <v>191105.75352941177</v>
      </c>
      <c r="D267" s="148">
        <f>Effort!I267-IF(PCS!I273&lt;0, Effort!D267, 0)</f>
        <v>27.764122112229508</v>
      </c>
      <c r="E267" s="381">
        <f>IF(PCS!I273&lt;0, 0, PCS!F273/Aide!C267)</f>
        <v>6.2939539379952985</v>
      </c>
      <c r="F267" s="381">
        <f>Effort!G267</f>
        <v>0</v>
      </c>
      <c r="G267" s="279">
        <f t="shared" si="13"/>
        <v>34.058076050224805</v>
      </c>
      <c r="H267" s="159">
        <f t="shared" si="14"/>
        <v>0</v>
      </c>
      <c r="I267" s="42">
        <f t="shared" si="15"/>
        <v>0</v>
      </c>
      <c r="J267" s="29"/>
    </row>
    <row r="268" spans="1:10" x14ac:dyDescent="0.25">
      <c r="A268" s="38">
        <f>Données!A268</f>
        <v>5883</v>
      </c>
      <c r="B268" s="128" t="str">
        <f>Données!B268</f>
        <v>Corseaux</v>
      </c>
      <c r="C268" s="266">
        <f>VPI!R268</f>
        <v>170880.8057777778</v>
      </c>
      <c r="D268" s="148">
        <f>Effort!I268-IF(PCS!I274&lt;0, Effort!D268, 0)</f>
        <v>32.757219958559787</v>
      </c>
      <c r="E268" s="381">
        <f>IF(PCS!I274&lt;0, 0, PCS!F274/Aide!C268)</f>
        <v>4.8493777064560399</v>
      </c>
      <c r="F268" s="381">
        <f>Effort!G268</f>
        <v>0</v>
      </c>
      <c r="G268" s="279">
        <f t="shared" si="13"/>
        <v>37.606597665015826</v>
      </c>
      <c r="H268" s="159">
        <f t="shared" si="14"/>
        <v>0</v>
      </c>
      <c r="I268" s="42">
        <f t="shared" si="15"/>
        <v>0</v>
      </c>
      <c r="J268" s="29"/>
    </row>
    <row r="269" spans="1:10" x14ac:dyDescent="0.25">
      <c r="A269" s="38">
        <f>Données!A269</f>
        <v>5884</v>
      </c>
      <c r="B269" s="128" t="str">
        <f>Données!B269</f>
        <v>Corsier-sur-Vevey</v>
      </c>
      <c r="C269" s="266">
        <f>VPI!R269</f>
        <v>147926.61447028426</v>
      </c>
      <c r="D269" s="148">
        <f>Effort!I269-IF(PCS!I275&lt;0, Effort!D269, 0)</f>
        <v>20.968027047290189</v>
      </c>
      <c r="E269" s="381">
        <f>IF(PCS!I275&lt;0, 0, PCS!F275/Aide!C269)</f>
        <v>4.2716158431850957</v>
      </c>
      <c r="F269" s="381">
        <f>Effort!G269</f>
        <v>0</v>
      </c>
      <c r="G269" s="279">
        <f t="shared" si="13"/>
        <v>25.239642890475285</v>
      </c>
      <c r="H269" s="159">
        <f t="shared" si="14"/>
        <v>0</v>
      </c>
      <c r="I269" s="42">
        <f t="shared" si="15"/>
        <v>0</v>
      </c>
      <c r="J269" s="29"/>
    </row>
    <row r="270" spans="1:10" x14ac:dyDescent="0.25">
      <c r="A270" s="38">
        <f>Données!A270</f>
        <v>5885</v>
      </c>
      <c r="B270" s="128" t="str">
        <f>Données!B270</f>
        <v>Jongny</v>
      </c>
      <c r="C270" s="266">
        <f>VPI!R270</f>
        <v>97976.001630695435</v>
      </c>
      <c r="D270" s="148">
        <f>Effort!I270-IF(PCS!I276&lt;0, Effort!D270, 0)</f>
        <v>26.437515197427423</v>
      </c>
      <c r="E270" s="381">
        <f>IF(PCS!I276&lt;0, 0, PCS!F276/Aide!C270)</f>
        <v>3.8040603698531896</v>
      </c>
      <c r="F270" s="381">
        <f>Effort!G270</f>
        <v>0</v>
      </c>
      <c r="G270" s="279">
        <f t="shared" si="13"/>
        <v>30.241575567280613</v>
      </c>
      <c r="H270" s="159">
        <f t="shared" si="14"/>
        <v>0</v>
      </c>
      <c r="I270" s="42">
        <f t="shared" si="15"/>
        <v>0</v>
      </c>
      <c r="J270" s="29"/>
    </row>
    <row r="271" spans="1:10" x14ac:dyDescent="0.25">
      <c r="A271" s="38">
        <f>Données!A271</f>
        <v>5886</v>
      </c>
      <c r="B271" s="128" t="str">
        <f>Données!B271</f>
        <v>Montreux</v>
      </c>
      <c r="C271" s="266">
        <f>VPI!R271</f>
        <v>1169621.0326666667</v>
      </c>
      <c r="D271" s="148">
        <f>Effort!I271-IF(PCS!I277&lt;0, Effort!D271, 0)</f>
        <v>8.5805106922190255</v>
      </c>
      <c r="E271" s="381">
        <f>IF(PCS!I277&lt;0, 0, PCS!F277/Aide!C271)</f>
        <v>5.393782378055036</v>
      </c>
      <c r="F271" s="381">
        <f>Effort!G271</f>
        <v>0</v>
      </c>
      <c r="G271" s="279">
        <f t="shared" si="13"/>
        <v>13.974293070274062</v>
      </c>
      <c r="H271" s="159">
        <f t="shared" si="14"/>
        <v>0</v>
      </c>
      <c r="I271" s="42">
        <f t="shared" si="15"/>
        <v>0</v>
      </c>
      <c r="J271" s="29"/>
    </row>
    <row r="272" spans="1:10" x14ac:dyDescent="0.25">
      <c r="A272" s="38">
        <f>Données!A272</f>
        <v>5889</v>
      </c>
      <c r="B272" s="128" t="str">
        <f>Données!B272</f>
        <v>La Tour-de-Peilz</v>
      </c>
      <c r="C272" s="266">
        <f>VPI!R272</f>
        <v>779203.88627604162</v>
      </c>
      <c r="D272" s="148">
        <f>Effort!I272-IF(PCS!I278&lt;0, Effort!D272, 0)</f>
        <v>23.65163614644208</v>
      </c>
      <c r="E272" s="381">
        <f>IF(PCS!I278&lt;0, 0, PCS!F278/Aide!C272)</f>
        <v>2.002697082862305</v>
      </c>
      <c r="F272" s="381">
        <f>Effort!G272</f>
        <v>0</v>
      </c>
      <c r="G272" s="279">
        <f t="shared" si="13"/>
        <v>25.654333229304385</v>
      </c>
      <c r="H272" s="159">
        <f t="shared" si="14"/>
        <v>0</v>
      </c>
      <c r="I272" s="42">
        <f t="shared" si="15"/>
        <v>0</v>
      </c>
      <c r="J272" s="29"/>
    </row>
    <row r="273" spans="1:10" x14ac:dyDescent="0.25">
      <c r="A273" s="38">
        <f>Données!A273</f>
        <v>5890</v>
      </c>
      <c r="B273" s="128" t="str">
        <f>Données!B273</f>
        <v>Vevey</v>
      </c>
      <c r="C273" s="266">
        <f>VPI!R273</f>
        <v>1034326.0486800894</v>
      </c>
      <c r="D273" s="148">
        <f>Effort!I273-IF(PCS!I279&lt;0, Effort!D273, 0)</f>
        <v>15.907877794193801</v>
      </c>
      <c r="E273" s="381">
        <f>IF(PCS!I279&lt;0, 0, PCS!F279/Aide!C273)</f>
        <v>2.660192652511475</v>
      </c>
      <c r="F273" s="381">
        <f>Effort!G273</f>
        <v>0</v>
      </c>
      <c r="G273" s="279">
        <f t="shared" si="13"/>
        <v>18.568070446705278</v>
      </c>
      <c r="H273" s="159">
        <f t="shared" si="14"/>
        <v>0</v>
      </c>
      <c r="I273" s="42">
        <f t="shared" si="15"/>
        <v>0</v>
      </c>
      <c r="J273" s="29"/>
    </row>
    <row r="274" spans="1:10" x14ac:dyDescent="0.25">
      <c r="A274" s="38">
        <f>Données!A274</f>
        <v>5891</v>
      </c>
      <c r="B274" s="128" t="str">
        <f>Données!B274</f>
        <v>Veytaux</v>
      </c>
      <c r="C274" s="266">
        <f>VPI!R274</f>
        <v>45647.230320987655</v>
      </c>
      <c r="D274" s="148">
        <f>Effort!I274-IF(PCS!I280&lt;0, Effort!D274, 0)</f>
        <v>26.450277965086634</v>
      </c>
      <c r="E274" s="381">
        <f>IF(PCS!I280&lt;0, 0, PCS!F280/Aide!C274)</f>
        <v>5.113566438940726</v>
      </c>
      <c r="F274" s="381">
        <f>Effort!G274</f>
        <v>0</v>
      </c>
      <c r="G274" s="279">
        <f t="shared" si="13"/>
        <v>31.56384440402736</v>
      </c>
      <c r="H274" s="159">
        <f t="shared" si="14"/>
        <v>0</v>
      </c>
      <c r="I274" s="42">
        <f t="shared" si="15"/>
        <v>0</v>
      </c>
      <c r="J274" s="29"/>
    </row>
    <row r="275" spans="1:10" x14ac:dyDescent="0.25">
      <c r="A275" s="38">
        <f>Données!A275</f>
        <v>5892</v>
      </c>
      <c r="B275" s="128" t="str">
        <f>Données!B275</f>
        <v>Blonay - Saint-Légier</v>
      </c>
      <c r="C275" s="266">
        <f>VPI!R275</f>
        <v>720090.13459854003</v>
      </c>
      <c r="D275" s="148">
        <f>Effort!I275-IF(PCS!I281&lt;0, Effort!D275, 0)</f>
        <v>22.496098255231423</v>
      </c>
      <c r="E275" s="381">
        <f>IF(PCS!I281&lt;0, 0, PCS!F281/Aide!C275)</f>
        <v>4.5480187932665501</v>
      </c>
      <c r="F275" s="381">
        <f>Effort!G275</f>
        <v>0</v>
      </c>
      <c r="G275" s="279">
        <f t="shared" si="13"/>
        <v>27.044117048497974</v>
      </c>
      <c r="H275" s="159">
        <f t="shared" si="14"/>
        <v>0</v>
      </c>
      <c r="I275" s="42">
        <f t="shared" si="15"/>
        <v>0</v>
      </c>
      <c r="J275" s="29"/>
    </row>
    <row r="276" spans="1:10" x14ac:dyDescent="0.25">
      <c r="A276" s="38">
        <f>Données!A276</f>
        <v>5902</v>
      </c>
      <c r="B276" s="128" t="str">
        <f>Données!B276</f>
        <v>Belmont-sur-Yverdon</v>
      </c>
      <c r="C276" s="266">
        <f>VPI!R276</f>
        <v>13428.751285714286</v>
      </c>
      <c r="D276" s="148">
        <f>Effort!I276-IF(PCS!I282&lt;0, Effort!D276, 0)</f>
        <v>14.087719228597638</v>
      </c>
      <c r="E276" s="381">
        <f>IF(PCS!I282&lt;0, 0, PCS!F282/Aide!C276)</f>
        <v>1.9595455631078302</v>
      </c>
      <c r="F276" s="381">
        <f>Effort!G276</f>
        <v>0</v>
      </c>
      <c r="G276" s="279">
        <f t="shared" si="13"/>
        <v>16.047264791705469</v>
      </c>
      <c r="H276" s="159">
        <f t="shared" si="14"/>
        <v>0</v>
      </c>
      <c r="I276" s="42">
        <f t="shared" si="15"/>
        <v>0</v>
      </c>
      <c r="J276" s="29"/>
    </row>
    <row r="277" spans="1:10" x14ac:dyDescent="0.25">
      <c r="A277" s="38">
        <f>Données!A277</f>
        <v>5903</v>
      </c>
      <c r="B277" s="128" t="str">
        <f>Données!B277</f>
        <v>Bioley-Magnoux</v>
      </c>
      <c r="C277" s="266">
        <f>VPI!R277</f>
        <v>6278.7138690476195</v>
      </c>
      <c r="D277" s="148">
        <f>Effort!I277-IF(PCS!I283&lt;0, Effort!D277, 0)</f>
        <v>4.9313411149803077</v>
      </c>
      <c r="E277" s="381">
        <f>IF(PCS!I283&lt;0, 0, PCS!F283/Aide!C277)</f>
        <v>4.2481176171268693</v>
      </c>
      <c r="F277" s="381">
        <f>Effort!G277</f>
        <v>0</v>
      </c>
      <c r="G277" s="279">
        <f t="shared" si="13"/>
        <v>9.179458732107177</v>
      </c>
      <c r="H277" s="159">
        <f t="shared" si="14"/>
        <v>0</v>
      </c>
      <c r="I277" s="42">
        <f t="shared" si="15"/>
        <v>0</v>
      </c>
      <c r="J277" s="29"/>
    </row>
    <row r="278" spans="1:10" x14ac:dyDescent="0.25">
      <c r="A278" s="38">
        <f>Données!A278</f>
        <v>5904</v>
      </c>
      <c r="B278" s="128" t="str">
        <f>Données!B278</f>
        <v>Chamblon</v>
      </c>
      <c r="C278" s="266">
        <f>VPI!R278</f>
        <v>18164.59121212121</v>
      </c>
      <c r="D278" s="148">
        <f>Effort!I278-IF(PCS!I284&lt;0, Effort!D278, 0)</f>
        <v>17.547127275977058</v>
      </c>
      <c r="E278" s="381">
        <f>IF(PCS!I284&lt;0, 0, PCS!F284/Aide!C278)</f>
        <v>2.5521347801686307</v>
      </c>
      <c r="F278" s="381">
        <f>Effort!G278</f>
        <v>0</v>
      </c>
      <c r="G278" s="279">
        <f t="shared" si="13"/>
        <v>20.09926205614569</v>
      </c>
      <c r="H278" s="159">
        <f t="shared" si="14"/>
        <v>0</v>
      </c>
      <c r="I278" s="42">
        <f t="shared" si="15"/>
        <v>0</v>
      </c>
      <c r="J278" s="29"/>
    </row>
    <row r="279" spans="1:10" s="156" customFormat="1" x14ac:dyDescent="0.25">
      <c r="A279" s="38">
        <f>Données!A279</f>
        <v>5905</v>
      </c>
      <c r="B279" s="128" t="str">
        <f>Données!B279</f>
        <v>Champvent</v>
      </c>
      <c r="C279" s="266">
        <f>VPI!R279</f>
        <v>22259.587285714286</v>
      </c>
      <c r="D279" s="148">
        <f>Effort!I279-IF(PCS!I285&lt;0, Effort!D279, 0)</f>
        <v>14.25163821376983</v>
      </c>
      <c r="E279" s="381">
        <f>IF(PCS!I285&lt;0, 0, PCS!F285/Aide!C279)</f>
        <v>3.7259689020931726</v>
      </c>
      <c r="F279" s="381">
        <f>Effort!G279</f>
        <v>0</v>
      </c>
      <c r="G279" s="279">
        <f t="shared" si="13"/>
        <v>17.977607115863002</v>
      </c>
      <c r="H279" s="159">
        <f t="shared" si="14"/>
        <v>0</v>
      </c>
      <c r="I279" s="42">
        <f t="shared" si="15"/>
        <v>0</v>
      </c>
      <c r="J279" s="162"/>
    </row>
    <row r="280" spans="1:10" s="156" customFormat="1" x14ac:dyDescent="0.25">
      <c r="A280" s="38">
        <f>Données!A280</f>
        <v>5907</v>
      </c>
      <c r="B280" s="128" t="str">
        <f>Données!B280</f>
        <v>Chavannes-le-Chêne</v>
      </c>
      <c r="C280" s="266">
        <f>VPI!R280</f>
        <v>8797.9254666666657</v>
      </c>
      <c r="D280" s="148">
        <f>Effort!I280-IF(PCS!I286&lt;0, Effort!D280, 0)</f>
        <v>8.4792534927641938</v>
      </c>
      <c r="E280" s="381">
        <f>IF(PCS!I286&lt;0, 0, PCS!F286/Aide!C280)</f>
        <v>6.6630412160345509</v>
      </c>
      <c r="F280" s="381">
        <f>Effort!G280</f>
        <v>0</v>
      </c>
      <c r="G280" s="279">
        <f t="shared" si="13"/>
        <v>15.142294708798744</v>
      </c>
      <c r="H280" s="159">
        <f t="shared" si="14"/>
        <v>0</v>
      </c>
      <c r="I280" s="42">
        <f t="shared" si="15"/>
        <v>0</v>
      </c>
      <c r="J280" s="162"/>
    </row>
    <row r="281" spans="1:10" s="156" customFormat="1" x14ac:dyDescent="0.25">
      <c r="A281" s="38">
        <f>Données!A281</f>
        <v>5908</v>
      </c>
      <c r="B281" s="128" t="str">
        <f>Données!B281</f>
        <v>Chêne-Pâquier</v>
      </c>
      <c r="C281" s="266">
        <f>VPI!R281</f>
        <v>5848.7089333333342</v>
      </c>
      <c r="D281" s="148">
        <f>Effort!I281-IF(PCS!I287&lt;0, Effort!D281, 0)</f>
        <v>16.069997110119303</v>
      </c>
      <c r="E281" s="381">
        <f>IF(PCS!I287&lt;0, 0, PCS!F287/Aide!C281)</f>
        <v>1.0377828798091209</v>
      </c>
      <c r="F281" s="381">
        <f>Effort!G281</f>
        <v>0</v>
      </c>
      <c r="G281" s="279">
        <f t="shared" si="13"/>
        <v>17.107779989928424</v>
      </c>
      <c r="H281" s="159">
        <f t="shared" si="14"/>
        <v>0</v>
      </c>
      <c r="I281" s="42">
        <f t="shared" si="15"/>
        <v>0</v>
      </c>
      <c r="J281" s="162"/>
    </row>
    <row r="282" spans="1:10" s="156" customFormat="1" x14ac:dyDescent="0.25">
      <c r="A282" s="38">
        <f>Données!A282</f>
        <v>5909</v>
      </c>
      <c r="B282" s="128" t="str">
        <f>Données!B282</f>
        <v>Cheseaux-Noréaz</v>
      </c>
      <c r="C282" s="266">
        <f>VPI!R282</f>
        <v>38683.585223880604</v>
      </c>
      <c r="D282" s="148">
        <f>Effort!I282-IF(PCS!I288&lt;0, Effort!D282, 0)</f>
        <v>29.00885724513731</v>
      </c>
      <c r="E282" s="381">
        <f>IF(PCS!I288&lt;0, 0, PCS!F288/Aide!C282)</f>
        <v>1.1077246266601697</v>
      </c>
      <c r="F282" s="381">
        <f>Effort!G282</f>
        <v>0</v>
      </c>
      <c r="G282" s="279">
        <f t="shared" si="13"/>
        <v>30.116581871797479</v>
      </c>
      <c r="H282" s="159">
        <f t="shared" si="14"/>
        <v>0</v>
      </c>
      <c r="I282" s="42">
        <f t="shared" si="15"/>
        <v>0</v>
      </c>
      <c r="J282" s="162"/>
    </row>
    <row r="283" spans="1:10" s="156" customFormat="1" x14ac:dyDescent="0.25">
      <c r="A283" s="38">
        <f>Données!A283</f>
        <v>5910</v>
      </c>
      <c r="B283" s="128" t="str">
        <f>Données!B283</f>
        <v>Cronay</v>
      </c>
      <c r="C283" s="266">
        <f>VPI!R283</f>
        <v>12977.456233766234</v>
      </c>
      <c r="D283" s="148">
        <f>Effort!I283-IF(PCS!I289&lt;0, Effort!D283, 0)</f>
        <v>12.105318146890387</v>
      </c>
      <c r="E283" s="381">
        <f>IF(PCS!I289&lt;0, 0, PCS!F289/Aide!C283)</f>
        <v>1.9809829859498711</v>
      </c>
      <c r="F283" s="381">
        <f>Effort!G283</f>
        <v>0</v>
      </c>
      <c r="G283" s="279">
        <f t="shared" si="13"/>
        <v>14.086301132840259</v>
      </c>
      <c r="H283" s="159">
        <f t="shared" si="14"/>
        <v>0</v>
      </c>
      <c r="I283" s="42">
        <f t="shared" si="15"/>
        <v>0</v>
      </c>
      <c r="J283" s="162"/>
    </row>
    <row r="284" spans="1:10" s="156" customFormat="1" x14ac:dyDescent="0.25">
      <c r="A284" s="38">
        <f>Données!A284</f>
        <v>5911</v>
      </c>
      <c r="B284" s="128" t="str">
        <f>Données!B284</f>
        <v>Cuarny</v>
      </c>
      <c r="C284" s="266">
        <f>VPI!R284</f>
        <v>7819.0719480519483</v>
      </c>
      <c r="D284" s="148">
        <f>Effort!I284-IF(PCS!I290&lt;0, Effort!D284, 0)</f>
        <v>14.147406893901007</v>
      </c>
      <c r="E284" s="381">
        <f>IF(PCS!I290&lt;0, 0, PCS!F290/Aide!C284)</f>
        <v>1.6406422763760418</v>
      </c>
      <c r="F284" s="381">
        <f>Effort!G284</f>
        <v>0</v>
      </c>
      <c r="G284" s="279">
        <f t="shared" si="13"/>
        <v>15.788049170277048</v>
      </c>
      <c r="H284" s="159">
        <f t="shared" si="14"/>
        <v>0</v>
      </c>
      <c r="I284" s="42">
        <f t="shared" si="15"/>
        <v>0</v>
      </c>
      <c r="J284" s="162"/>
    </row>
    <row r="285" spans="1:10" s="156" customFormat="1" x14ac:dyDescent="0.25">
      <c r="A285" s="38">
        <f>Données!A285</f>
        <v>5912</v>
      </c>
      <c r="B285" s="128" t="str">
        <f>Données!B285</f>
        <v>Démoret</v>
      </c>
      <c r="C285" s="266">
        <f>VPI!R285</f>
        <v>3810.8220512820521</v>
      </c>
      <c r="D285" s="148">
        <f>Effort!I285-IF(PCS!I291&lt;0, Effort!D285, 0)</f>
        <v>-0.89180891928495143</v>
      </c>
      <c r="E285" s="381">
        <f>IF(PCS!I291&lt;0, 0, PCS!F291/Aide!C285)</f>
        <v>1.7768620284229673</v>
      </c>
      <c r="F285" s="381">
        <f>Effort!G285</f>
        <v>0</v>
      </c>
      <c r="G285" s="279">
        <f t="shared" si="13"/>
        <v>0.88505310913801583</v>
      </c>
      <c r="H285" s="159">
        <f t="shared" si="14"/>
        <v>0</v>
      </c>
      <c r="I285" s="42">
        <f t="shared" si="15"/>
        <v>0</v>
      </c>
      <c r="J285" s="162"/>
    </row>
    <row r="286" spans="1:10" s="156" customFormat="1" x14ac:dyDescent="0.25">
      <c r="A286" s="38">
        <f>Données!A286</f>
        <v>5913</v>
      </c>
      <c r="B286" s="128" t="str">
        <f>Données!B286</f>
        <v>Donneloye</v>
      </c>
      <c r="C286" s="266">
        <f>VPI!R286</f>
        <v>21287.768493150685</v>
      </c>
      <c r="D286" s="148">
        <f>Effort!I286-IF(PCS!I292&lt;0, Effort!D286, 0)</f>
        <v>0.95216070693868105</v>
      </c>
      <c r="E286" s="381">
        <f>IF(PCS!I292&lt;0, 0, PCS!F292/Aide!C286)</f>
        <v>3.9034596334855873</v>
      </c>
      <c r="F286" s="381">
        <f>Effort!G286</f>
        <v>0</v>
      </c>
      <c r="G286" s="279">
        <f t="shared" si="13"/>
        <v>4.8556203404242684</v>
      </c>
      <c r="H286" s="159">
        <f t="shared" si="14"/>
        <v>0</v>
      </c>
      <c r="I286" s="42">
        <f t="shared" si="15"/>
        <v>0</v>
      </c>
      <c r="J286" s="162"/>
    </row>
    <row r="287" spans="1:10" x14ac:dyDescent="0.25">
      <c r="A287" s="38">
        <f>Données!A287</f>
        <v>5914</v>
      </c>
      <c r="B287" s="128" t="str">
        <f>Données!B287</f>
        <v>Ependes</v>
      </c>
      <c r="C287" s="266">
        <f>VPI!R287</f>
        <v>11289.461224489796</v>
      </c>
      <c r="D287" s="148">
        <f>Effort!I287-IF(PCS!I293&lt;0, Effort!D287, 0)</f>
        <v>11.167723588126091</v>
      </c>
      <c r="E287" s="381">
        <f>IF(PCS!I293&lt;0, 0, PCS!F293/Aide!C287)</f>
        <v>2.120734065507365</v>
      </c>
      <c r="F287" s="381">
        <f>Effort!G287</f>
        <v>0</v>
      </c>
      <c r="G287" s="279">
        <f t="shared" si="13"/>
        <v>13.288457653633456</v>
      </c>
      <c r="H287" s="159">
        <f t="shared" si="14"/>
        <v>0</v>
      </c>
      <c r="I287" s="42">
        <f t="shared" si="15"/>
        <v>0</v>
      </c>
      <c r="J287" s="29"/>
    </row>
    <row r="288" spans="1:10" x14ac:dyDescent="0.25">
      <c r="A288" s="38">
        <f>Données!A288</f>
        <v>5919</v>
      </c>
      <c r="B288" s="128" t="str">
        <f>Données!B288</f>
        <v>Mathod</v>
      </c>
      <c r="C288" s="266">
        <f>VPI!R288</f>
        <v>20397.872569444444</v>
      </c>
      <c r="D288" s="148">
        <f>Effort!I288-IF(PCS!I294&lt;0, Effort!D288, 0)</f>
        <v>11.327010519548512</v>
      </c>
      <c r="E288" s="381">
        <f>IF(PCS!I294&lt;0, 0, PCS!F294/Aide!C288)</f>
        <v>3.6666110519797708</v>
      </c>
      <c r="F288" s="381">
        <f>Effort!G288</f>
        <v>0</v>
      </c>
      <c r="G288" s="279">
        <f t="shared" si="13"/>
        <v>14.993621571528283</v>
      </c>
      <c r="H288" s="159">
        <f t="shared" si="14"/>
        <v>0</v>
      </c>
      <c r="I288" s="42">
        <f t="shared" si="15"/>
        <v>0</v>
      </c>
      <c r="J288" s="29"/>
    </row>
    <row r="289" spans="1:10" x14ac:dyDescent="0.25">
      <c r="A289" s="38">
        <f>Données!A289</f>
        <v>5921</v>
      </c>
      <c r="B289" s="128" t="str">
        <f>Données!B289</f>
        <v>Molondin</v>
      </c>
      <c r="C289" s="266">
        <f>VPI!R289</f>
        <v>5454.6739506172835</v>
      </c>
      <c r="D289" s="148">
        <f>Effort!I289-IF(PCS!I295&lt;0, Effort!D289, 0)</f>
        <v>-16.805648278495941</v>
      </c>
      <c r="E289" s="381">
        <f>IF(PCS!I295&lt;0, 0, PCS!F295/Aide!C289)</f>
        <v>0.90160201040860666</v>
      </c>
      <c r="F289" s="381">
        <f>Effort!G289</f>
        <v>0</v>
      </c>
      <c r="G289" s="279">
        <f t="shared" si="13"/>
        <v>-15.904046268087335</v>
      </c>
      <c r="H289" s="159">
        <f t="shared" si="14"/>
        <v>-7.9040462680873347</v>
      </c>
      <c r="I289" s="42">
        <f t="shared" si="15"/>
        <v>43113.995283009739</v>
      </c>
      <c r="J289" s="29"/>
    </row>
    <row r="290" spans="1:10" x14ac:dyDescent="0.25">
      <c r="A290" s="38">
        <f>Données!A290</f>
        <v>5922</v>
      </c>
      <c r="B290" s="128" t="str">
        <f>Données!B290</f>
        <v>Montagny-près-Yverdon</v>
      </c>
      <c r="C290" s="266">
        <f>VPI!R290</f>
        <v>39914.464612403099</v>
      </c>
      <c r="D290" s="148">
        <f>Effort!I290-IF(PCS!I296&lt;0, Effort!D290, 0)</f>
        <v>28.702134442810415</v>
      </c>
      <c r="E290" s="381">
        <f>IF(PCS!I296&lt;0, 0, PCS!F296/Aide!C290)</f>
        <v>4.3136577597109316</v>
      </c>
      <c r="F290" s="381">
        <f>Effort!G290</f>
        <v>0</v>
      </c>
      <c r="G290" s="279">
        <f t="shared" si="13"/>
        <v>33.015792202521347</v>
      </c>
      <c r="H290" s="159">
        <f t="shared" si="14"/>
        <v>0</v>
      </c>
      <c r="I290" s="42">
        <f t="shared" si="15"/>
        <v>0</v>
      </c>
      <c r="J290" s="29"/>
    </row>
    <row r="291" spans="1:10" x14ac:dyDescent="0.25">
      <c r="A291" s="38">
        <f>Données!A291</f>
        <v>5923</v>
      </c>
      <c r="B291" s="128" t="str">
        <f>Données!B291</f>
        <v>Oppens</v>
      </c>
      <c r="C291" s="266">
        <f>VPI!R291</f>
        <v>6126.7193827160499</v>
      </c>
      <c r="D291" s="148">
        <f>Effort!I291-IF(PCS!I297&lt;0, Effort!D291, 0)</f>
        <v>9.9241131840183705</v>
      </c>
      <c r="E291" s="381">
        <f>IF(PCS!I297&lt;0, 0, PCS!F297/Aide!C291)</f>
        <v>1.641005466704262</v>
      </c>
      <c r="F291" s="381">
        <f>Effort!G291</f>
        <v>0</v>
      </c>
      <c r="G291" s="279">
        <f t="shared" si="13"/>
        <v>11.565118650722633</v>
      </c>
      <c r="H291" s="159">
        <f t="shared" si="14"/>
        <v>0</v>
      </c>
      <c r="I291" s="42">
        <f t="shared" si="15"/>
        <v>0</v>
      </c>
      <c r="J291" s="29"/>
    </row>
    <row r="292" spans="1:10" x14ac:dyDescent="0.25">
      <c r="A292" s="38">
        <f>Données!A292</f>
        <v>5924</v>
      </c>
      <c r="B292" s="128" t="str">
        <f>Données!B292</f>
        <v>Orges</v>
      </c>
      <c r="C292" s="266">
        <f>VPI!R292</f>
        <v>12401.843648648648</v>
      </c>
      <c r="D292" s="148">
        <f>Effort!I292-IF(PCS!I298&lt;0, Effort!D292, 0)</f>
        <v>11.962143831645163</v>
      </c>
      <c r="E292" s="381">
        <f>IF(PCS!I298&lt;0, 0, PCS!F298/Aide!C292)</f>
        <v>2.1562592431903349</v>
      </c>
      <c r="F292" s="381">
        <f>Effort!G292</f>
        <v>0</v>
      </c>
      <c r="G292" s="279">
        <f t="shared" si="13"/>
        <v>14.118403074835499</v>
      </c>
      <c r="H292" s="159">
        <f t="shared" si="14"/>
        <v>0</v>
      </c>
      <c r="I292" s="42">
        <f t="shared" si="15"/>
        <v>0</v>
      </c>
      <c r="J292" s="29"/>
    </row>
    <row r="293" spans="1:10" x14ac:dyDescent="0.25">
      <c r="A293" s="38">
        <f>Données!A293</f>
        <v>5925</v>
      </c>
      <c r="B293" s="128" t="str">
        <f>Données!B293</f>
        <v>Orzens</v>
      </c>
      <c r="C293" s="266">
        <f>VPI!R293</f>
        <v>5858.6327848101273</v>
      </c>
      <c r="D293" s="148">
        <f>Effort!I293-IF(PCS!I299&lt;0, Effort!D293, 0)</f>
        <v>5.878445437757355</v>
      </c>
      <c r="E293" s="381">
        <f>IF(PCS!I299&lt;0, 0, PCS!F299/Aide!C293)</f>
        <v>9.161369550103915</v>
      </c>
      <c r="F293" s="381">
        <f>Effort!G293</f>
        <v>0</v>
      </c>
      <c r="G293" s="279">
        <f t="shared" si="13"/>
        <v>15.03981498786127</v>
      </c>
      <c r="H293" s="159">
        <f t="shared" si="14"/>
        <v>0</v>
      </c>
      <c r="I293" s="42">
        <f t="shared" si="15"/>
        <v>0</v>
      </c>
      <c r="J293" s="29"/>
    </row>
    <row r="294" spans="1:10" x14ac:dyDescent="0.25">
      <c r="A294" s="38">
        <f>Données!A294</f>
        <v>5926</v>
      </c>
      <c r="B294" s="128" t="str">
        <f>Données!B294</f>
        <v>Pomy</v>
      </c>
      <c r="C294" s="266">
        <f>VPI!R294</f>
        <v>27254.567042253519</v>
      </c>
      <c r="D294" s="148">
        <f>Effort!I294-IF(PCS!I300&lt;0, Effort!D294, 0)</f>
        <v>14.728498035731256</v>
      </c>
      <c r="E294" s="381">
        <f>IF(PCS!I300&lt;0, 0, PCS!F300/Aide!C294)</f>
        <v>2.2391388535135599</v>
      </c>
      <c r="F294" s="381">
        <f>Effort!G294</f>
        <v>0</v>
      </c>
      <c r="G294" s="279">
        <f t="shared" si="13"/>
        <v>16.967636889244815</v>
      </c>
      <c r="H294" s="159">
        <f t="shared" si="14"/>
        <v>0</v>
      </c>
      <c r="I294" s="42">
        <f t="shared" si="15"/>
        <v>0</v>
      </c>
      <c r="J294" s="29"/>
    </row>
    <row r="295" spans="1:10" x14ac:dyDescent="0.25">
      <c r="A295" s="38">
        <f>Données!A295</f>
        <v>5928</v>
      </c>
      <c r="B295" s="128" t="str">
        <f>Données!B295</f>
        <v>Rovray</v>
      </c>
      <c r="C295" s="266">
        <f>VPI!R295</f>
        <v>5477.1420547945208</v>
      </c>
      <c r="D295" s="148">
        <f>Effort!I295-IF(PCS!I301&lt;0, Effort!D295, 0)</f>
        <v>9.0468026554589045</v>
      </c>
      <c r="E295" s="381">
        <f>IF(PCS!I301&lt;0, 0, PCS!F301/Aide!C295)</f>
        <v>2.07661493644183</v>
      </c>
      <c r="F295" s="381">
        <f>Effort!G295</f>
        <v>0</v>
      </c>
      <c r="G295" s="279">
        <f t="shared" si="13"/>
        <v>11.123417591900735</v>
      </c>
      <c r="H295" s="159">
        <f t="shared" si="14"/>
        <v>0</v>
      </c>
      <c r="I295" s="42">
        <f t="shared" si="15"/>
        <v>0</v>
      </c>
      <c r="J295" s="29"/>
    </row>
    <row r="296" spans="1:10" x14ac:dyDescent="0.25">
      <c r="A296" s="38">
        <f>Données!A296</f>
        <v>5929</v>
      </c>
      <c r="B296" s="128" t="str">
        <f>Données!B296</f>
        <v>Suchy</v>
      </c>
      <c r="C296" s="266">
        <f>VPI!R296</f>
        <v>22233.767642857143</v>
      </c>
      <c r="D296" s="148">
        <f>Effort!I296-IF(PCS!I302&lt;0, Effort!D296, 0)</f>
        <v>17.472391268266151</v>
      </c>
      <c r="E296" s="381">
        <f>IF(PCS!I302&lt;0, 0, PCS!F302/Aide!C296)</f>
        <v>4.8652159066145302</v>
      </c>
      <c r="F296" s="381">
        <f>Effort!G296</f>
        <v>0</v>
      </c>
      <c r="G296" s="279">
        <f t="shared" si="13"/>
        <v>22.337607174880681</v>
      </c>
      <c r="H296" s="159">
        <f t="shared" si="14"/>
        <v>0</v>
      </c>
      <c r="I296" s="42">
        <f t="shared" si="15"/>
        <v>0</v>
      </c>
      <c r="J296" s="29"/>
    </row>
    <row r="297" spans="1:10" x14ac:dyDescent="0.25">
      <c r="A297" s="38">
        <f>Données!A297</f>
        <v>5930</v>
      </c>
      <c r="B297" s="128" t="str">
        <f>Données!B297</f>
        <v>Suscévaz</v>
      </c>
      <c r="C297" s="266">
        <f>VPI!R297</f>
        <v>6011.7318055555552</v>
      </c>
      <c r="D297" s="148">
        <f>Effort!I297-IF(PCS!I303&lt;0, Effort!D297, 0)</f>
        <v>9.781840963080132</v>
      </c>
      <c r="E297" s="381">
        <f>IF(PCS!I303&lt;0, 0, PCS!F303/Aide!C297)</f>
        <v>6.2896559964730079</v>
      </c>
      <c r="F297" s="381">
        <f>Effort!G297</f>
        <v>0</v>
      </c>
      <c r="G297" s="279">
        <f t="shared" si="13"/>
        <v>16.071496959553141</v>
      </c>
      <c r="H297" s="159">
        <f t="shared" si="14"/>
        <v>0</v>
      </c>
      <c r="I297" s="42">
        <f t="shared" si="15"/>
        <v>0</v>
      </c>
      <c r="J297" s="29"/>
    </row>
    <row r="298" spans="1:10" x14ac:dyDescent="0.25">
      <c r="A298" s="38">
        <f>Données!A298</f>
        <v>5931</v>
      </c>
      <c r="B298" s="128" t="str">
        <f>Données!B298</f>
        <v>Treycovagnes</v>
      </c>
      <c r="C298" s="266">
        <f>VPI!R298</f>
        <v>16173.396575342462</v>
      </c>
      <c r="D298" s="148">
        <f>Effort!I298-IF(PCS!I304&lt;0, Effort!D298, 0)</f>
        <v>13.850414609538108</v>
      </c>
      <c r="E298" s="381">
        <f>IF(PCS!I304&lt;0, 0, PCS!F304/Aide!C298)</f>
        <v>4.5118373657671151</v>
      </c>
      <c r="F298" s="381">
        <f>Effort!G298</f>
        <v>0</v>
      </c>
      <c r="G298" s="279">
        <f t="shared" si="13"/>
        <v>18.362251975305224</v>
      </c>
      <c r="H298" s="159">
        <f t="shared" si="14"/>
        <v>0</v>
      </c>
      <c r="I298" s="42">
        <f t="shared" si="15"/>
        <v>0</v>
      </c>
      <c r="J298" s="29"/>
    </row>
    <row r="299" spans="1:10" x14ac:dyDescent="0.25">
      <c r="A299" s="38">
        <f>Données!A299</f>
        <v>5932</v>
      </c>
      <c r="B299" s="128" t="str">
        <f>Données!B299</f>
        <v>Ursins</v>
      </c>
      <c r="C299" s="266">
        <f>VPI!R299</f>
        <v>8679.1289333333334</v>
      </c>
      <c r="D299" s="148">
        <f>Effort!I299-IF(PCS!I305&lt;0, Effort!D299, 0)</f>
        <v>19.747171650438261</v>
      </c>
      <c r="E299" s="381">
        <f>IF(PCS!I305&lt;0, 0, PCS!F305/Aide!C299)</f>
        <v>1.921088524905272</v>
      </c>
      <c r="F299" s="381">
        <f>Effort!G299</f>
        <v>0</v>
      </c>
      <c r="G299" s="279">
        <f t="shared" si="13"/>
        <v>21.668260175343534</v>
      </c>
      <c r="H299" s="159">
        <f t="shared" si="14"/>
        <v>0</v>
      </c>
      <c r="I299" s="42">
        <f t="shared" si="15"/>
        <v>0</v>
      </c>
      <c r="J299" s="29"/>
    </row>
    <row r="300" spans="1:10" x14ac:dyDescent="0.25">
      <c r="A300" s="38">
        <f>Données!A300</f>
        <v>5933</v>
      </c>
      <c r="B300" s="128" t="str">
        <f>Données!B300</f>
        <v>Valeyres-sous-Montagny</v>
      </c>
      <c r="C300" s="266">
        <f>VPI!R300</f>
        <v>22762.97602836879</v>
      </c>
      <c r="D300" s="148">
        <f>Effort!I300-IF(PCS!I306&lt;0, Effort!D300, 0)</f>
        <v>16.253831597629556</v>
      </c>
      <c r="E300" s="381">
        <f>IF(PCS!I306&lt;0, 0, PCS!F306/Aide!C300)</f>
        <v>3.3466511542717243</v>
      </c>
      <c r="F300" s="381">
        <f>Effort!G300</f>
        <v>0</v>
      </c>
      <c r="G300" s="279">
        <f t="shared" si="13"/>
        <v>19.600482751901282</v>
      </c>
      <c r="H300" s="159">
        <f t="shared" si="14"/>
        <v>0</v>
      </c>
      <c r="I300" s="42">
        <f t="shared" si="15"/>
        <v>0</v>
      </c>
      <c r="J300" s="29"/>
    </row>
    <row r="301" spans="1:10" x14ac:dyDescent="0.25">
      <c r="A301" s="38">
        <f>Données!A301</f>
        <v>5934</v>
      </c>
      <c r="B301" s="128" t="str">
        <f>Données!B301</f>
        <v>Valeyres-sous-Ursins</v>
      </c>
      <c r="C301" s="266">
        <f>VPI!R301</f>
        <v>7483.0151948051935</v>
      </c>
      <c r="D301" s="148">
        <f>Effort!I301-IF(PCS!I307&lt;0, Effort!D301, 0)</f>
        <v>13.207398958600589</v>
      </c>
      <c r="E301" s="381">
        <f>IF(PCS!I307&lt;0, 0, PCS!F307/Aide!C301)</f>
        <v>2.7862625502182725</v>
      </c>
      <c r="F301" s="381">
        <f>Effort!G301</f>
        <v>0</v>
      </c>
      <c r="G301" s="279">
        <f t="shared" si="13"/>
        <v>15.99366150881886</v>
      </c>
      <c r="H301" s="159">
        <f t="shared" si="14"/>
        <v>0</v>
      </c>
      <c r="I301" s="42">
        <f t="shared" si="15"/>
        <v>0</v>
      </c>
      <c r="J301" s="29"/>
    </row>
    <row r="302" spans="1:10" x14ac:dyDescent="0.25">
      <c r="A302" s="38">
        <f>Données!A302</f>
        <v>5935</v>
      </c>
      <c r="B302" s="128" t="str">
        <f>Données!B302</f>
        <v>Villars-Epeney</v>
      </c>
      <c r="C302" s="266">
        <f>VPI!R302</f>
        <v>4091.4220588235289</v>
      </c>
      <c r="D302" s="148">
        <f>Effort!I302-IF(PCS!I308&lt;0, Effort!D302, 0)</f>
        <v>23.457344596086795</v>
      </c>
      <c r="E302" s="381">
        <f>IF(PCS!I308&lt;0, 0, PCS!F308/Aide!C302)</f>
        <v>5.3008464265444895</v>
      </c>
      <c r="F302" s="381">
        <f>Effort!G302</f>
        <v>0</v>
      </c>
      <c r="G302" s="279">
        <f t="shared" si="13"/>
        <v>28.758191022631284</v>
      </c>
      <c r="H302" s="159">
        <f t="shared" si="14"/>
        <v>0</v>
      </c>
      <c r="I302" s="42">
        <f t="shared" si="15"/>
        <v>0</v>
      </c>
      <c r="J302" s="29"/>
    </row>
    <row r="303" spans="1:10" x14ac:dyDescent="0.25">
      <c r="A303" s="38">
        <f>Données!A303</f>
        <v>5937</v>
      </c>
      <c r="B303" s="128" t="str">
        <f>Données!B303</f>
        <v>Vugelles-La Mothe</v>
      </c>
      <c r="C303" s="266">
        <f>VPI!R303</f>
        <v>3794.0157959183671</v>
      </c>
      <c r="D303" s="148">
        <f>Effort!I303-IF(PCS!I309&lt;0, Effort!D303, 0)</f>
        <v>6.6021056579394966</v>
      </c>
      <c r="E303" s="381">
        <f>IF(PCS!I309&lt;0, 0, PCS!F309/Aide!C303)</f>
        <v>1.5408014395430261</v>
      </c>
      <c r="F303" s="381">
        <f>Effort!G303</f>
        <v>0</v>
      </c>
      <c r="G303" s="279">
        <f t="shared" si="13"/>
        <v>8.1429070974825226</v>
      </c>
      <c r="H303" s="159">
        <f t="shared" si="14"/>
        <v>0</v>
      </c>
      <c r="I303" s="42">
        <f t="shared" si="15"/>
        <v>0</v>
      </c>
      <c r="J303" s="29"/>
    </row>
    <row r="304" spans="1:10" x14ac:dyDescent="0.25">
      <c r="A304" s="38">
        <f>Données!A304</f>
        <v>5938</v>
      </c>
      <c r="B304" s="128" t="str">
        <f>Données!B304</f>
        <v>Yverdon-les-Bains</v>
      </c>
      <c r="C304" s="266">
        <f>VPI!R304</f>
        <v>793682.36159999971</v>
      </c>
      <c r="D304" s="148">
        <f>Effort!I304-IF(PCS!I310&lt;0, Effort!D304, 0)</f>
        <v>-23.12033086520692</v>
      </c>
      <c r="E304" s="381">
        <f>IF(PCS!I310&lt;0, 0, PCS!F310/Aide!C304)</f>
        <v>6.6478974905822099</v>
      </c>
      <c r="F304" s="381">
        <f>Effort!G304</f>
        <v>0</v>
      </c>
      <c r="G304" s="279">
        <f t="shared" si="13"/>
        <v>-16.47243337462471</v>
      </c>
      <c r="H304" s="159">
        <f t="shared" si="14"/>
        <v>-8.4724333746247105</v>
      </c>
      <c r="I304" s="42">
        <f t="shared" si="15"/>
        <v>6724420.9292707955</v>
      </c>
      <c r="J304" s="29"/>
    </row>
    <row r="305" spans="1:12" x14ac:dyDescent="0.25">
      <c r="A305" s="38">
        <f>Données!A305</f>
        <v>5939</v>
      </c>
      <c r="B305" s="128" t="str">
        <f>Données!B305</f>
        <v>Yvonand</v>
      </c>
      <c r="C305" s="266">
        <f>VPI!R305</f>
        <v>96283.364335664344</v>
      </c>
      <c r="D305" s="148">
        <f>Effort!I305-IF(PCS!I311&lt;0, Effort!D305, 0)</f>
        <v>2.1947487997771411</v>
      </c>
      <c r="E305" s="381">
        <f>IF(PCS!I311&lt;0, 0, PCS!F311/Aide!C305)</f>
        <v>2.945816517287394</v>
      </c>
      <c r="F305" s="381">
        <f>Effort!G305</f>
        <v>0</v>
      </c>
      <c r="G305" s="279">
        <f t="shared" si="13"/>
        <v>5.1405653170645351</v>
      </c>
      <c r="H305" s="159">
        <f t="shared" si="14"/>
        <v>0</v>
      </c>
      <c r="I305" s="42">
        <f t="shared" si="15"/>
        <v>0</v>
      </c>
      <c r="J305" s="29"/>
    </row>
    <row r="306" spans="1:12" x14ac:dyDescent="0.25">
      <c r="A306" s="25"/>
      <c r="B306" s="132">
        <f>COUNTA(B6:B305)</f>
        <v>300</v>
      </c>
      <c r="C306" s="319">
        <f>VPI!R306</f>
        <v>41857577.09593945</v>
      </c>
      <c r="D306" s="776"/>
      <c r="E306" s="777"/>
      <c r="F306" s="777"/>
      <c r="G306" s="777"/>
      <c r="H306" s="778"/>
      <c r="I306" s="406">
        <f>SUM(I6:I305)</f>
        <v>10445652.645269848</v>
      </c>
      <c r="K306" s="10"/>
      <c r="L306" s="10"/>
    </row>
    <row r="307" spans="1:12" x14ac:dyDescent="0.25">
      <c r="I307" s="23"/>
      <c r="J307" s="5"/>
    </row>
    <row r="308" spans="1:12" x14ac:dyDescent="0.25">
      <c r="I308" s="23"/>
    </row>
  </sheetData>
  <sheetProtection sheet="1" objects="1" scenarios="1"/>
  <mergeCells count="7">
    <mergeCell ref="D306:H306"/>
    <mergeCell ref="C4:C5"/>
    <mergeCell ref="B4:B5"/>
    <mergeCell ref="A4:A5"/>
    <mergeCell ref="I4:I5"/>
    <mergeCell ref="G4:G5"/>
    <mergeCell ref="D4:D5"/>
  </mergeCells>
  <phoneticPr fontId="21" type="noConversion"/>
  <conditionalFormatting sqref="D6:G305 D306">
    <cfRule type="cellIs" dxfId="8" priority="3" operator="lessThan">
      <formula>0</formula>
    </cfRule>
    <cfRule type="cellIs" dxfId="7" priority="4" operator="greaterThan">
      <formula>0</formula>
    </cfRule>
  </conditionalFormatting>
  <conditionalFormatting sqref="H5">
    <cfRule type="cellIs" dxfId="6" priority="1" operator="lessThan">
      <formula>0</formula>
    </cfRule>
    <cfRule type="cellIs" dxfId="5" priority="2" operator="greaterThan">
      <formula>0</formula>
    </cfRule>
  </conditionalFormatting>
  <hyperlinks>
    <hyperlink ref="C1" location="Effort!A1" display="← Précédent" xr:uid="{AB4DD465-687C-427D-8055-D2BD3588A1AC}"/>
    <hyperlink ref="E1" location="Taux!A1" display="Suivant →" xr:uid="{595CC61F-6155-4574-887D-9823ED57B9F9}"/>
    <hyperlink ref="D1" location="'Table des matières'!A1" display="Table des             matières" xr:uid="{FC746932-0F9A-4D6A-946B-B9E5F79E5828}"/>
  </hyperlinks>
  <pageMargins left="0.78740157499999996" right="0.78740157499999996" top="0.984251969" bottom="0.984251969" header="0.4921259845" footer="0.4921259845"/>
  <pageSetup paperSize="9" orientation="portrait" horizontalDpi="4294967292" verticalDpi="4294967292"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5">
    <tabColor theme="6" tint="0.39997558519241921"/>
  </sheetPr>
  <dimension ref="A1:S311"/>
  <sheetViews>
    <sheetView workbookViewId="0">
      <pane ySplit="5" topLeftCell="A6" activePane="bottomLeft" state="frozen"/>
      <selection pane="bottomLeft"/>
    </sheetView>
  </sheetViews>
  <sheetFormatPr baseColWidth="10" defaultColWidth="10.75" defaultRowHeight="15" x14ac:dyDescent="0.25"/>
  <cols>
    <col min="1" max="1" width="7.25" style="11" customWidth="1"/>
    <col min="2" max="2" width="20.25" style="11" bestFit="1" customWidth="1"/>
    <col min="3" max="3" width="16.125" style="5" customWidth="1"/>
    <col min="4" max="4" width="22.375" style="5" customWidth="1"/>
    <col min="5" max="6" width="12.125" style="5" customWidth="1"/>
    <col min="7" max="7" width="16.5" style="5" customWidth="1"/>
    <col min="8" max="8" width="12.125" style="11" customWidth="1"/>
    <col min="9" max="9" width="12" style="11" customWidth="1"/>
    <col min="10" max="10" width="13.5" style="156" customWidth="1"/>
    <col min="11" max="11" width="13.5" style="11" customWidth="1"/>
    <col min="12" max="12" width="8.875" style="13" bestFit="1" customWidth="1"/>
    <col min="13" max="13" width="11.75" style="13" bestFit="1" customWidth="1"/>
    <col min="14" max="14" width="12.5" style="13" bestFit="1" customWidth="1"/>
    <col min="15" max="15" width="6.75" style="11" customWidth="1"/>
    <col min="16" max="16" width="12.25" style="11" customWidth="1"/>
    <col min="17" max="17" width="12.625" style="11" customWidth="1"/>
    <col min="18" max="18" width="9.625" style="11" customWidth="1"/>
    <col min="19" max="19" width="11.25" style="5" bestFit="1" customWidth="1"/>
    <col min="20" max="16384" width="10.75" style="11"/>
  </cols>
  <sheetData>
    <row r="1" spans="1:19" s="216" customFormat="1" ht="26.25" x14ac:dyDescent="0.4">
      <c r="A1" s="203" t="s">
        <v>400</v>
      </c>
      <c r="B1" s="208"/>
      <c r="C1" s="308" t="s">
        <v>402</v>
      </c>
      <c r="D1" s="224" t="s">
        <v>394</v>
      </c>
      <c r="E1" s="307" t="s">
        <v>403</v>
      </c>
      <c r="F1" s="213"/>
      <c r="G1" s="213"/>
      <c r="H1" s="212"/>
      <c r="I1" s="212"/>
      <c r="J1" s="212"/>
      <c r="K1" s="212"/>
      <c r="L1" s="215"/>
      <c r="M1" s="215"/>
      <c r="N1" s="215"/>
      <c r="O1" s="212"/>
      <c r="P1" s="212"/>
      <c r="Q1" s="212"/>
      <c r="R1" s="212"/>
      <c r="S1" s="211"/>
    </row>
    <row r="2" spans="1:19" s="33" customFormat="1" ht="15.75" x14ac:dyDescent="0.25">
      <c r="A2" s="272" t="str">
        <f>Paramètres!B4</f>
        <v>Décompte 2023</v>
      </c>
      <c r="B2" s="32"/>
      <c r="C2" s="34"/>
      <c r="D2" s="34"/>
      <c r="E2" s="34"/>
      <c r="F2" s="34"/>
      <c r="G2" s="34"/>
      <c r="H2" s="158"/>
      <c r="I2" s="158"/>
      <c r="J2" s="158"/>
      <c r="K2" s="158"/>
      <c r="L2" s="79"/>
      <c r="M2" s="79"/>
      <c r="N2" s="79"/>
      <c r="O2" s="158"/>
      <c r="P2" s="158"/>
      <c r="Q2" s="158"/>
      <c r="R2" s="158"/>
      <c r="S2" s="5"/>
    </row>
    <row r="3" spans="1:19" ht="26.1" customHeight="1" x14ac:dyDescent="0.25">
      <c r="D3" s="4"/>
      <c r="H3" s="80"/>
      <c r="I3" s="80"/>
      <c r="J3" s="80"/>
    </row>
    <row r="4" spans="1:19" ht="36.75" customHeight="1" x14ac:dyDescent="0.25">
      <c r="A4" s="760" t="s">
        <v>44</v>
      </c>
      <c r="B4" s="760" t="s">
        <v>84</v>
      </c>
      <c r="C4" s="760" t="s">
        <v>409</v>
      </c>
      <c r="D4" s="268" t="s">
        <v>489</v>
      </c>
      <c r="E4" s="768" t="s">
        <v>300</v>
      </c>
      <c r="F4" s="768" t="s">
        <v>432</v>
      </c>
      <c r="G4" s="371" t="s">
        <v>488</v>
      </c>
      <c r="H4" s="774" t="s">
        <v>510</v>
      </c>
      <c r="I4" s="369" t="s">
        <v>113</v>
      </c>
      <c r="J4" s="760" t="s">
        <v>597</v>
      </c>
      <c r="K4" s="772" t="s">
        <v>595</v>
      </c>
      <c r="L4" s="5"/>
      <c r="M4" s="11"/>
      <c r="N4" s="11"/>
      <c r="S4" s="11"/>
    </row>
    <row r="5" spans="1:19" x14ac:dyDescent="0.25">
      <c r="A5" s="762"/>
      <c r="B5" s="762"/>
      <c r="C5" s="762"/>
      <c r="D5" s="407" t="str">
        <f>CONCATENATE(LEFT(Paramètres!B4,LENB(Paramètres!B4)-4), "T-1")</f>
        <v>Décompte T-1</v>
      </c>
      <c r="E5" s="769"/>
      <c r="F5" s="769"/>
      <c r="G5" s="387" t="str">
        <f>Paramètres!B4</f>
        <v>Décompte 2023</v>
      </c>
      <c r="H5" s="775"/>
      <c r="I5" s="392">
        <f>Paramètres!B47</f>
        <v>93.882000000000005</v>
      </c>
      <c r="J5" s="761"/>
      <c r="K5" s="779"/>
      <c r="L5" s="5"/>
      <c r="M5" s="11"/>
      <c r="N5" s="11"/>
      <c r="S5" s="11"/>
    </row>
    <row r="6" spans="1:19" x14ac:dyDescent="0.25">
      <c r="A6" s="36">
        <f>Données!A6</f>
        <v>5401</v>
      </c>
      <c r="B6" s="144" t="str">
        <f>Données!B6</f>
        <v>Aigle</v>
      </c>
      <c r="C6" s="265">
        <f>VPI!R6</f>
        <v>293879.84888888896</v>
      </c>
      <c r="D6" s="396">
        <f>+Données!AP6</f>
        <v>-3.7084350213933859</v>
      </c>
      <c r="E6" s="313">
        <f>VPI!Q6</f>
        <v>66</v>
      </c>
      <c r="F6" s="177">
        <f>E6-D6</f>
        <v>69.708435021393385</v>
      </c>
      <c r="G6" s="59">
        <f>Effort!I6+Aide!I6/Taux!C6+Effort!K6/Taux!C6</f>
        <v>-7.7957636929425895</v>
      </c>
      <c r="H6" s="81">
        <f>F6+G6</f>
        <v>61.912671328450799</v>
      </c>
      <c r="I6" s="159">
        <f>IF(H6&gt;$I$5,H6-$I$5,0)</f>
        <v>0</v>
      </c>
      <c r="J6" s="632">
        <f>-I6*C6</f>
        <v>0</v>
      </c>
      <c r="K6" s="635">
        <f>J6</f>
        <v>0</v>
      </c>
      <c r="L6" s="5"/>
      <c r="M6" s="10"/>
      <c r="N6" s="11"/>
      <c r="S6" s="11"/>
    </row>
    <row r="7" spans="1:19" x14ac:dyDescent="0.25">
      <c r="A7" s="38">
        <f>Données!A7</f>
        <v>5402</v>
      </c>
      <c r="B7" s="142" t="str">
        <f>Données!B7</f>
        <v>Bex</v>
      </c>
      <c r="C7" s="266">
        <f>VPI!R7</f>
        <v>202698.13549295775</v>
      </c>
      <c r="D7" s="397">
        <f>+Données!AP7</f>
        <v>-10.522280815883002</v>
      </c>
      <c r="E7" s="314">
        <f>VPI!Q7</f>
        <v>71</v>
      </c>
      <c r="F7" s="176">
        <f t="shared" ref="F7:F70" si="0">E7-D7</f>
        <v>81.522280815883008</v>
      </c>
      <c r="G7" s="173">
        <f>Effort!I7+Aide!I7/Taux!C7+Effort!K7/Taux!C7</f>
        <v>-11.231376526947262</v>
      </c>
      <c r="H7" s="82">
        <f t="shared" ref="H7:H70" si="1">F7+G7</f>
        <v>70.290904288935749</v>
      </c>
      <c r="I7" s="159">
        <f t="shared" ref="I7:I70" si="2">IF(H7&gt;$I$5,H7-$I$5,0)</f>
        <v>0</v>
      </c>
      <c r="J7" s="633">
        <f t="shared" ref="J7:J70" si="3">-I7*C7</f>
        <v>0</v>
      </c>
      <c r="K7" s="636">
        <f t="shared" ref="K7:K70" si="4">J7</f>
        <v>0</v>
      </c>
      <c r="L7" s="5"/>
      <c r="M7" s="10"/>
      <c r="N7" s="11"/>
      <c r="S7" s="11"/>
    </row>
    <row r="8" spans="1:19" x14ac:dyDescent="0.25">
      <c r="A8" s="38">
        <f>Données!A8</f>
        <v>5403</v>
      </c>
      <c r="B8" s="142" t="str">
        <f>Données!B8</f>
        <v>Chessel</v>
      </c>
      <c r="C8" s="266">
        <f>VPI!R8</f>
        <v>13180.672769230767</v>
      </c>
      <c r="D8" s="397">
        <f>+Données!AP8</f>
        <v>10.662710227814005</v>
      </c>
      <c r="E8" s="314">
        <f>VPI!Q8</f>
        <v>65</v>
      </c>
      <c r="F8" s="176">
        <f t="shared" si="0"/>
        <v>54.337289772185997</v>
      </c>
      <c r="G8" s="173">
        <f>Effort!I8+Aide!I8/Taux!C8+Effort!K8/Taux!C8</f>
        <v>9.6222043266724651</v>
      </c>
      <c r="H8" s="82">
        <f t="shared" si="1"/>
        <v>63.959494098858464</v>
      </c>
      <c r="I8" s="159">
        <f t="shared" si="2"/>
        <v>0</v>
      </c>
      <c r="J8" s="633">
        <f t="shared" si="3"/>
        <v>0</v>
      </c>
      <c r="K8" s="636">
        <f t="shared" si="4"/>
        <v>0</v>
      </c>
      <c r="L8" s="5"/>
      <c r="M8" s="10"/>
      <c r="N8" s="11"/>
      <c r="S8" s="11"/>
    </row>
    <row r="9" spans="1:19" x14ac:dyDescent="0.25">
      <c r="A9" s="38">
        <f>Données!A9</f>
        <v>5404</v>
      </c>
      <c r="B9" s="142" t="str">
        <f>Données!B9</f>
        <v>Corbeyrier</v>
      </c>
      <c r="C9" s="266">
        <f>VPI!R9</f>
        <v>10656.798108108109</v>
      </c>
      <c r="D9" s="397">
        <f>+Données!AP9</f>
        <v>7.7741990489343502</v>
      </c>
      <c r="E9" s="314">
        <f>VPI!Q9</f>
        <v>74</v>
      </c>
      <c r="F9" s="176">
        <f t="shared" si="0"/>
        <v>66.225800951065651</v>
      </c>
      <c r="G9" s="173">
        <f>Effort!I9+Aide!I9/Taux!C9+Effort!K9/Taux!C9</f>
        <v>-0.1630359085373918</v>
      </c>
      <c r="H9" s="82">
        <f t="shared" si="1"/>
        <v>66.062765042528255</v>
      </c>
      <c r="I9" s="159">
        <f t="shared" si="2"/>
        <v>0</v>
      </c>
      <c r="J9" s="633">
        <f t="shared" si="3"/>
        <v>0</v>
      </c>
      <c r="K9" s="636">
        <f t="shared" si="4"/>
        <v>0</v>
      </c>
      <c r="L9" s="5"/>
      <c r="M9" s="10"/>
      <c r="N9" s="11"/>
      <c r="S9" s="11"/>
    </row>
    <row r="10" spans="1:19" x14ac:dyDescent="0.25">
      <c r="A10" s="38">
        <f>Données!A10</f>
        <v>5405</v>
      </c>
      <c r="B10" s="142" t="str">
        <f>Données!B10</f>
        <v>Gryon</v>
      </c>
      <c r="C10" s="266">
        <f>VPI!R10</f>
        <v>79200.140770975064</v>
      </c>
      <c r="D10" s="397">
        <f>+Données!AP10</f>
        <v>28.293388782445465</v>
      </c>
      <c r="E10" s="314">
        <f>VPI!Q10</f>
        <v>73.5</v>
      </c>
      <c r="F10" s="176">
        <f t="shared" si="0"/>
        <v>45.206611217554538</v>
      </c>
      <c r="G10" s="173">
        <f>Effort!I10+Aide!I10/Taux!C10+Effort!K10/Taux!C10</f>
        <v>27.454777359807167</v>
      </c>
      <c r="H10" s="82">
        <f t="shared" si="1"/>
        <v>72.661388577361706</v>
      </c>
      <c r="I10" s="159">
        <f t="shared" si="2"/>
        <v>0</v>
      </c>
      <c r="J10" s="633">
        <f t="shared" si="3"/>
        <v>0</v>
      </c>
      <c r="K10" s="636">
        <f t="shared" si="4"/>
        <v>0</v>
      </c>
      <c r="L10" s="5"/>
      <c r="M10" s="10"/>
      <c r="N10" s="11"/>
      <c r="S10" s="11"/>
    </row>
    <row r="11" spans="1:19" x14ac:dyDescent="0.25">
      <c r="A11" s="38">
        <f>Données!A11</f>
        <v>5406</v>
      </c>
      <c r="B11" s="142" t="str">
        <f>Données!B11</f>
        <v>Lavey-Morcles</v>
      </c>
      <c r="C11" s="266">
        <f>VPI!R11</f>
        <v>24174.314276492736</v>
      </c>
      <c r="D11" s="397">
        <f>+Données!AP11</f>
        <v>1.6465373952121412</v>
      </c>
      <c r="E11" s="314">
        <f>VPI!Q11</f>
        <v>71.5</v>
      </c>
      <c r="F11" s="176">
        <f t="shared" si="0"/>
        <v>69.853462604787865</v>
      </c>
      <c r="G11" s="173">
        <f>Effort!I11+Aide!I11/Taux!C11+Effort!K11/Taux!C11</f>
        <v>2.7401782348736283</v>
      </c>
      <c r="H11" s="82">
        <f t="shared" si="1"/>
        <v>72.593640839661489</v>
      </c>
      <c r="I11" s="159">
        <f t="shared" si="2"/>
        <v>0</v>
      </c>
      <c r="J11" s="633">
        <f t="shared" si="3"/>
        <v>0</v>
      </c>
      <c r="K11" s="636">
        <f t="shared" si="4"/>
        <v>0</v>
      </c>
      <c r="L11" s="5"/>
      <c r="M11" s="10"/>
      <c r="N11" s="11"/>
      <c r="S11" s="11"/>
    </row>
    <row r="12" spans="1:19" x14ac:dyDescent="0.25">
      <c r="A12" s="38">
        <f>Données!A12</f>
        <v>5407</v>
      </c>
      <c r="B12" s="142" t="str">
        <f>Données!B12</f>
        <v>Leysin</v>
      </c>
      <c r="C12" s="266">
        <f>VPI!R12</f>
        <v>97593.933333333334</v>
      </c>
      <c r="D12" s="397">
        <f>+Données!AP12</f>
        <v>-7.7586161772711018</v>
      </c>
      <c r="E12" s="314">
        <f>VPI!Q12</f>
        <v>78</v>
      </c>
      <c r="F12" s="176">
        <f t="shared" si="0"/>
        <v>85.758616177271108</v>
      </c>
      <c r="G12" s="173">
        <f>Effort!I12+Aide!I12/Taux!C12+Effort!K12/Taux!C12</f>
        <v>-3.6354059380920098</v>
      </c>
      <c r="H12" s="82">
        <f t="shared" si="1"/>
        <v>82.123210239179102</v>
      </c>
      <c r="I12" s="159">
        <f t="shared" si="2"/>
        <v>0</v>
      </c>
      <c r="J12" s="633">
        <f t="shared" si="3"/>
        <v>0</v>
      </c>
      <c r="K12" s="636">
        <f t="shared" si="4"/>
        <v>0</v>
      </c>
      <c r="L12" s="5"/>
      <c r="M12" s="10"/>
      <c r="N12" s="11"/>
      <c r="S12" s="11"/>
    </row>
    <row r="13" spans="1:19" x14ac:dyDescent="0.25">
      <c r="A13" s="38">
        <f>Données!A13</f>
        <v>5408</v>
      </c>
      <c r="B13" s="142" t="str">
        <f>Données!B13</f>
        <v>Noville</v>
      </c>
      <c r="C13" s="266">
        <f>VPI!R13</f>
        <v>40176.989288888893</v>
      </c>
      <c r="D13" s="397">
        <f>+Données!AP13</f>
        <v>18.379807012226646</v>
      </c>
      <c r="E13" s="314">
        <f>VPI!Q13</f>
        <v>75</v>
      </c>
      <c r="F13" s="176">
        <f t="shared" si="0"/>
        <v>56.620192987773351</v>
      </c>
      <c r="G13" s="173">
        <f>Effort!I13+Aide!I13/Taux!C13+Effort!K13/Taux!C13</f>
        <v>15.696898230541745</v>
      </c>
      <c r="H13" s="82">
        <f t="shared" si="1"/>
        <v>72.317091218315099</v>
      </c>
      <c r="I13" s="159">
        <f t="shared" si="2"/>
        <v>0</v>
      </c>
      <c r="J13" s="633">
        <f t="shared" si="3"/>
        <v>0</v>
      </c>
      <c r="K13" s="636">
        <f t="shared" si="4"/>
        <v>0</v>
      </c>
      <c r="L13" s="5"/>
      <c r="M13" s="10"/>
      <c r="N13" s="11"/>
      <c r="S13" s="11"/>
    </row>
    <row r="14" spans="1:19" x14ac:dyDescent="0.25">
      <c r="A14" s="38">
        <f>Données!A14</f>
        <v>5409</v>
      </c>
      <c r="B14" s="142" t="str">
        <f>Données!B14</f>
        <v>Ollon</v>
      </c>
      <c r="C14" s="266">
        <f>VPI!R14</f>
        <v>421727.92700226256</v>
      </c>
      <c r="D14" s="397">
        <f>+Données!AP14</f>
        <v>22.271330169498974</v>
      </c>
      <c r="E14" s="314">
        <f>VPI!Q14</f>
        <v>68</v>
      </c>
      <c r="F14" s="176">
        <f t="shared" si="0"/>
        <v>45.728669830501026</v>
      </c>
      <c r="G14" s="173">
        <f>Effort!I14+Aide!I14/Taux!C14+Effort!K14/Taux!C14</f>
        <v>22.173442910206774</v>
      </c>
      <c r="H14" s="82">
        <f t="shared" si="1"/>
        <v>67.902112740707793</v>
      </c>
      <c r="I14" s="159">
        <f t="shared" si="2"/>
        <v>0</v>
      </c>
      <c r="J14" s="633">
        <f t="shared" si="3"/>
        <v>0</v>
      </c>
      <c r="K14" s="636">
        <f t="shared" si="4"/>
        <v>0</v>
      </c>
      <c r="L14" s="5"/>
      <c r="M14" s="10"/>
      <c r="N14" s="11"/>
      <c r="S14" s="11"/>
    </row>
    <row r="15" spans="1:19" x14ac:dyDescent="0.25">
      <c r="A15" s="38">
        <f>Données!A15</f>
        <v>5410</v>
      </c>
      <c r="B15" s="142" t="str">
        <f>Données!B15</f>
        <v>Ormont-Dessous</v>
      </c>
      <c r="C15" s="266">
        <f>VPI!R15</f>
        <v>36756.557662337655</v>
      </c>
      <c r="D15" s="397">
        <f>+Données!AP15</f>
        <v>14.216483710450452</v>
      </c>
      <c r="E15" s="314">
        <f>VPI!Q15</f>
        <v>77</v>
      </c>
      <c r="F15" s="176">
        <f t="shared" si="0"/>
        <v>62.783516289549546</v>
      </c>
      <c r="G15" s="173">
        <f>Effort!I15+Aide!I15/Taux!C15+Effort!K15/Taux!C15</f>
        <v>10.191875323391208</v>
      </c>
      <c r="H15" s="82">
        <f t="shared" si="1"/>
        <v>72.975391612940754</v>
      </c>
      <c r="I15" s="159">
        <f t="shared" si="2"/>
        <v>0</v>
      </c>
      <c r="J15" s="633">
        <f t="shared" si="3"/>
        <v>0</v>
      </c>
      <c r="K15" s="636">
        <f t="shared" si="4"/>
        <v>0</v>
      </c>
      <c r="L15" s="5"/>
      <c r="M15" s="10"/>
      <c r="N15" s="11"/>
      <c r="S15" s="11"/>
    </row>
    <row r="16" spans="1:19" x14ac:dyDescent="0.25">
      <c r="A16" s="38">
        <f>Données!A16</f>
        <v>5411</v>
      </c>
      <c r="B16" s="142" t="str">
        <f>Données!B16</f>
        <v>Ormont-Dessus</v>
      </c>
      <c r="C16" s="266">
        <f>VPI!R16</f>
        <v>79198.134342105259</v>
      </c>
      <c r="D16" s="397">
        <f>+Données!AP16</f>
        <v>28.481059125649072</v>
      </c>
      <c r="E16" s="314">
        <f>VPI!Q16</f>
        <v>76</v>
      </c>
      <c r="F16" s="176">
        <f t="shared" si="0"/>
        <v>47.518940874350932</v>
      </c>
      <c r="G16" s="173">
        <f>Effort!I16+Aide!I16/Taux!C16+Effort!K16/Taux!C16</f>
        <v>28.793749601088123</v>
      </c>
      <c r="H16" s="82">
        <f t="shared" si="1"/>
        <v>76.312690475439055</v>
      </c>
      <c r="I16" s="159">
        <f t="shared" si="2"/>
        <v>0</v>
      </c>
      <c r="J16" s="633">
        <f t="shared" si="3"/>
        <v>0</v>
      </c>
      <c r="K16" s="636">
        <f t="shared" si="4"/>
        <v>0</v>
      </c>
      <c r="L16" s="5"/>
      <c r="M16" s="10"/>
      <c r="N16" s="11"/>
      <c r="S16" s="11"/>
    </row>
    <row r="17" spans="1:19" x14ac:dyDescent="0.25">
      <c r="A17" s="38">
        <f>Données!A17</f>
        <v>5412</v>
      </c>
      <c r="B17" s="142" t="str">
        <f>Données!B17</f>
        <v>Rennaz</v>
      </c>
      <c r="C17" s="266">
        <f>VPI!R17</f>
        <v>29024.824057971011</v>
      </c>
      <c r="D17" s="397">
        <f>+Données!AP17</f>
        <v>19.510128337555113</v>
      </c>
      <c r="E17" s="314">
        <f>VPI!Q17</f>
        <v>69</v>
      </c>
      <c r="F17" s="176">
        <f t="shared" si="0"/>
        <v>49.489871662444884</v>
      </c>
      <c r="G17" s="173">
        <f>Effort!I17+Aide!I17/Taux!C17+Effort!K17/Taux!C17</f>
        <v>15.527478117662927</v>
      </c>
      <c r="H17" s="82">
        <f t="shared" si="1"/>
        <v>65.017349780107807</v>
      </c>
      <c r="I17" s="159">
        <f t="shared" si="2"/>
        <v>0</v>
      </c>
      <c r="J17" s="633">
        <f t="shared" si="3"/>
        <v>0</v>
      </c>
      <c r="K17" s="636">
        <f t="shared" si="4"/>
        <v>0</v>
      </c>
      <c r="L17" s="5"/>
      <c r="M17" s="10"/>
      <c r="N17" s="11"/>
      <c r="S17" s="11"/>
    </row>
    <row r="18" spans="1:19" x14ac:dyDescent="0.25">
      <c r="A18" s="38">
        <f>Données!A18</f>
        <v>5413</v>
      </c>
      <c r="B18" s="142" t="str">
        <f>Données!B18</f>
        <v>Roche</v>
      </c>
      <c r="C18" s="266">
        <f>VPI!R18</f>
        <v>41219.946789215683</v>
      </c>
      <c r="D18" s="397">
        <f>+Données!AP18</f>
        <v>-2.5414460066645548</v>
      </c>
      <c r="E18" s="314">
        <f>VPI!Q18</f>
        <v>68</v>
      </c>
      <c r="F18" s="176">
        <f t="shared" si="0"/>
        <v>70.541446006664557</v>
      </c>
      <c r="G18" s="173">
        <f>Effort!I18+Aide!I18/Taux!C18+Effort!K18/Taux!C18</f>
        <v>-5.8625510963260332</v>
      </c>
      <c r="H18" s="82">
        <f t="shared" si="1"/>
        <v>64.678894910338528</v>
      </c>
      <c r="I18" s="159">
        <f t="shared" si="2"/>
        <v>0</v>
      </c>
      <c r="J18" s="633">
        <f t="shared" si="3"/>
        <v>0</v>
      </c>
      <c r="K18" s="636">
        <f t="shared" si="4"/>
        <v>0</v>
      </c>
      <c r="L18" s="5"/>
      <c r="M18" s="10"/>
      <c r="N18" s="11"/>
      <c r="S18" s="11"/>
    </row>
    <row r="19" spans="1:19" x14ac:dyDescent="0.25">
      <c r="A19" s="38">
        <f>Données!A19</f>
        <v>5414</v>
      </c>
      <c r="B19" s="142" t="str">
        <f>Données!B19</f>
        <v>Villeneuve</v>
      </c>
      <c r="C19" s="266">
        <f>VPI!R19</f>
        <v>190081.59585185186</v>
      </c>
      <c r="D19" s="397">
        <f>+Données!AP19</f>
        <v>2.1606419951828788</v>
      </c>
      <c r="E19" s="314">
        <f>VPI!Q19</f>
        <v>67.5</v>
      </c>
      <c r="F19" s="176">
        <f t="shared" si="0"/>
        <v>65.339358004817115</v>
      </c>
      <c r="G19" s="173">
        <f>Effort!I19+Aide!I19/Taux!C19+Effort!K19/Taux!C19</f>
        <v>6.7177453594268695</v>
      </c>
      <c r="H19" s="82">
        <f t="shared" si="1"/>
        <v>72.057103364243986</v>
      </c>
      <c r="I19" s="159">
        <f t="shared" si="2"/>
        <v>0</v>
      </c>
      <c r="J19" s="633">
        <f t="shared" si="3"/>
        <v>0</v>
      </c>
      <c r="K19" s="636">
        <f t="shared" si="4"/>
        <v>0</v>
      </c>
      <c r="L19" s="5"/>
      <c r="M19" s="10"/>
      <c r="N19" s="11"/>
      <c r="S19" s="11"/>
    </row>
    <row r="20" spans="1:19" x14ac:dyDescent="0.25">
      <c r="A20" s="38">
        <f>Données!A20</f>
        <v>5415</v>
      </c>
      <c r="B20" s="142" t="str">
        <f>Données!B20</f>
        <v>Yvorne</v>
      </c>
      <c r="C20" s="266">
        <f>VPI!R20</f>
        <v>36781.248065268061</v>
      </c>
      <c r="D20" s="397">
        <f>+Données!AP20</f>
        <v>14.435656277276541</v>
      </c>
      <c r="E20" s="314">
        <f>VPI!Q20</f>
        <v>71.5</v>
      </c>
      <c r="F20" s="176">
        <f t="shared" si="0"/>
        <v>57.064343722723457</v>
      </c>
      <c r="G20" s="173">
        <f>Effort!I20+Aide!I20/Taux!C20+Effort!K20/Taux!C20</f>
        <v>16.127992804027066</v>
      </c>
      <c r="H20" s="82">
        <f t="shared" si="1"/>
        <v>73.192336526750523</v>
      </c>
      <c r="I20" s="159">
        <f t="shared" si="2"/>
        <v>0</v>
      </c>
      <c r="J20" s="633">
        <f t="shared" si="3"/>
        <v>0</v>
      </c>
      <c r="K20" s="636">
        <f t="shared" si="4"/>
        <v>0</v>
      </c>
      <c r="L20" s="5"/>
      <c r="M20" s="10"/>
      <c r="N20" s="11"/>
      <c r="S20" s="11"/>
    </row>
    <row r="21" spans="1:19" x14ac:dyDescent="0.25">
      <c r="A21" s="38">
        <f>Données!A21</f>
        <v>5422</v>
      </c>
      <c r="B21" s="142" t="str">
        <f>Données!B21</f>
        <v>Aubonne</v>
      </c>
      <c r="C21" s="266">
        <f>VPI!R21</f>
        <v>418335.07808823534</v>
      </c>
      <c r="D21" s="397">
        <f>+Données!AP21</f>
        <v>34.222363266994542</v>
      </c>
      <c r="E21" s="314">
        <f>VPI!Q21</f>
        <v>68</v>
      </c>
      <c r="F21" s="176">
        <f t="shared" si="0"/>
        <v>33.777636733005458</v>
      </c>
      <c r="G21" s="173">
        <f>Effort!I21+Aide!I21/Taux!C21+Effort!K21/Taux!C21</f>
        <v>40.961978123080243</v>
      </c>
      <c r="H21" s="82">
        <f t="shared" si="1"/>
        <v>74.739614856085694</v>
      </c>
      <c r="I21" s="159">
        <f t="shared" si="2"/>
        <v>0</v>
      </c>
      <c r="J21" s="633">
        <f t="shared" si="3"/>
        <v>0</v>
      </c>
      <c r="K21" s="636">
        <f t="shared" si="4"/>
        <v>0</v>
      </c>
      <c r="L21" s="5"/>
      <c r="M21" s="10"/>
      <c r="N21" s="11"/>
      <c r="S21" s="11"/>
    </row>
    <row r="22" spans="1:19" x14ac:dyDescent="0.25">
      <c r="A22" s="38">
        <f>Données!A22</f>
        <v>5423</v>
      </c>
      <c r="B22" s="142" t="str">
        <f>Données!B22</f>
        <v>Ballens</v>
      </c>
      <c r="C22" s="266">
        <f>VPI!R22</f>
        <v>17582.856164383564</v>
      </c>
      <c r="D22" s="397">
        <f>+Données!AP22</f>
        <v>12.571502237595165</v>
      </c>
      <c r="E22" s="314">
        <f>VPI!Q22</f>
        <v>73</v>
      </c>
      <c r="F22" s="176">
        <f t="shared" si="0"/>
        <v>60.428497762404831</v>
      </c>
      <c r="G22" s="173">
        <f>Effort!I22+Aide!I22/Taux!C22+Effort!K22/Taux!C22</f>
        <v>13.277476471566832</v>
      </c>
      <c r="H22" s="82">
        <f t="shared" si="1"/>
        <v>73.705974233971659</v>
      </c>
      <c r="I22" s="159">
        <f t="shared" si="2"/>
        <v>0</v>
      </c>
      <c r="J22" s="633">
        <f t="shared" si="3"/>
        <v>0</v>
      </c>
      <c r="K22" s="636">
        <f t="shared" si="4"/>
        <v>0</v>
      </c>
      <c r="L22" s="5"/>
      <c r="M22" s="10"/>
      <c r="N22" s="11"/>
      <c r="S22" s="11"/>
    </row>
    <row r="23" spans="1:19" x14ac:dyDescent="0.25">
      <c r="A23" s="38">
        <f>Données!A23</f>
        <v>5424</v>
      </c>
      <c r="B23" s="142" t="str">
        <f>Données!B23</f>
        <v>Berolle</v>
      </c>
      <c r="C23" s="266">
        <f>VPI!R23</f>
        <v>10091.658013245033</v>
      </c>
      <c r="D23" s="397">
        <f>+Données!AP23</f>
        <v>17.147797171888911</v>
      </c>
      <c r="E23" s="314">
        <f>VPI!Q23</f>
        <v>75.5</v>
      </c>
      <c r="F23" s="176">
        <f t="shared" si="0"/>
        <v>58.352202828111089</v>
      </c>
      <c r="G23" s="173">
        <f>Effort!I23+Aide!I23/Taux!C23+Effort!K23/Taux!C23</f>
        <v>15.670864823392051</v>
      </c>
      <c r="H23" s="82">
        <f t="shared" si="1"/>
        <v>74.02306765150314</v>
      </c>
      <c r="I23" s="159">
        <f t="shared" si="2"/>
        <v>0</v>
      </c>
      <c r="J23" s="633">
        <f t="shared" si="3"/>
        <v>0</v>
      </c>
      <c r="K23" s="636">
        <f t="shared" si="4"/>
        <v>0</v>
      </c>
      <c r="L23" s="5"/>
      <c r="M23" s="10"/>
      <c r="N23" s="11"/>
      <c r="S23" s="11"/>
    </row>
    <row r="24" spans="1:19" x14ac:dyDescent="0.25">
      <c r="A24" s="38">
        <f>Données!A24</f>
        <v>5425</v>
      </c>
      <c r="B24" s="142" t="str">
        <f>Données!B24</f>
        <v>Bière</v>
      </c>
      <c r="C24" s="266">
        <f>VPI!R24</f>
        <v>44820.475767116455</v>
      </c>
      <c r="D24" s="397">
        <f>+Données!AP24</f>
        <v>4.1681394775101799</v>
      </c>
      <c r="E24" s="314">
        <f>VPI!Q24</f>
        <v>69</v>
      </c>
      <c r="F24" s="176">
        <f t="shared" si="0"/>
        <v>64.831860522489819</v>
      </c>
      <c r="G24" s="173">
        <f>Effort!I24+Aide!I24/Taux!C24+Effort!K24/Taux!C24</f>
        <v>4.9609488067924143</v>
      </c>
      <c r="H24" s="82">
        <f t="shared" si="1"/>
        <v>69.792809329282235</v>
      </c>
      <c r="I24" s="159">
        <f t="shared" si="2"/>
        <v>0</v>
      </c>
      <c r="J24" s="633">
        <f t="shared" si="3"/>
        <v>0</v>
      </c>
      <c r="K24" s="636">
        <f t="shared" si="4"/>
        <v>0</v>
      </c>
      <c r="L24" s="5"/>
      <c r="M24" s="10"/>
      <c r="N24" s="11"/>
      <c r="S24" s="11"/>
    </row>
    <row r="25" spans="1:19" x14ac:dyDescent="0.25">
      <c r="A25" s="38">
        <f>Données!A25</f>
        <v>5426</v>
      </c>
      <c r="B25" s="142" t="str">
        <f>Données!B25</f>
        <v>Bougy-Villars</v>
      </c>
      <c r="C25" s="266">
        <f>VPI!R25</f>
        <v>70059.66664082685</v>
      </c>
      <c r="D25" s="397">
        <f>+Données!AP25</f>
        <v>44.861736291706578</v>
      </c>
      <c r="E25" s="314">
        <f>VPI!Q25</f>
        <v>64.5</v>
      </c>
      <c r="F25" s="176">
        <f t="shared" si="0"/>
        <v>19.638263708293422</v>
      </c>
      <c r="G25" s="173">
        <f>Effort!I25+Aide!I25/Taux!C25+Effort!K25/Taux!C25</f>
        <v>46.446948567475644</v>
      </c>
      <c r="H25" s="82">
        <f t="shared" si="1"/>
        <v>66.085212275769067</v>
      </c>
      <c r="I25" s="159">
        <f t="shared" si="2"/>
        <v>0</v>
      </c>
      <c r="J25" s="633">
        <f t="shared" si="3"/>
        <v>0</v>
      </c>
      <c r="K25" s="636">
        <f t="shared" si="4"/>
        <v>0</v>
      </c>
      <c r="L25" s="5"/>
      <c r="M25" s="10"/>
      <c r="N25" s="11"/>
      <c r="S25" s="11"/>
    </row>
    <row r="26" spans="1:19" x14ac:dyDescent="0.25">
      <c r="A26" s="38">
        <f>Données!A26</f>
        <v>5427</v>
      </c>
      <c r="B26" s="142" t="str">
        <f>Données!B26</f>
        <v>Féchy</v>
      </c>
      <c r="C26" s="266">
        <f>VPI!R26</f>
        <v>87019.406153846168</v>
      </c>
      <c r="D26" s="397">
        <f>+Données!AP26</f>
        <v>40.249976711426868</v>
      </c>
      <c r="E26" s="314">
        <f>VPI!Q26</f>
        <v>64</v>
      </c>
      <c r="F26" s="176">
        <f t="shared" si="0"/>
        <v>23.750023288573132</v>
      </c>
      <c r="G26" s="173">
        <f>Effort!I26+Aide!I26/Taux!C26+Effort!K26/Taux!C26</f>
        <v>39.706540755385973</v>
      </c>
      <c r="H26" s="82">
        <f t="shared" si="1"/>
        <v>63.456564043959105</v>
      </c>
      <c r="I26" s="159">
        <f t="shared" si="2"/>
        <v>0</v>
      </c>
      <c r="J26" s="633">
        <f t="shared" si="3"/>
        <v>0</v>
      </c>
      <c r="K26" s="636">
        <f t="shared" si="4"/>
        <v>0</v>
      </c>
      <c r="L26" s="5"/>
      <c r="M26" s="10"/>
      <c r="N26" s="11"/>
      <c r="S26" s="11"/>
    </row>
    <row r="27" spans="1:19" x14ac:dyDescent="0.25">
      <c r="A27" s="38">
        <f>Données!A27</f>
        <v>5428</v>
      </c>
      <c r="B27" s="142" t="str">
        <f>Données!B27</f>
        <v>Gimel</v>
      </c>
      <c r="C27" s="266">
        <f>VPI!R27</f>
        <v>72073.620570776256</v>
      </c>
      <c r="D27" s="397">
        <f>+Données!AP27</f>
        <v>7.6176513811142215</v>
      </c>
      <c r="E27" s="314">
        <f>VPI!Q27</f>
        <v>73</v>
      </c>
      <c r="F27" s="176">
        <f t="shared" si="0"/>
        <v>65.382348618885771</v>
      </c>
      <c r="G27" s="173">
        <f>Effort!I27+Aide!I27/Taux!C27+Effort!K27/Taux!C27</f>
        <v>6.7715040819532923</v>
      </c>
      <c r="H27" s="82">
        <f t="shared" si="1"/>
        <v>72.153852700839067</v>
      </c>
      <c r="I27" s="159">
        <f t="shared" si="2"/>
        <v>0</v>
      </c>
      <c r="J27" s="633">
        <f t="shared" si="3"/>
        <v>0</v>
      </c>
      <c r="K27" s="636">
        <f t="shared" si="4"/>
        <v>0</v>
      </c>
      <c r="L27" s="5"/>
      <c r="M27" s="10"/>
      <c r="N27" s="11"/>
      <c r="S27" s="11"/>
    </row>
    <row r="28" spans="1:19" x14ac:dyDescent="0.25">
      <c r="A28" s="38">
        <f>Données!A28</f>
        <v>5429</v>
      </c>
      <c r="B28" s="142" t="str">
        <f>Données!B28</f>
        <v>Longirod</v>
      </c>
      <c r="C28" s="266">
        <f>VPI!R28</f>
        <v>19283.044387096772</v>
      </c>
      <c r="D28" s="397">
        <f>+Données!AP28</f>
        <v>13.988463392593687</v>
      </c>
      <c r="E28" s="314">
        <f>VPI!Q28</f>
        <v>77.5</v>
      </c>
      <c r="F28" s="176">
        <f t="shared" si="0"/>
        <v>63.511536607406313</v>
      </c>
      <c r="G28" s="173">
        <f>Effort!I28+Aide!I28/Taux!C28+Effort!K28/Taux!C28</f>
        <v>16.840561124443944</v>
      </c>
      <c r="H28" s="82">
        <f t="shared" si="1"/>
        <v>80.35209773185025</v>
      </c>
      <c r="I28" s="159">
        <f t="shared" si="2"/>
        <v>0</v>
      </c>
      <c r="J28" s="633">
        <f t="shared" si="3"/>
        <v>0</v>
      </c>
      <c r="K28" s="636">
        <f t="shared" si="4"/>
        <v>0</v>
      </c>
      <c r="L28" s="5"/>
      <c r="M28" s="10"/>
      <c r="N28" s="11"/>
      <c r="S28" s="11"/>
    </row>
    <row r="29" spans="1:19" x14ac:dyDescent="0.25">
      <c r="A29" s="38">
        <f>Données!A29</f>
        <v>5430</v>
      </c>
      <c r="B29" s="142" t="str">
        <f>Données!B29</f>
        <v>Marchissy</v>
      </c>
      <c r="C29" s="266">
        <f>VPI!R29</f>
        <v>16181.195483870966</v>
      </c>
      <c r="D29" s="397">
        <f>+Données!AP29</f>
        <v>17.109966379941287</v>
      </c>
      <c r="E29" s="314">
        <f>VPI!Q29</f>
        <v>77.5</v>
      </c>
      <c r="F29" s="176">
        <f t="shared" si="0"/>
        <v>60.390033620058716</v>
      </c>
      <c r="G29" s="173">
        <f>Effort!I29+Aide!I29/Taux!C29+Effort!K29/Taux!C29</f>
        <v>13.397951911371052</v>
      </c>
      <c r="H29" s="82">
        <f t="shared" si="1"/>
        <v>73.787985531429769</v>
      </c>
      <c r="I29" s="159">
        <f t="shared" si="2"/>
        <v>0</v>
      </c>
      <c r="J29" s="633">
        <f t="shared" si="3"/>
        <v>0</v>
      </c>
      <c r="K29" s="636">
        <f t="shared" si="4"/>
        <v>0</v>
      </c>
      <c r="L29" s="5"/>
      <c r="M29" s="10"/>
      <c r="N29" s="11"/>
      <c r="S29" s="11"/>
    </row>
    <row r="30" spans="1:19" x14ac:dyDescent="0.25">
      <c r="A30" s="38">
        <f>Données!A30</f>
        <v>5431</v>
      </c>
      <c r="B30" s="142" t="str">
        <f>Données!B30</f>
        <v>Mollens</v>
      </c>
      <c r="C30" s="266">
        <f>VPI!R30</f>
        <v>9356.399324324324</v>
      </c>
      <c r="D30" s="397">
        <f>+Données!AP30</f>
        <v>11.974728086181573</v>
      </c>
      <c r="E30" s="314">
        <f>VPI!Q30</f>
        <v>74</v>
      </c>
      <c r="F30" s="176">
        <f t="shared" si="0"/>
        <v>62.025271913818429</v>
      </c>
      <c r="G30" s="173">
        <f>Effort!I30+Aide!I30/Taux!C30+Effort!K30/Taux!C30</f>
        <v>10.905045973527882</v>
      </c>
      <c r="H30" s="82">
        <f t="shared" si="1"/>
        <v>72.930317887346305</v>
      </c>
      <c r="I30" s="159">
        <f t="shared" si="2"/>
        <v>0</v>
      </c>
      <c r="J30" s="633">
        <f t="shared" si="3"/>
        <v>0</v>
      </c>
      <c r="K30" s="636">
        <f t="shared" si="4"/>
        <v>0</v>
      </c>
      <c r="L30" s="5"/>
      <c r="M30" s="10"/>
      <c r="N30" s="11"/>
      <c r="S30" s="11"/>
    </row>
    <row r="31" spans="1:19" x14ac:dyDescent="0.25">
      <c r="A31" s="38">
        <f>Données!A31</f>
        <v>5434</v>
      </c>
      <c r="B31" s="142" t="str">
        <f>Données!B31</f>
        <v>Saint-George</v>
      </c>
      <c r="C31" s="266">
        <f>VPI!R31</f>
        <v>46184.394316546764</v>
      </c>
      <c r="D31" s="397">
        <f>+Données!AP31</f>
        <v>21.86699083722792</v>
      </c>
      <c r="E31" s="314">
        <f>VPI!Q31</f>
        <v>69.5</v>
      </c>
      <c r="F31" s="176">
        <f t="shared" si="0"/>
        <v>47.633009162772083</v>
      </c>
      <c r="G31" s="173">
        <f>Effort!I31+Aide!I31/Taux!C31+Effort!K31/Taux!C31</f>
        <v>24.822326142062202</v>
      </c>
      <c r="H31" s="82">
        <f t="shared" si="1"/>
        <v>72.455335304834279</v>
      </c>
      <c r="I31" s="159">
        <f t="shared" si="2"/>
        <v>0</v>
      </c>
      <c r="J31" s="633">
        <f t="shared" si="3"/>
        <v>0</v>
      </c>
      <c r="K31" s="636">
        <f t="shared" si="4"/>
        <v>0</v>
      </c>
      <c r="L31" s="5"/>
      <c r="M31" s="10"/>
      <c r="N31" s="11"/>
      <c r="S31" s="11"/>
    </row>
    <row r="32" spans="1:19" x14ac:dyDescent="0.25">
      <c r="A32" s="38">
        <f>Données!A32</f>
        <v>5435</v>
      </c>
      <c r="B32" s="142" t="str">
        <f>Données!B32</f>
        <v>Saint-Livres</v>
      </c>
      <c r="C32" s="266">
        <f>VPI!R32</f>
        <v>26399.909565217389</v>
      </c>
      <c r="D32" s="397">
        <f>+Données!AP32</f>
        <v>21.025047140834946</v>
      </c>
      <c r="E32" s="314">
        <f>VPI!Q32</f>
        <v>69</v>
      </c>
      <c r="F32" s="176">
        <f t="shared" si="0"/>
        <v>47.974952859165057</v>
      </c>
      <c r="G32" s="173">
        <f>Effort!I32+Aide!I32/Taux!C32+Effort!K32/Taux!C32</f>
        <v>21.497691915947311</v>
      </c>
      <c r="H32" s="82">
        <f t="shared" si="1"/>
        <v>69.472644775112371</v>
      </c>
      <c r="I32" s="159">
        <f t="shared" si="2"/>
        <v>0</v>
      </c>
      <c r="J32" s="633">
        <f t="shared" si="3"/>
        <v>0</v>
      </c>
      <c r="K32" s="636">
        <f t="shared" si="4"/>
        <v>0</v>
      </c>
      <c r="L32" s="5"/>
      <c r="M32" s="10"/>
      <c r="N32" s="11"/>
      <c r="S32" s="11"/>
    </row>
    <row r="33" spans="1:19" x14ac:dyDescent="0.25">
      <c r="A33" s="38">
        <f>Données!A33</f>
        <v>5436</v>
      </c>
      <c r="B33" s="142" t="str">
        <f>Données!B33</f>
        <v>Saint-Oyens</v>
      </c>
      <c r="C33" s="266">
        <f>VPI!R33</f>
        <v>15917.295474683544</v>
      </c>
      <c r="D33" s="397">
        <f>+Données!AP33</f>
        <v>18.572472769151613</v>
      </c>
      <c r="E33" s="314">
        <f>VPI!Q33</f>
        <v>79</v>
      </c>
      <c r="F33" s="176">
        <f t="shared" si="0"/>
        <v>60.427527230848384</v>
      </c>
      <c r="G33" s="173">
        <f>Effort!I33+Aide!I33/Taux!C33+Effort!K33/Taux!C33</f>
        <v>17.139969462249482</v>
      </c>
      <c r="H33" s="82">
        <f t="shared" si="1"/>
        <v>77.567496693097866</v>
      </c>
      <c r="I33" s="159">
        <f t="shared" si="2"/>
        <v>0</v>
      </c>
      <c r="J33" s="633">
        <f t="shared" si="3"/>
        <v>0</v>
      </c>
      <c r="K33" s="636">
        <f t="shared" si="4"/>
        <v>0</v>
      </c>
      <c r="L33" s="5"/>
      <c r="M33" s="10"/>
      <c r="N33" s="11"/>
      <c r="S33" s="11"/>
    </row>
    <row r="34" spans="1:19" x14ac:dyDescent="0.25">
      <c r="A34" s="38">
        <f>Données!A34</f>
        <v>5437</v>
      </c>
      <c r="B34" s="142" t="str">
        <f>Données!B34</f>
        <v>Saubraz</v>
      </c>
      <c r="C34" s="266">
        <f>VPI!R34</f>
        <v>16749.450625000005</v>
      </c>
      <c r="D34" s="397">
        <f>+Données!AP34</f>
        <v>5.6770311775444862</v>
      </c>
      <c r="E34" s="314">
        <f>VPI!Q34</f>
        <v>80</v>
      </c>
      <c r="F34" s="176">
        <f t="shared" si="0"/>
        <v>74.322968822455508</v>
      </c>
      <c r="G34" s="173">
        <f>Effort!I34+Aide!I34/Taux!C34+Effort!K34/Taux!C34</f>
        <v>18.930346732493799</v>
      </c>
      <c r="H34" s="82">
        <f t="shared" si="1"/>
        <v>93.25331555494931</v>
      </c>
      <c r="I34" s="159">
        <f t="shared" si="2"/>
        <v>0</v>
      </c>
      <c r="J34" s="633">
        <f t="shared" si="3"/>
        <v>0</v>
      </c>
      <c r="K34" s="636">
        <f t="shared" si="4"/>
        <v>0</v>
      </c>
      <c r="L34" s="5"/>
      <c r="M34" s="10"/>
      <c r="N34" s="11"/>
      <c r="S34" s="11"/>
    </row>
    <row r="35" spans="1:19" x14ac:dyDescent="0.25">
      <c r="A35" s="38">
        <f>Données!A35</f>
        <v>5451</v>
      </c>
      <c r="B35" s="142" t="str">
        <f>Données!B35</f>
        <v>Avenches</v>
      </c>
      <c r="C35" s="266">
        <f>VPI!R35</f>
        <v>143864.88553846153</v>
      </c>
      <c r="D35" s="397">
        <f>+Données!AP35</f>
        <v>8.1378971533135509</v>
      </c>
      <c r="E35" s="314">
        <f>VPI!Q35</f>
        <v>65</v>
      </c>
      <c r="F35" s="176">
        <f t="shared" si="0"/>
        <v>56.862102846686447</v>
      </c>
      <c r="G35" s="173">
        <f>Effort!I35+Aide!I35/Taux!C35+Effort!K35/Taux!C35</f>
        <v>6.532613618876713</v>
      </c>
      <c r="H35" s="82">
        <f t="shared" si="1"/>
        <v>63.394716465563164</v>
      </c>
      <c r="I35" s="159">
        <f t="shared" si="2"/>
        <v>0</v>
      </c>
      <c r="J35" s="633">
        <f t="shared" si="3"/>
        <v>0</v>
      </c>
      <c r="K35" s="636">
        <f t="shared" si="4"/>
        <v>0</v>
      </c>
      <c r="L35" s="5"/>
      <c r="M35" s="10"/>
      <c r="N35" s="11"/>
      <c r="S35" s="11"/>
    </row>
    <row r="36" spans="1:19" x14ac:dyDescent="0.25">
      <c r="A36" s="38">
        <f>Données!A36</f>
        <v>5456</v>
      </c>
      <c r="B36" s="142" t="str">
        <f>Données!B36</f>
        <v>Cudrefin</v>
      </c>
      <c r="C36" s="266">
        <f>VPI!R36</f>
        <v>70775.484519773992</v>
      </c>
      <c r="D36" s="397">
        <f>+Données!AP36</f>
        <v>17.985907795663813</v>
      </c>
      <c r="E36" s="314">
        <f>VPI!Q36</f>
        <v>59</v>
      </c>
      <c r="F36" s="176">
        <f t="shared" si="0"/>
        <v>41.014092204336187</v>
      </c>
      <c r="G36" s="173">
        <f>Effort!I36+Aide!I36/Taux!C36+Effort!K36/Taux!C36</f>
        <v>20.023349421923715</v>
      </c>
      <c r="H36" s="82">
        <f t="shared" si="1"/>
        <v>61.037441626259906</v>
      </c>
      <c r="I36" s="159">
        <f t="shared" si="2"/>
        <v>0</v>
      </c>
      <c r="J36" s="633">
        <f t="shared" si="3"/>
        <v>0</v>
      </c>
      <c r="K36" s="636">
        <f t="shared" si="4"/>
        <v>0</v>
      </c>
      <c r="L36" s="5"/>
      <c r="M36" s="10"/>
      <c r="N36" s="11"/>
      <c r="S36" s="11"/>
    </row>
    <row r="37" spans="1:19" x14ac:dyDescent="0.25">
      <c r="A37" s="38">
        <f>Données!A37</f>
        <v>5458</v>
      </c>
      <c r="B37" s="142" t="str">
        <f>Données!B37</f>
        <v>Faoug</v>
      </c>
      <c r="C37" s="266">
        <f>VPI!R37</f>
        <v>30258.802820512818</v>
      </c>
      <c r="D37" s="397">
        <f>+Données!AP37</f>
        <v>21.441582215483511</v>
      </c>
      <c r="E37" s="314">
        <f>VPI!Q37</f>
        <v>65</v>
      </c>
      <c r="F37" s="176">
        <f t="shared" si="0"/>
        <v>43.558417784516493</v>
      </c>
      <c r="G37" s="173">
        <f>Effort!I37+Aide!I37/Taux!C37+Effort!K37/Taux!C37</f>
        <v>18.733431485993556</v>
      </c>
      <c r="H37" s="82">
        <f t="shared" si="1"/>
        <v>62.291849270510049</v>
      </c>
      <c r="I37" s="159">
        <f t="shared" si="2"/>
        <v>0</v>
      </c>
      <c r="J37" s="633">
        <f t="shared" si="3"/>
        <v>0</v>
      </c>
      <c r="K37" s="636">
        <f t="shared" si="4"/>
        <v>0</v>
      </c>
      <c r="L37" s="5"/>
      <c r="M37" s="10"/>
      <c r="N37" s="11"/>
      <c r="S37" s="11"/>
    </row>
    <row r="38" spans="1:19" x14ac:dyDescent="0.25">
      <c r="A38" s="38">
        <f>Données!A38</f>
        <v>5464</v>
      </c>
      <c r="B38" s="142" t="str">
        <f>Données!B38</f>
        <v>Vully-les-Lacs</v>
      </c>
      <c r="C38" s="266">
        <f>VPI!R38</f>
        <v>128619.64756218906</v>
      </c>
      <c r="D38" s="397">
        <f>+Données!AP38</f>
        <v>13.029886908319078</v>
      </c>
      <c r="E38" s="314">
        <f>VPI!Q38</f>
        <v>67</v>
      </c>
      <c r="F38" s="176">
        <f t="shared" si="0"/>
        <v>53.970113091680922</v>
      </c>
      <c r="G38" s="173">
        <f>Effort!I38+Aide!I38/Taux!C38+Effort!K38/Taux!C38</f>
        <v>14.55318578225075</v>
      </c>
      <c r="H38" s="82">
        <f t="shared" si="1"/>
        <v>68.52329887393168</v>
      </c>
      <c r="I38" s="159">
        <f t="shared" si="2"/>
        <v>0</v>
      </c>
      <c r="J38" s="633">
        <f t="shared" si="3"/>
        <v>0</v>
      </c>
      <c r="K38" s="636">
        <f t="shared" si="4"/>
        <v>0</v>
      </c>
      <c r="L38" s="5"/>
      <c r="M38" s="10"/>
      <c r="N38" s="11"/>
      <c r="S38" s="11"/>
    </row>
    <row r="39" spans="1:19" x14ac:dyDescent="0.25">
      <c r="A39" s="38">
        <f>Données!A39</f>
        <v>5471</v>
      </c>
      <c r="B39" s="142" t="str">
        <f>Données!B39</f>
        <v>Bettens</v>
      </c>
      <c r="C39" s="266">
        <f>VPI!R39</f>
        <v>23731.223904761908</v>
      </c>
      <c r="D39" s="397">
        <f>+Données!AP39</f>
        <v>19.473765426573799</v>
      </c>
      <c r="E39" s="314">
        <f>VPI!Q39</f>
        <v>70</v>
      </c>
      <c r="F39" s="176">
        <f t="shared" si="0"/>
        <v>50.526234573426201</v>
      </c>
      <c r="G39" s="173">
        <f>Effort!I39+Aide!I39/Taux!C39+Effort!K39/Taux!C39</f>
        <v>20.519369950804389</v>
      </c>
      <c r="H39" s="82">
        <f t="shared" si="1"/>
        <v>71.045604524230583</v>
      </c>
      <c r="I39" s="159">
        <f t="shared" si="2"/>
        <v>0</v>
      </c>
      <c r="J39" s="633">
        <f t="shared" si="3"/>
        <v>0</v>
      </c>
      <c r="K39" s="636">
        <f t="shared" si="4"/>
        <v>0</v>
      </c>
      <c r="L39" s="5"/>
      <c r="M39" s="10"/>
      <c r="N39" s="11"/>
      <c r="S39" s="11"/>
    </row>
    <row r="40" spans="1:19" x14ac:dyDescent="0.25">
      <c r="A40" s="38">
        <f>Données!A40</f>
        <v>5472</v>
      </c>
      <c r="B40" s="142" t="str">
        <f>Données!B40</f>
        <v>Bournens</v>
      </c>
      <c r="C40" s="266">
        <f>VPI!R40</f>
        <v>20138.90088235294</v>
      </c>
      <c r="D40" s="397">
        <f>+Données!AP40</f>
        <v>22.886159953769759</v>
      </c>
      <c r="E40" s="314">
        <f>VPI!Q40</f>
        <v>68</v>
      </c>
      <c r="F40" s="176">
        <f t="shared" si="0"/>
        <v>45.113840046230237</v>
      </c>
      <c r="G40" s="173">
        <f>Effort!I40+Aide!I40/Taux!C40+Effort!K40/Taux!C40</f>
        <v>22.323727423596793</v>
      </c>
      <c r="H40" s="82">
        <f t="shared" si="1"/>
        <v>67.43756746982703</v>
      </c>
      <c r="I40" s="159">
        <f t="shared" si="2"/>
        <v>0</v>
      </c>
      <c r="J40" s="633">
        <f t="shared" si="3"/>
        <v>0</v>
      </c>
      <c r="K40" s="636">
        <f t="shared" si="4"/>
        <v>0</v>
      </c>
      <c r="L40" s="5"/>
      <c r="M40" s="10"/>
      <c r="N40" s="11"/>
      <c r="S40" s="11"/>
    </row>
    <row r="41" spans="1:19" x14ac:dyDescent="0.25">
      <c r="A41" s="38">
        <f>Données!A41</f>
        <v>5473</v>
      </c>
      <c r="B41" s="142" t="str">
        <f>Données!B41</f>
        <v>Boussens</v>
      </c>
      <c r="C41" s="266">
        <f>VPI!R41</f>
        <v>38661.720757575771</v>
      </c>
      <c r="D41" s="397">
        <f>+Données!AP41</f>
        <v>23.618903214736822</v>
      </c>
      <c r="E41" s="314">
        <f>VPI!Q41</f>
        <v>66</v>
      </c>
      <c r="F41" s="176">
        <f t="shared" si="0"/>
        <v>42.381096785263182</v>
      </c>
      <c r="G41" s="173">
        <f>Effort!I41+Aide!I41/Taux!C41+Effort!K41/Taux!C41</f>
        <v>21.793717557660337</v>
      </c>
      <c r="H41" s="82">
        <f t="shared" si="1"/>
        <v>64.174814342923526</v>
      </c>
      <c r="I41" s="159">
        <f t="shared" si="2"/>
        <v>0</v>
      </c>
      <c r="J41" s="633">
        <f t="shared" si="3"/>
        <v>0</v>
      </c>
      <c r="K41" s="636">
        <f t="shared" si="4"/>
        <v>0</v>
      </c>
      <c r="L41" s="5"/>
      <c r="M41" s="10"/>
      <c r="N41" s="11"/>
      <c r="S41" s="11"/>
    </row>
    <row r="42" spans="1:19" x14ac:dyDescent="0.25">
      <c r="A42" s="38">
        <f>Données!A42</f>
        <v>5474</v>
      </c>
      <c r="B42" s="142" t="str">
        <f>Données!B42</f>
        <v>La Chaux (Cossonay)</v>
      </c>
      <c r="C42" s="266">
        <f>VPI!R42</f>
        <v>14789.202587719299</v>
      </c>
      <c r="D42" s="397">
        <f>+Données!AP42</f>
        <v>16.770669982783396</v>
      </c>
      <c r="E42" s="314">
        <f>VPI!Q42</f>
        <v>76</v>
      </c>
      <c r="F42" s="176">
        <f t="shared" si="0"/>
        <v>59.229330017216604</v>
      </c>
      <c r="G42" s="173">
        <f>Effort!I42+Aide!I42/Taux!C42+Effort!K42/Taux!C42</f>
        <v>16.598603298597673</v>
      </c>
      <c r="H42" s="82">
        <f t="shared" si="1"/>
        <v>75.827933315814278</v>
      </c>
      <c r="I42" s="159">
        <f t="shared" si="2"/>
        <v>0</v>
      </c>
      <c r="J42" s="633">
        <f t="shared" si="3"/>
        <v>0</v>
      </c>
      <c r="K42" s="636">
        <f t="shared" si="4"/>
        <v>0</v>
      </c>
      <c r="L42" s="5"/>
      <c r="M42" s="10"/>
      <c r="N42" s="11"/>
      <c r="S42" s="11"/>
    </row>
    <row r="43" spans="1:19" x14ac:dyDescent="0.25">
      <c r="A43" s="38">
        <f>Données!A43</f>
        <v>5475</v>
      </c>
      <c r="B43" s="142" t="str">
        <f>Données!B43</f>
        <v>Chavannes-le-Veyron</v>
      </c>
      <c r="C43" s="266">
        <f>VPI!R43</f>
        <v>4582.5893333333333</v>
      </c>
      <c r="D43" s="397">
        <f>+Données!AP43</f>
        <v>7.0293558529690081</v>
      </c>
      <c r="E43" s="314">
        <f>VPI!Q43</f>
        <v>75</v>
      </c>
      <c r="F43" s="176">
        <f t="shared" si="0"/>
        <v>67.970644147030995</v>
      </c>
      <c r="G43" s="173">
        <f>Effort!I43+Aide!I43/Taux!C43+Effort!K43/Taux!C43</f>
        <v>10.40846390516945</v>
      </c>
      <c r="H43" s="82">
        <f t="shared" si="1"/>
        <v>78.379108052200451</v>
      </c>
      <c r="I43" s="159">
        <f t="shared" si="2"/>
        <v>0</v>
      </c>
      <c r="J43" s="633">
        <f t="shared" si="3"/>
        <v>0</v>
      </c>
      <c r="K43" s="636">
        <f t="shared" si="4"/>
        <v>0</v>
      </c>
      <c r="L43" s="5"/>
      <c r="M43" s="10"/>
      <c r="N43" s="11"/>
      <c r="S43" s="11"/>
    </row>
    <row r="44" spans="1:19" x14ac:dyDescent="0.25">
      <c r="A44" s="38">
        <f>Données!A44</f>
        <v>5476</v>
      </c>
      <c r="B44" s="142" t="str">
        <f>Données!B44</f>
        <v>Chevilly</v>
      </c>
      <c r="C44" s="266">
        <f>VPI!R44</f>
        <v>13414.448028169016</v>
      </c>
      <c r="D44" s="397">
        <f>+Données!AP44</f>
        <v>23.775249009751146</v>
      </c>
      <c r="E44" s="314">
        <f>VPI!Q44</f>
        <v>71</v>
      </c>
      <c r="F44" s="176">
        <f t="shared" si="0"/>
        <v>47.22475099024885</v>
      </c>
      <c r="G44" s="173">
        <f>Effort!I44+Aide!I44/Taux!C44+Effort!K44/Taux!C44</f>
        <v>22.597586496675412</v>
      </c>
      <c r="H44" s="82">
        <f t="shared" si="1"/>
        <v>69.822337486924255</v>
      </c>
      <c r="I44" s="159">
        <f t="shared" si="2"/>
        <v>0</v>
      </c>
      <c r="J44" s="633">
        <f t="shared" si="3"/>
        <v>0</v>
      </c>
      <c r="K44" s="636">
        <f t="shared" si="4"/>
        <v>0</v>
      </c>
      <c r="L44" s="5"/>
      <c r="M44" s="10"/>
      <c r="N44" s="11"/>
      <c r="S44" s="11"/>
    </row>
    <row r="45" spans="1:19" x14ac:dyDescent="0.25">
      <c r="A45" s="38">
        <f>Données!A45</f>
        <v>5477</v>
      </c>
      <c r="B45" s="142" t="str">
        <f>Données!B45</f>
        <v>Cossonay</v>
      </c>
      <c r="C45" s="266">
        <f>VPI!R45</f>
        <v>157014.45764705885</v>
      </c>
      <c r="D45" s="397">
        <f>+Données!AP45</f>
        <v>12.950921498305551</v>
      </c>
      <c r="E45" s="314">
        <f>VPI!Q45</f>
        <v>68</v>
      </c>
      <c r="F45" s="176">
        <f t="shared" si="0"/>
        <v>55.049078501694453</v>
      </c>
      <c r="G45" s="173">
        <f>Effort!I45+Aide!I45/Taux!C45+Effort!K45/Taux!C45</f>
        <v>10.048603531355399</v>
      </c>
      <c r="H45" s="82">
        <f t="shared" si="1"/>
        <v>65.09768203304985</v>
      </c>
      <c r="I45" s="159">
        <f t="shared" si="2"/>
        <v>0</v>
      </c>
      <c r="J45" s="633">
        <f t="shared" si="3"/>
        <v>0</v>
      </c>
      <c r="K45" s="636">
        <f t="shared" si="4"/>
        <v>0</v>
      </c>
      <c r="L45" s="5"/>
      <c r="M45" s="10"/>
      <c r="N45" s="11"/>
      <c r="S45" s="11"/>
    </row>
    <row r="46" spans="1:19" x14ac:dyDescent="0.25">
      <c r="A46" s="38">
        <f>Données!A46</f>
        <v>5479</v>
      </c>
      <c r="B46" s="142" t="str">
        <f>Données!B46</f>
        <v>Cuarnens</v>
      </c>
      <c r="C46" s="266">
        <f>VPI!R46</f>
        <v>18824.412763157892</v>
      </c>
      <c r="D46" s="397">
        <f>+Données!AP46</f>
        <v>5.8866589943419827</v>
      </c>
      <c r="E46" s="314">
        <f>VPI!Q46</f>
        <v>76</v>
      </c>
      <c r="F46" s="176">
        <f t="shared" si="0"/>
        <v>70.113341005658015</v>
      </c>
      <c r="G46" s="173">
        <f>Effort!I46+Aide!I46/Taux!C46+Effort!K46/Taux!C46</f>
        <v>17.284093649087705</v>
      </c>
      <c r="H46" s="82">
        <f t="shared" si="1"/>
        <v>87.397434654745723</v>
      </c>
      <c r="I46" s="159">
        <f t="shared" si="2"/>
        <v>0</v>
      </c>
      <c r="J46" s="633">
        <f t="shared" si="3"/>
        <v>0</v>
      </c>
      <c r="K46" s="636">
        <f t="shared" si="4"/>
        <v>0</v>
      </c>
      <c r="L46" s="5"/>
      <c r="M46" s="10"/>
      <c r="N46" s="11"/>
      <c r="S46" s="11"/>
    </row>
    <row r="47" spans="1:19" x14ac:dyDescent="0.25">
      <c r="A47" s="38">
        <f>Données!A47</f>
        <v>5480</v>
      </c>
      <c r="B47" s="142" t="str">
        <f>Données!B47</f>
        <v>Daillens</v>
      </c>
      <c r="C47" s="266">
        <f>VPI!R47</f>
        <v>49216.067727272741</v>
      </c>
      <c r="D47" s="397">
        <f>+Données!AP47</f>
        <v>23.804321036146991</v>
      </c>
      <c r="E47" s="314">
        <f>VPI!Q47</f>
        <v>66</v>
      </c>
      <c r="F47" s="176">
        <f t="shared" si="0"/>
        <v>42.195678963853013</v>
      </c>
      <c r="G47" s="173">
        <f>Effort!I47+Aide!I47/Taux!C47+Effort!K47/Taux!C47</f>
        <v>26.4779517742327</v>
      </c>
      <c r="H47" s="82">
        <f t="shared" si="1"/>
        <v>68.673630738085706</v>
      </c>
      <c r="I47" s="159">
        <f t="shared" si="2"/>
        <v>0</v>
      </c>
      <c r="J47" s="633">
        <f t="shared" si="3"/>
        <v>0</v>
      </c>
      <c r="K47" s="636">
        <f t="shared" si="4"/>
        <v>0</v>
      </c>
      <c r="L47" s="5"/>
      <c r="M47" s="10"/>
      <c r="N47" s="11"/>
      <c r="S47" s="11"/>
    </row>
    <row r="48" spans="1:19" x14ac:dyDescent="0.25">
      <c r="A48" s="38">
        <f>Données!A48</f>
        <v>5481</v>
      </c>
      <c r="B48" s="142" t="str">
        <f>Données!B48</f>
        <v>Dizy</v>
      </c>
      <c r="C48" s="266">
        <f>VPI!R48</f>
        <v>8943.6092000000008</v>
      </c>
      <c r="D48" s="397">
        <f>+Données!AP48</f>
        <v>20.198598990332048</v>
      </c>
      <c r="E48" s="314">
        <f>VPI!Q48</f>
        <v>75</v>
      </c>
      <c r="F48" s="176">
        <f t="shared" si="0"/>
        <v>54.801401009667956</v>
      </c>
      <c r="G48" s="173">
        <f>Effort!I48+Aide!I48/Taux!C48+Effort!K48/Taux!C48</f>
        <v>20.320956563403488</v>
      </c>
      <c r="H48" s="82">
        <f t="shared" si="1"/>
        <v>75.12235757307144</v>
      </c>
      <c r="I48" s="159">
        <f t="shared" si="2"/>
        <v>0</v>
      </c>
      <c r="J48" s="633">
        <f t="shared" si="3"/>
        <v>0</v>
      </c>
      <c r="K48" s="636">
        <f t="shared" si="4"/>
        <v>0</v>
      </c>
      <c r="L48" s="5"/>
      <c r="M48" s="10"/>
      <c r="N48" s="11"/>
      <c r="S48" s="11"/>
    </row>
    <row r="49" spans="1:19" x14ac:dyDescent="0.25">
      <c r="A49" s="38">
        <f>Données!A49</f>
        <v>5482</v>
      </c>
      <c r="B49" s="142" t="str">
        <f>Données!B49</f>
        <v>Eclépens</v>
      </c>
      <c r="C49" s="266">
        <f>VPI!R49</f>
        <v>57580.307391304363</v>
      </c>
      <c r="D49" s="397">
        <f>+Données!AP49</f>
        <v>24.901735381562247</v>
      </c>
      <c r="E49" s="314">
        <f>VPI!Q49</f>
        <v>46</v>
      </c>
      <c r="F49" s="176">
        <f t="shared" si="0"/>
        <v>21.098264618437753</v>
      </c>
      <c r="G49" s="173">
        <f>Effort!I49+Aide!I49/Taux!C49+Effort!K49/Taux!C49</f>
        <v>27.207652196244275</v>
      </c>
      <c r="H49" s="82">
        <f t="shared" si="1"/>
        <v>48.305916814682028</v>
      </c>
      <c r="I49" s="159">
        <f t="shared" si="2"/>
        <v>0</v>
      </c>
      <c r="J49" s="633">
        <f t="shared" si="3"/>
        <v>0</v>
      </c>
      <c r="K49" s="636">
        <f t="shared" si="4"/>
        <v>0</v>
      </c>
      <c r="L49" s="5"/>
      <c r="M49" s="10"/>
      <c r="N49" s="11"/>
      <c r="S49" s="11"/>
    </row>
    <row r="50" spans="1:19" x14ac:dyDescent="0.25">
      <c r="A50" s="38">
        <f>Données!A50</f>
        <v>5483</v>
      </c>
      <c r="B50" s="142" t="str">
        <f>Données!B50</f>
        <v>Ferreyres</v>
      </c>
      <c r="C50" s="266">
        <f>VPI!R50</f>
        <v>11908.696842105262</v>
      </c>
      <c r="D50" s="397">
        <f>+Données!AP50</f>
        <v>16.485909587623706</v>
      </c>
      <c r="E50" s="314">
        <f>VPI!Q50</f>
        <v>76</v>
      </c>
      <c r="F50" s="176">
        <f t="shared" si="0"/>
        <v>59.514090412376291</v>
      </c>
      <c r="G50" s="173">
        <f>Effort!I50+Aide!I50/Taux!C50+Effort!K50/Taux!C50</f>
        <v>19.767512646515915</v>
      </c>
      <c r="H50" s="82">
        <f t="shared" si="1"/>
        <v>79.281603058892202</v>
      </c>
      <c r="I50" s="159">
        <f t="shared" si="2"/>
        <v>0</v>
      </c>
      <c r="J50" s="633">
        <f t="shared" si="3"/>
        <v>0</v>
      </c>
      <c r="K50" s="636">
        <f t="shared" si="4"/>
        <v>0</v>
      </c>
      <c r="L50" s="5"/>
      <c r="M50" s="10"/>
      <c r="N50" s="11"/>
      <c r="S50" s="11"/>
    </row>
    <row r="51" spans="1:19" x14ac:dyDescent="0.25">
      <c r="A51" s="38">
        <f>Données!A51</f>
        <v>5484</v>
      </c>
      <c r="B51" s="142" t="str">
        <f>Données!B51</f>
        <v>Gollion</v>
      </c>
      <c r="C51" s="266">
        <f>VPI!R51</f>
        <v>34768.807162162164</v>
      </c>
      <c r="D51" s="397">
        <f>+Données!AP51</f>
        <v>14.725697177751371</v>
      </c>
      <c r="E51" s="314">
        <f>VPI!Q51</f>
        <v>74</v>
      </c>
      <c r="F51" s="176">
        <f t="shared" si="0"/>
        <v>59.274302822248629</v>
      </c>
      <c r="G51" s="173">
        <f>Effort!I51+Aide!I51/Taux!C51+Effort!K51/Taux!C51</f>
        <v>15.095002095453127</v>
      </c>
      <c r="H51" s="82">
        <f t="shared" si="1"/>
        <v>74.369304917701754</v>
      </c>
      <c r="I51" s="159">
        <f t="shared" si="2"/>
        <v>0</v>
      </c>
      <c r="J51" s="633">
        <f t="shared" si="3"/>
        <v>0</v>
      </c>
      <c r="K51" s="636">
        <f t="shared" si="4"/>
        <v>0</v>
      </c>
      <c r="L51" s="5"/>
      <c r="M51" s="10"/>
      <c r="N51" s="11"/>
      <c r="S51" s="11"/>
    </row>
    <row r="52" spans="1:19" x14ac:dyDescent="0.25">
      <c r="A52" s="38">
        <f>Données!A52</f>
        <v>5485</v>
      </c>
      <c r="B52" s="142" t="str">
        <f>Données!B52</f>
        <v>Grancy</v>
      </c>
      <c r="C52" s="266">
        <f>VPI!R52</f>
        <v>29330.080571428571</v>
      </c>
      <c r="D52" s="397">
        <f>+Données!AP52</f>
        <v>22.552060422714082</v>
      </c>
      <c r="E52" s="314">
        <f>VPI!Q52</f>
        <v>70</v>
      </c>
      <c r="F52" s="176">
        <f t="shared" si="0"/>
        <v>47.447939577285922</v>
      </c>
      <c r="G52" s="173">
        <f>Effort!I52+Aide!I52/Taux!C52+Effort!K52/Taux!C52</f>
        <v>29.415784116428856</v>
      </c>
      <c r="H52" s="82">
        <f t="shared" si="1"/>
        <v>76.863723693714775</v>
      </c>
      <c r="I52" s="159">
        <f t="shared" si="2"/>
        <v>0</v>
      </c>
      <c r="J52" s="633">
        <f t="shared" si="3"/>
        <v>0</v>
      </c>
      <c r="K52" s="636">
        <f t="shared" si="4"/>
        <v>0</v>
      </c>
      <c r="L52" s="5"/>
      <c r="M52" s="10"/>
      <c r="N52" s="11"/>
      <c r="S52" s="11"/>
    </row>
    <row r="53" spans="1:19" x14ac:dyDescent="0.25">
      <c r="A53" s="38">
        <f>Données!A53</f>
        <v>5486</v>
      </c>
      <c r="B53" s="142" t="str">
        <f>Données!B53</f>
        <v>L'Isle</v>
      </c>
      <c r="C53" s="266">
        <f>VPI!R53</f>
        <v>33915.013599999991</v>
      </c>
      <c r="D53" s="397">
        <f>+Données!AP53</f>
        <v>14.226673995844909</v>
      </c>
      <c r="E53" s="314">
        <f>VPI!Q53</f>
        <v>75</v>
      </c>
      <c r="F53" s="176">
        <f t="shared" si="0"/>
        <v>60.773326004155095</v>
      </c>
      <c r="G53" s="173">
        <f>Effort!I53+Aide!I53/Taux!C53+Effort!K53/Taux!C53</f>
        <v>12.775148207901914</v>
      </c>
      <c r="H53" s="82">
        <f t="shared" si="1"/>
        <v>73.548474212057016</v>
      </c>
      <c r="I53" s="159">
        <f t="shared" si="2"/>
        <v>0</v>
      </c>
      <c r="J53" s="633">
        <f t="shared" si="3"/>
        <v>0</v>
      </c>
      <c r="K53" s="636">
        <f t="shared" si="4"/>
        <v>0</v>
      </c>
      <c r="L53" s="5"/>
      <c r="M53" s="10"/>
      <c r="N53" s="11"/>
      <c r="S53" s="11"/>
    </row>
    <row r="54" spans="1:19" x14ac:dyDescent="0.25">
      <c r="A54" s="38">
        <f>Données!A54</f>
        <v>5487</v>
      </c>
      <c r="B54" s="142" t="str">
        <f>Données!B54</f>
        <v>Lussery-Villars</v>
      </c>
      <c r="C54" s="266">
        <f>VPI!R54</f>
        <v>14930.073733333335</v>
      </c>
      <c r="D54" s="397">
        <f>+Données!AP54</f>
        <v>4.4787096789991807</v>
      </c>
      <c r="E54" s="314">
        <f>VPI!Q54</f>
        <v>75</v>
      </c>
      <c r="F54" s="176">
        <f t="shared" si="0"/>
        <v>70.521290321000819</v>
      </c>
      <c r="G54" s="173">
        <f>Effort!I54+Aide!I54/Taux!C54+Effort!K54/Taux!C54</f>
        <v>13.883634772283003</v>
      </c>
      <c r="H54" s="82">
        <f t="shared" si="1"/>
        <v>84.404925093283822</v>
      </c>
      <c r="I54" s="159">
        <f t="shared" si="2"/>
        <v>0</v>
      </c>
      <c r="J54" s="633">
        <f t="shared" si="3"/>
        <v>0</v>
      </c>
      <c r="K54" s="636">
        <f t="shared" si="4"/>
        <v>0</v>
      </c>
      <c r="L54" s="5"/>
      <c r="M54" s="10"/>
      <c r="N54" s="11"/>
      <c r="S54" s="11"/>
    </row>
    <row r="55" spans="1:19" x14ac:dyDescent="0.25">
      <c r="A55" s="38">
        <f>Données!A55</f>
        <v>5488</v>
      </c>
      <c r="B55" s="142" t="str">
        <f>Données!B55</f>
        <v>Mauraz</v>
      </c>
      <c r="C55" s="266">
        <f>VPI!R55</f>
        <v>1845.4819480519479</v>
      </c>
      <c r="D55" s="397">
        <f>+Données!AP55</f>
        <v>15.513657130355416</v>
      </c>
      <c r="E55" s="314">
        <f>VPI!Q55</f>
        <v>77</v>
      </c>
      <c r="F55" s="176">
        <f t="shared" si="0"/>
        <v>61.486342869644588</v>
      </c>
      <c r="G55" s="173">
        <f>Effort!I55+Aide!I55/Taux!C55+Effort!K55/Taux!C55</f>
        <v>9.2904027865188645</v>
      </c>
      <c r="H55" s="82">
        <f t="shared" si="1"/>
        <v>70.776745656163456</v>
      </c>
      <c r="I55" s="159">
        <f t="shared" si="2"/>
        <v>0</v>
      </c>
      <c r="J55" s="633">
        <f t="shared" si="3"/>
        <v>0</v>
      </c>
      <c r="K55" s="636">
        <f t="shared" si="4"/>
        <v>0</v>
      </c>
      <c r="L55" s="5"/>
      <c r="M55" s="10"/>
      <c r="N55" s="11"/>
      <c r="S55" s="11"/>
    </row>
    <row r="56" spans="1:19" x14ac:dyDescent="0.25">
      <c r="A56" s="38">
        <f>Données!A56</f>
        <v>5489</v>
      </c>
      <c r="B56" s="142" t="str">
        <f>Données!B56</f>
        <v>Mex</v>
      </c>
      <c r="C56" s="266">
        <f>VPI!R56</f>
        <v>61579.806386554606</v>
      </c>
      <c r="D56" s="397">
        <f>+Données!AP56</f>
        <v>34.608316206032235</v>
      </c>
      <c r="E56" s="314">
        <f>VPI!Q56</f>
        <v>59.5</v>
      </c>
      <c r="F56" s="176">
        <f t="shared" si="0"/>
        <v>24.891683793967765</v>
      </c>
      <c r="G56" s="173">
        <f>Effort!I56+Aide!I56/Taux!C56+Effort!K56/Taux!C56</f>
        <v>34.509585416965699</v>
      </c>
      <c r="H56" s="82">
        <f t="shared" si="1"/>
        <v>59.401269210933464</v>
      </c>
      <c r="I56" s="159">
        <f t="shared" si="2"/>
        <v>0</v>
      </c>
      <c r="J56" s="633">
        <f t="shared" si="3"/>
        <v>0</v>
      </c>
      <c r="K56" s="636">
        <f t="shared" si="4"/>
        <v>0</v>
      </c>
      <c r="L56" s="5"/>
      <c r="M56" s="10"/>
      <c r="N56" s="11"/>
      <c r="S56" s="11"/>
    </row>
    <row r="57" spans="1:19" x14ac:dyDescent="0.25">
      <c r="A57" s="38">
        <f>Données!A57</f>
        <v>5490</v>
      </c>
      <c r="B57" s="142" t="str">
        <f>Données!B57</f>
        <v>Moiry</v>
      </c>
      <c r="C57" s="266">
        <f>VPI!R57</f>
        <v>9143.6155263157889</v>
      </c>
      <c r="D57" s="397">
        <f>+Données!AP57</f>
        <v>9.7761233060064576</v>
      </c>
      <c r="E57" s="314">
        <f>VPI!Q57</f>
        <v>76</v>
      </c>
      <c r="F57" s="176">
        <f t="shared" si="0"/>
        <v>66.223876693993546</v>
      </c>
      <c r="G57" s="173">
        <f>Effort!I57+Aide!I57/Taux!C57+Effort!K57/Taux!C57</f>
        <v>12.523162659795462</v>
      </c>
      <c r="H57" s="82">
        <f t="shared" si="1"/>
        <v>78.747039353789006</v>
      </c>
      <c r="I57" s="159">
        <f t="shared" si="2"/>
        <v>0</v>
      </c>
      <c r="J57" s="633">
        <f t="shared" si="3"/>
        <v>0</v>
      </c>
      <c r="K57" s="636">
        <f t="shared" si="4"/>
        <v>0</v>
      </c>
      <c r="L57" s="5"/>
      <c r="M57" s="10"/>
      <c r="N57" s="11"/>
      <c r="S57" s="11"/>
    </row>
    <row r="58" spans="1:19" x14ac:dyDescent="0.25">
      <c r="A58" s="38">
        <f>Données!A58</f>
        <v>5491</v>
      </c>
      <c r="B58" s="142" t="str">
        <f>Données!B58</f>
        <v>Mont-la-Ville</v>
      </c>
      <c r="C58" s="266">
        <f>VPI!R58</f>
        <v>14485.97789473684</v>
      </c>
      <c r="D58" s="397">
        <f>+Données!AP58</f>
        <v>8.6021119708080995</v>
      </c>
      <c r="E58" s="314">
        <f>VPI!Q58</f>
        <v>76</v>
      </c>
      <c r="F58" s="176">
        <f t="shared" si="0"/>
        <v>67.397888029191904</v>
      </c>
      <c r="G58" s="173">
        <f>Effort!I58+Aide!I58/Taux!C58+Effort!K58/Taux!C58</f>
        <v>10.198471832446774</v>
      </c>
      <c r="H58" s="82">
        <f t="shared" si="1"/>
        <v>77.596359861638675</v>
      </c>
      <c r="I58" s="159">
        <f t="shared" si="2"/>
        <v>0</v>
      </c>
      <c r="J58" s="633">
        <f t="shared" si="3"/>
        <v>0</v>
      </c>
      <c r="K58" s="636">
        <f t="shared" si="4"/>
        <v>0</v>
      </c>
      <c r="L58" s="5"/>
      <c r="M58" s="10"/>
      <c r="N58" s="11"/>
      <c r="S58" s="11"/>
    </row>
    <row r="59" spans="1:19" x14ac:dyDescent="0.25">
      <c r="A59" s="38">
        <f>Données!A59</f>
        <v>5492</v>
      </c>
      <c r="B59" s="142" t="str">
        <f>Données!B59</f>
        <v>Montricher</v>
      </c>
      <c r="C59" s="266">
        <f>VPI!R59</f>
        <v>196115.50781249997</v>
      </c>
      <c r="D59" s="397">
        <f>+Données!AP59</f>
        <v>48.276227288564122</v>
      </c>
      <c r="E59" s="314">
        <f>VPI!Q59</f>
        <v>64</v>
      </c>
      <c r="F59" s="176">
        <f t="shared" si="0"/>
        <v>15.723772711435878</v>
      </c>
      <c r="G59" s="173">
        <f>Effort!I59+Aide!I59/Taux!C59+Effort!K59/Taux!C59</f>
        <v>48</v>
      </c>
      <c r="H59" s="82">
        <f t="shared" si="1"/>
        <v>63.723772711435878</v>
      </c>
      <c r="I59" s="159">
        <f t="shared" si="2"/>
        <v>0</v>
      </c>
      <c r="J59" s="633">
        <f t="shared" si="3"/>
        <v>0</v>
      </c>
      <c r="K59" s="636">
        <f t="shared" si="4"/>
        <v>0</v>
      </c>
      <c r="L59" s="5"/>
      <c r="M59" s="10"/>
      <c r="N59" s="11"/>
      <c r="S59" s="11"/>
    </row>
    <row r="60" spans="1:19" x14ac:dyDescent="0.25">
      <c r="A60" s="38">
        <f>Données!A60</f>
        <v>5493</v>
      </c>
      <c r="B60" s="142" t="str">
        <f>Données!B60</f>
        <v>Orny</v>
      </c>
      <c r="C60" s="266">
        <f>VPI!R60</f>
        <v>15159.363245521601</v>
      </c>
      <c r="D60" s="397">
        <f>+Données!AP60</f>
        <v>13.668188048645522</v>
      </c>
      <c r="E60" s="314">
        <f>VPI!Q60</f>
        <v>73</v>
      </c>
      <c r="F60" s="176">
        <f t="shared" si="0"/>
        <v>59.331811951354481</v>
      </c>
      <c r="G60" s="173">
        <f>Effort!I60+Aide!I60/Taux!C60+Effort!K60/Taux!C60</f>
        <v>13.012608637749132</v>
      </c>
      <c r="H60" s="82">
        <f t="shared" si="1"/>
        <v>72.344420589103606</v>
      </c>
      <c r="I60" s="159">
        <f t="shared" si="2"/>
        <v>0</v>
      </c>
      <c r="J60" s="633">
        <f t="shared" si="3"/>
        <v>0</v>
      </c>
      <c r="K60" s="636">
        <f t="shared" si="4"/>
        <v>0</v>
      </c>
      <c r="L60" s="5"/>
      <c r="M60" s="10"/>
      <c r="N60" s="11"/>
      <c r="S60" s="11"/>
    </row>
    <row r="61" spans="1:19" x14ac:dyDescent="0.25">
      <c r="A61" s="38">
        <f>Données!A61</f>
        <v>5495</v>
      </c>
      <c r="B61" s="142" t="str">
        <f>Données!B61</f>
        <v>Penthalaz</v>
      </c>
      <c r="C61" s="266">
        <f>VPI!R61</f>
        <v>95849.092413793114</v>
      </c>
      <c r="D61" s="397">
        <f>+Données!AP61</f>
        <v>10.243333615191686</v>
      </c>
      <c r="E61" s="314">
        <f>VPI!Q61</f>
        <v>72.5</v>
      </c>
      <c r="F61" s="176">
        <f t="shared" si="0"/>
        <v>62.256666384808312</v>
      </c>
      <c r="G61" s="173">
        <f>Effort!I61+Aide!I61/Taux!C61+Effort!K61/Taux!C61</f>
        <v>6.9937967176195404</v>
      </c>
      <c r="H61" s="82">
        <f t="shared" si="1"/>
        <v>69.250463102427858</v>
      </c>
      <c r="I61" s="159">
        <f t="shared" si="2"/>
        <v>0</v>
      </c>
      <c r="J61" s="633">
        <f t="shared" si="3"/>
        <v>0</v>
      </c>
      <c r="K61" s="636">
        <f t="shared" si="4"/>
        <v>0</v>
      </c>
      <c r="L61" s="5"/>
      <c r="M61" s="10"/>
      <c r="N61" s="11"/>
      <c r="S61" s="11"/>
    </row>
    <row r="62" spans="1:19" x14ac:dyDescent="0.25">
      <c r="A62" s="38">
        <f>Données!A62</f>
        <v>5496</v>
      </c>
      <c r="B62" s="142" t="str">
        <f>Données!B62</f>
        <v>Penthaz</v>
      </c>
      <c r="C62" s="266">
        <f>VPI!R62</f>
        <v>67087.565323741001</v>
      </c>
      <c r="D62" s="397">
        <f>+Données!AP62</f>
        <v>13.392740212575038</v>
      </c>
      <c r="E62" s="314">
        <f>VPI!Q62</f>
        <v>69.5</v>
      </c>
      <c r="F62" s="176">
        <f t="shared" si="0"/>
        <v>56.107259787424965</v>
      </c>
      <c r="G62" s="173">
        <f>Effort!I62+Aide!I62/Taux!C62+Effort!K62/Taux!C62</f>
        <v>16.182172691689651</v>
      </c>
      <c r="H62" s="82">
        <f t="shared" si="1"/>
        <v>72.289432479114623</v>
      </c>
      <c r="I62" s="159">
        <f t="shared" si="2"/>
        <v>0</v>
      </c>
      <c r="J62" s="633">
        <f t="shared" si="3"/>
        <v>0</v>
      </c>
      <c r="K62" s="636">
        <f t="shared" si="4"/>
        <v>0</v>
      </c>
      <c r="L62" s="5"/>
      <c r="M62" s="10"/>
      <c r="N62" s="11"/>
      <c r="S62" s="11"/>
    </row>
    <row r="63" spans="1:19" x14ac:dyDescent="0.25">
      <c r="A63" s="38">
        <f>Données!A63</f>
        <v>5497</v>
      </c>
      <c r="B63" s="142" t="str">
        <f>Données!B63</f>
        <v>Pompaples</v>
      </c>
      <c r="C63" s="266">
        <f>VPI!R63</f>
        <v>25508.981363636369</v>
      </c>
      <c r="D63" s="397">
        <f>+Données!AP63</f>
        <v>11.728646191352007</v>
      </c>
      <c r="E63" s="314">
        <f>VPI!Q63</f>
        <v>66</v>
      </c>
      <c r="F63" s="176">
        <f t="shared" si="0"/>
        <v>54.271353808647994</v>
      </c>
      <c r="G63" s="173">
        <f>Effort!I63+Aide!I63/Taux!C63+Effort!K63/Taux!C63</f>
        <v>12.175677639600872</v>
      </c>
      <c r="H63" s="82">
        <f t="shared" si="1"/>
        <v>66.447031448248865</v>
      </c>
      <c r="I63" s="159">
        <f t="shared" si="2"/>
        <v>0</v>
      </c>
      <c r="J63" s="633">
        <f t="shared" si="3"/>
        <v>0</v>
      </c>
      <c r="K63" s="636">
        <f t="shared" si="4"/>
        <v>0</v>
      </c>
      <c r="L63" s="5"/>
      <c r="M63" s="10"/>
      <c r="N63" s="11"/>
      <c r="S63" s="11"/>
    </row>
    <row r="64" spans="1:19" x14ac:dyDescent="0.25">
      <c r="A64" s="38">
        <f>Données!A64</f>
        <v>5498</v>
      </c>
      <c r="B64" s="142" t="str">
        <f>Données!B64</f>
        <v>La Sarraz</v>
      </c>
      <c r="C64" s="266">
        <f>VPI!R64</f>
        <v>78158.734848484863</v>
      </c>
      <c r="D64" s="397">
        <f>+Données!AP64</f>
        <v>8.7146747129757625</v>
      </c>
      <c r="E64" s="314">
        <f>VPI!Q64</f>
        <v>66</v>
      </c>
      <c r="F64" s="176">
        <f t="shared" si="0"/>
        <v>57.285325287024236</v>
      </c>
      <c r="G64" s="173">
        <f>Effort!I64+Aide!I64/Taux!C64+Effort!K64/Taux!C64</f>
        <v>10.368278131951408</v>
      </c>
      <c r="H64" s="82">
        <f t="shared" si="1"/>
        <v>67.653603418975649</v>
      </c>
      <c r="I64" s="159">
        <f t="shared" si="2"/>
        <v>0</v>
      </c>
      <c r="J64" s="633">
        <f t="shared" si="3"/>
        <v>0</v>
      </c>
      <c r="K64" s="636">
        <f t="shared" si="4"/>
        <v>0</v>
      </c>
      <c r="L64" s="5"/>
      <c r="M64" s="10"/>
      <c r="N64" s="11"/>
      <c r="S64" s="11"/>
    </row>
    <row r="65" spans="1:19" x14ac:dyDescent="0.25">
      <c r="A65" s="38">
        <f>Données!A65</f>
        <v>5499</v>
      </c>
      <c r="B65" s="142" t="str">
        <f>Données!B65</f>
        <v>Senarclens</v>
      </c>
      <c r="C65" s="266">
        <f>VPI!R65</f>
        <v>25627.946715328464</v>
      </c>
      <c r="D65" s="397">
        <f>+Données!AP65</f>
        <v>24.403520399376557</v>
      </c>
      <c r="E65" s="314">
        <f>VPI!Q65</f>
        <v>68.5</v>
      </c>
      <c r="F65" s="176">
        <f t="shared" si="0"/>
        <v>44.096479600623439</v>
      </c>
      <c r="G65" s="173">
        <f>Effort!I65+Aide!I65/Taux!C65+Effort!K65/Taux!C65</f>
        <v>28.98086834222665</v>
      </c>
      <c r="H65" s="82">
        <f t="shared" si="1"/>
        <v>73.077347942850082</v>
      </c>
      <c r="I65" s="159">
        <f t="shared" si="2"/>
        <v>0</v>
      </c>
      <c r="J65" s="633">
        <f t="shared" si="3"/>
        <v>0</v>
      </c>
      <c r="K65" s="636">
        <f t="shared" si="4"/>
        <v>0</v>
      </c>
      <c r="L65" s="5"/>
      <c r="M65" s="10"/>
      <c r="N65" s="11"/>
      <c r="S65" s="11"/>
    </row>
    <row r="66" spans="1:19" x14ac:dyDescent="0.25">
      <c r="A66" s="38">
        <f>Données!A66</f>
        <v>5501</v>
      </c>
      <c r="B66" s="142" t="str">
        <f>Données!B66</f>
        <v>Sullens</v>
      </c>
      <c r="C66" s="266">
        <f>VPI!R66</f>
        <v>54206.164375000008</v>
      </c>
      <c r="D66" s="397">
        <f>+Données!AP66</f>
        <v>26.387662636930205</v>
      </c>
      <c r="E66" s="314">
        <f>VPI!Q66</f>
        <v>64</v>
      </c>
      <c r="F66" s="176">
        <f t="shared" si="0"/>
        <v>37.612337363069798</v>
      </c>
      <c r="G66" s="173">
        <f>Effort!I66+Aide!I66/Taux!C66+Effort!K66/Taux!C66</f>
        <v>25.491535515792993</v>
      </c>
      <c r="H66" s="82">
        <f t="shared" si="1"/>
        <v>63.103872878862788</v>
      </c>
      <c r="I66" s="159">
        <f t="shared" si="2"/>
        <v>0</v>
      </c>
      <c r="J66" s="633">
        <f t="shared" si="3"/>
        <v>0</v>
      </c>
      <c r="K66" s="636">
        <f t="shared" si="4"/>
        <v>0</v>
      </c>
      <c r="L66" s="5"/>
      <c r="M66" s="10"/>
      <c r="N66" s="11"/>
      <c r="S66" s="11"/>
    </row>
    <row r="67" spans="1:19" x14ac:dyDescent="0.25">
      <c r="A67" s="38">
        <f>Données!A67</f>
        <v>5503</v>
      </c>
      <c r="B67" s="142" t="str">
        <f>Données!B67</f>
        <v>Vufflens-la-Ville</v>
      </c>
      <c r="C67" s="266">
        <f>VPI!R67</f>
        <v>77419.766343283569</v>
      </c>
      <c r="D67" s="397">
        <f>+Données!AP67</f>
        <v>29.338288009649389</v>
      </c>
      <c r="E67" s="314">
        <f>VPI!Q67</f>
        <v>67</v>
      </c>
      <c r="F67" s="176">
        <f t="shared" si="0"/>
        <v>37.661711990350611</v>
      </c>
      <c r="G67" s="173">
        <f>Effort!I67+Aide!I67/Taux!C67+Effort!K67/Taux!C67</f>
        <v>29.45069733828651</v>
      </c>
      <c r="H67" s="82">
        <f t="shared" si="1"/>
        <v>67.112409328637114</v>
      </c>
      <c r="I67" s="159">
        <f t="shared" si="2"/>
        <v>0</v>
      </c>
      <c r="J67" s="633">
        <f t="shared" si="3"/>
        <v>0</v>
      </c>
      <c r="K67" s="636">
        <f t="shared" si="4"/>
        <v>0</v>
      </c>
      <c r="L67" s="5"/>
      <c r="M67" s="10"/>
      <c r="N67" s="11"/>
      <c r="S67" s="11"/>
    </row>
    <row r="68" spans="1:19" x14ac:dyDescent="0.25">
      <c r="A68" s="38">
        <f>Données!A68</f>
        <v>5511</v>
      </c>
      <c r="B68" s="142" t="str">
        <f>Données!B68</f>
        <v>Assens</v>
      </c>
      <c r="C68" s="266">
        <f>VPI!R68</f>
        <v>74810.046857142865</v>
      </c>
      <c r="D68" s="397">
        <f>+Données!AP68</f>
        <v>23.518610991274642</v>
      </c>
      <c r="E68" s="314">
        <f>VPI!Q68</f>
        <v>70</v>
      </c>
      <c r="F68" s="176">
        <f t="shared" si="0"/>
        <v>46.481389008725358</v>
      </c>
      <c r="G68" s="173">
        <f>Effort!I68+Aide!I68/Taux!C68+Effort!K68/Taux!C68</f>
        <v>23.196358304589932</v>
      </c>
      <c r="H68" s="82">
        <f t="shared" si="1"/>
        <v>69.677747313315294</v>
      </c>
      <c r="I68" s="159">
        <f t="shared" si="2"/>
        <v>0</v>
      </c>
      <c r="J68" s="633">
        <f t="shared" si="3"/>
        <v>0</v>
      </c>
      <c r="K68" s="636">
        <f t="shared" si="4"/>
        <v>0</v>
      </c>
      <c r="L68" s="5"/>
      <c r="M68" s="10"/>
      <c r="N68" s="11"/>
      <c r="S68" s="11"/>
    </row>
    <row r="69" spans="1:19" x14ac:dyDescent="0.25">
      <c r="A69" s="38">
        <f>Données!A69</f>
        <v>5512</v>
      </c>
      <c r="B69" s="142" t="str">
        <f>Données!B69</f>
        <v>Bercher</v>
      </c>
      <c r="C69" s="266">
        <f>VPI!R69</f>
        <v>42301.871392405068</v>
      </c>
      <c r="D69" s="397">
        <f>+Données!AP69</f>
        <v>9.5580039550318823</v>
      </c>
      <c r="E69" s="314">
        <f>VPI!Q69</f>
        <v>79</v>
      </c>
      <c r="F69" s="176">
        <f t="shared" si="0"/>
        <v>69.441996044968121</v>
      </c>
      <c r="G69" s="173">
        <f>Effort!I69+Aide!I69/Taux!C69+Effort!K69/Taux!C69</f>
        <v>10.974881803052948</v>
      </c>
      <c r="H69" s="82">
        <f t="shared" si="1"/>
        <v>80.416877848021073</v>
      </c>
      <c r="I69" s="159">
        <f t="shared" si="2"/>
        <v>0</v>
      </c>
      <c r="J69" s="633">
        <f t="shared" si="3"/>
        <v>0</v>
      </c>
      <c r="K69" s="636">
        <f t="shared" si="4"/>
        <v>0</v>
      </c>
      <c r="L69" s="5"/>
      <c r="M69" s="10"/>
      <c r="N69" s="11"/>
      <c r="S69" s="11"/>
    </row>
    <row r="70" spans="1:19" x14ac:dyDescent="0.25">
      <c r="A70" s="38">
        <f>Données!A70</f>
        <v>5514</v>
      </c>
      <c r="B70" s="142" t="str">
        <f>Données!B70</f>
        <v>Bottens</v>
      </c>
      <c r="C70" s="266">
        <f>VPI!R70</f>
        <v>45049.61903448277</v>
      </c>
      <c r="D70" s="397">
        <f>+Données!AP70</f>
        <v>15.942134903728384</v>
      </c>
      <c r="E70" s="314">
        <f>VPI!Q70</f>
        <v>72.5</v>
      </c>
      <c r="F70" s="176">
        <f t="shared" si="0"/>
        <v>56.557865096271613</v>
      </c>
      <c r="G70" s="173">
        <f>Effort!I70+Aide!I70/Taux!C70+Effort!K70/Taux!C70</f>
        <v>14.015304544444557</v>
      </c>
      <c r="H70" s="82">
        <f t="shared" si="1"/>
        <v>70.573169640716173</v>
      </c>
      <c r="I70" s="159">
        <f t="shared" si="2"/>
        <v>0</v>
      </c>
      <c r="J70" s="633">
        <f t="shared" si="3"/>
        <v>0</v>
      </c>
      <c r="K70" s="636">
        <f t="shared" si="4"/>
        <v>0</v>
      </c>
      <c r="L70" s="5"/>
      <c r="M70" s="10"/>
      <c r="N70" s="11"/>
      <c r="S70" s="11"/>
    </row>
    <row r="71" spans="1:19" x14ac:dyDescent="0.25">
      <c r="A71" s="38">
        <f>Données!A71</f>
        <v>5515</v>
      </c>
      <c r="B71" s="142" t="str">
        <f>Données!B71</f>
        <v>Bretigny-sur-Morrens</v>
      </c>
      <c r="C71" s="266">
        <f>VPI!R71</f>
        <v>32261.164358974351</v>
      </c>
      <c r="D71" s="397">
        <f>+Données!AP71</f>
        <v>15.887709623463705</v>
      </c>
      <c r="E71" s="314">
        <f>VPI!Q71</f>
        <v>78</v>
      </c>
      <c r="F71" s="176">
        <f t="shared" ref="F71:F134" si="5">E71-D71</f>
        <v>62.112290376536293</v>
      </c>
      <c r="G71" s="173">
        <f>Effort!I71+Aide!I71/Taux!C71+Effort!K71/Taux!C71</f>
        <v>18.177238588306494</v>
      </c>
      <c r="H71" s="82">
        <f t="shared" ref="H71:H134" si="6">F71+G71</f>
        <v>80.289528964842788</v>
      </c>
      <c r="I71" s="159">
        <f t="shared" ref="I71:I134" si="7">IF(H71&gt;$I$5,H71-$I$5,0)</f>
        <v>0</v>
      </c>
      <c r="J71" s="633">
        <f t="shared" ref="J71:J134" si="8">-I71*C71</f>
        <v>0</v>
      </c>
      <c r="K71" s="636">
        <f t="shared" ref="K71:K134" si="9">J71</f>
        <v>0</v>
      </c>
      <c r="L71" s="5"/>
      <c r="M71" s="10"/>
      <c r="N71" s="11"/>
      <c r="S71" s="11"/>
    </row>
    <row r="72" spans="1:19" x14ac:dyDescent="0.25">
      <c r="A72" s="38">
        <f>Données!A72</f>
        <v>5516</v>
      </c>
      <c r="B72" s="142" t="str">
        <f>Données!B72</f>
        <v>Cugy</v>
      </c>
      <c r="C72" s="266">
        <f>VPI!R72</f>
        <v>114099.68980263159</v>
      </c>
      <c r="D72" s="397">
        <f>+Données!AP72</f>
        <v>19.770037521018839</v>
      </c>
      <c r="E72" s="314">
        <f>VPI!Q72</f>
        <v>76</v>
      </c>
      <c r="F72" s="176">
        <f t="shared" si="5"/>
        <v>56.229962478981165</v>
      </c>
      <c r="G72" s="173">
        <f>Effort!I72+Aide!I72/Taux!C72+Effort!K72/Taux!C72</f>
        <v>19.787458078413767</v>
      </c>
      <c r="H72" s="82">
        <f t="shared" si="6"/>
        <v>76.017420557394928</v>
      </c>
      <c r="I72" s="159">
        <f t="shared" si="7"/>
        <v>0</v>
      </c>
      <c r="J72" s="633">
        <f t="shared" si="8"/>
        <v>0</v>
      </c>
      <c r="K72" s="636">
        <f t="shared" si="9"/>
        <v>0</v>
      </c>
      <c r="L72" s="5"/>
      <c r="M72" s="10"/>
      <c r="N72" s="11"/>
      <c r="S72" s="11"/>
    </row>
    <row r="73" spans="1:19" x14ac:dyDescent="0.25">
      <c r="A73" s="38">
        <f>Données!A73</f>
        <v>5518</v>
      </c>
      <c r="B73" s="142" t="str">
        <f>Données!B73</f>
        <v>Echallens</v>
      </c>
      <c r="C73" s="266">
        <f>VPI!R73</f>
        <v>201769.75393103444</v>
      </c>
      <c r="D73" s="397">
        <f>+Données!AP73</f>
        <v>8.7827405128066083</v>
      </c>
      <c r="E73" s="314">
        <f>VPI!Q73</f>
        <v>72.5</v>
      </c>
      <c r="F73" s="176">
        <f t="shared" si="5"/>
        <v>63.717259487193388</v>
      </c>
      <c r="G73" s="173">
        <f>Effort!I73+Aide!I73/Taux!C73+Effort!K73/Taux!C73</f>
        <v>3.553125487674313</v>
      </c>
      <c r="H73" s="82">
        <f t="shared" si="6"/>
        <v>67.270384974867696</v>
      </c>
      <c r="I73" s="159">
        <f t="shared" si="7"/>
        <v>0</v>
      </c>
      <c r="J73" s="633">
        <f t="shared" si="8"/>
        <v>0</v>
      </c>
      <c r="K73" s="636">
        <f t="shared" si="9"/>
        <v>0</v>
      </c>
      <c r="L73" s="5"/>
      <c r="M73" s="10"/>
      <c r="N73" s="11"/>
      <c r="S73" s="11"/>
    </row>
    <row r="74" spans="1:19" x14ac:dyDescent="0.25">
      <c r="A74" s="38">
        <f>Données!A74</f>
        <v>5520</v>
      </c>
      <c r="B74" s="142" t="str">
        <f>Données!B74</f>
        <v>Essertines-sur-Yverdon</v>
      </c>
      <c r="C74" s="266">
        <f>VPI!R74</f>
        <v>32600.230945945943</v>
      </c>
      <c r="D74" s="397">
        <f>+Données!AP74</f>
        <v>11.129108937352136</v>
      </c>
      <c r="E74" s="314">
        <f>VPI!Q74</f>
        <v>74</v>
      </c>
      <c r="F74" s="176">
        <f t="shared" si="5"/>
        <v>62.870891062647864</v>
      </c>
      <c r="G74" s="173">
        <f>Effort!I74+Aide!I74/Taux!C74+Effort!K74/Taux!C74</f>
        <v>10.774712693017715</v>
      </c>
      <c r="H74" s="82">
        <f t="shared" si="6"/>
        <v>73.645603755665576</v>
      </c>
      <c r="I74" s="159">
        <f t="shared" si="7"/>
        <v>0</v>
      </c>
      <c r="J74" s="633">
        <f t="shared" si="8"/>
        <v>0</v>
      </c>
      <c r="K74" s="636">
        <f t="shared" si="9"/>
        <v>0</v>
      </c>
      <c r="L74" s="5"/>
      <c r="M74" s="10"/>
      <c r="N74" s="11"/>
      <c r="S74" s="11"/>
    </row>
    <row r="75" spans="1:19" x14ac:dyDescent="0.25">
      <c r="A75" s="38">
        <f>Données!A75</f>
        <v>5521</v>
      </c>
      <c r="B75" s="142" t="str">
        <f>Données!B75</f>
        <v>Etagnières</v>
      </c>
      <c r="C75" s="266">
        <f>VPI!R75</f>
        <v>45069.292328767129</v>
      </c>
      <c r="D75" s="397">
        <f>+Données!AP75</f>
        <v>22.915620207589534</v>
      </c>
      <c r="E75" s="314">
        <f>VPI!Q75</f>
        <v>73</v>
      </c>
      <c r="F75" s="176">
        <f t="shared" si="5"/>
        <v>50.084379792410466</v>
      </c>
      <c r="G75" s="173">
        <f>Effort!I75+Aide!I75/Taux!C75+Effort!K75/Taux!C75</f>
        <v>20.373167743696005</v>
      </c>
      <c r="H75" s="82">
        <f t="shared" si="6"/>
        <v>70.457547536106475</v>
      </c>
      <c r="I75" s="159">
        <f t="shared" si="7"/>
        <v>0</v>
      </c>
      <c r="J75" s="633">
        <f t="shared" si="8"/>
        <v>0</v>
      </c>
      <c r="K75" s="636">
        <f t="shared" si="9"/>
        <v>0</v>
      </c>
      <c r="L75" s="5"/>
      <c r="M75" s="10"/>
      <c r="N75" s="11"/>
      <c r="S75" s="11"/>
    </row>
    <row r="76" spans="1:19" x14ac:dyDescent="0.25">
      <c r="A76" s="38">
        <f>Données!A76</f>
        <v>5522</v>
      </c>
      <c r="B76" s="142" t="str">
        <f>Données!B76</f>
        <v>Fey</v>
      </c>
      <c r="C76" s="266">
        <f>VPI!R76</f>
        <v>22943.940666666665</v>
      </c>
      <c r="D76" s="397">
        <f>+Données!AP76</f>
        <v>16.150014465512317</v>
      </c>
      <c r="E76" s="314">
        <f>VPI!Q76</f>
        <v>75</v>
      </c>
      <c r="F76" s="176">
        <f t="shared" si="5"/>
        <v>58.849985534487686</v>
      </c>
      <c r="G76" s="173">
        <f>Effort!I76+Aide!I76/Taux!C76+Effort!K76/Taux!C76</f>
        <v>11.928276105209999</v>
      </c>
      <c r="H76" s="82">
        <f t="shared" si="6"/>
        <v>70.778261639697689</v>
      </c>
      <c r="I76" s="159">
        <f t="shared" si="7"/>
        <v>0</v>
      </c>
      <c r="J76" s="633">
        <f t="shared" si="8"/>
        <v>0</v>
      </c>
      <c r="K76" s="636">
        <f t="shared" si="9"/>
        <v>0</v>
      </c>
      <c r="L76" s="5"/>
      <c r="M76" s="10"/>
      <c r="N76" s="11"/>
      <c r="S76" s="11"/>
    </row>
    <row r="77" spans="1:19" x14ac:dyDescent="0.25">
      <c r="A77" s="38">
        <f>Données!A77</f>
        <v>5523</v>
      </c>
      <c r="B77" s="142" t="str">
        <f>Données!B77</f>
        <v>Froideville</v>
      </c>
      <c r="C77" s="266">
        <f>VPI!R77</f>
        <v>92586.842777777769</v>
      </c>
      <c r="D77" s="397">
        <f>+Données!AP77</f>
        <v>13.739080451089425</v>
      </c>
      <c r="E77" s="314">
        <f>VPI!Q77</f>
        <v>72</v>
      </c>
      <c r="F77" s="176">
        <f t="shared" si="5"/>
        <v>58.260919548910579</v>
      </c>
      <c r="G77" s="173">
        <f>Effort!I77+Aide!I77/Taux!C77+Effort!K77/Taux!C77</f>
        <v>13.036748770003241</v>
      </c>
      <c r="H77" s="82">
        <f t="shared" si="6"/>
        <v>71.297668318913821</v>
      </c>
      <c r="I77" s="159">
        <f t="shared" si="7"/>
        <v>0</v>
      </c>
      <c r="J77" s="633">
        <f t="shared" si="8"/>
        <v>0</v>
      </c>
      <c r="K77" s="636">
        <f t="shared" si="9"/>
        <v>0</v>
      </c>
      <c r="L77" s="5"/>
      <c r="M77" s="10"/>
      <c r="N77" s="11"/>
      <c r="S77" s="11"/>
    </row>
    <row r="78" spans="1:19" x14ac:dyDescent="0.25">
      <c r="A78" s="38">
        <f>Données!A78</f>
        <v>5527</v>
      </c>
      <c r="B78" s="142" t="str">
        <f>Données!B78</f>
        <v>Morrens</v>
      </c>
      <c r="C78" s="266">
        <f>VPI!R78</f>
        <v>42908.9222972973</v>
      </c>
      <c r="D78" s="397">
        <f>+Données!AP78</f>
        <v>17.43679767732808</v>
      </c>
      <c r="E78" s="314">
        <f>VPI!Q78</f>
        <v>74</v>
      </c>
      <c r="F78" s="176">
        <f t="shared" si="5"/>
        <v>56.56320232267192</v>
      </c>
      <c r="G78" s="173">
        <f>Effort!I78+Aide!I78/Taux!C78+Effort!K78/Taux!C78</f>
        <v>19.584859405162881</v>
      </c>
      <c r="H78" s="82">
        <f t="shared" si="6"/>
        <v>76.148061727834801</v>
      </c>
      <c r="I78" s="159">
        <f t="shared" si="7"/>
        <v>0</v>
      </c>
      <c r="J78" s="633">
        <f t="shared" si="8"/>
        <v>0</v>
      </c>
      <c r="K78" s="636">
        <f t="shared" si="9"/>
        <v>0</v>
      </c>
      <c r="L78" s="5"/>
      <c r="M78" s="10"/>
      <c r="N78" s="11"/>
      <c r="S78" s="11"/>
    </row>
    <row r="79" spans="1:19" x14ac:dyDescent="0.25">
      <c r="A79" s="38">
        <f>Données!A79</f>
        <v>5529</v>
      </c>
      <c r="B79" s="142" t="str">
        <f>Données!B79</f>
        <v>Oulens-sous-Echallens</v>
      </c>
      <c r="C79" s="266">
        <f>VPI!R79</f>
        <v>22948.614507042254</v>
      </c>
      <c r="D79" s="397">
        <f>+Données!AP79</f>
        <v>21.378723061737524</v>
      </c>
      <c r="E79" s="314">
        <f>VPI!Q79</f>
        <v>71</v>
      </c>
      <c r="F79" s="176">
        <f t="shared" si="5"/>
        <v>49.621276938262476</v>
      </c>
      <c r="G79" s="173">
        <f>Effort!I79+Aide!I79/Taux!C79+Effort!K79/Taux!C79</f>
        <v>21.444472285463469</v>
      </c>
      <c r="H79" s="82">
        <f t="shared" si="6"/>
        <v>71.065749223725945</v>
      </c>
      <c r="I79" s="159">
        <f t="shared" si="7"/>
        <v>0</v>
      </c>
      <c r="J79" s="633">
        <f t="shared" si="8"/>
        <v>0</v>
      </c>
      <c r="K79" s="636">
        <f t="shared" si="9"/>
        <v>0</v>
      </c>
      <c r="L79" s="5"/>
      <c r="M79" s="10"/>
      <c r="N79" s="11"/>
      <c r="S79" s="11"/>
    </row>
    <row r="80" spans="1:19" x14ac:dyDescent="0.25">
      <c r="A80" s="38">
        <f>Données!A80</f>
        <v>5530</v>
      </c>
      <c r="B80" s="142" t="str">
        <f>Données!B80</f>
        <v>Pailly</v>
      </c>
      <c r="C80" s="266">
        <f>VPI!R80</f>
        <v>20543.565197368422</v>
      </c>
      <c r="D80" s="397">
        <f>+Données!AP80</f>
        <v>19.166536468916064</v>
      </c>
      <c r="E80" s="314">
        <f>VPI!Q80</f>
        <v>76</v>
      </c>
      <c r="F80" s="176">
        <f t="shared" si="5"/>
        <v>56.833463531083936</v>
      </c>
      <c r="G80" s="173">
        <f>Effort!I80+Aide!I80/Taux!C80+Effort!K80/Taux!C80</f>
        <v>18.176257965125416</v>
      </c>
      <c r="H80" s="82">
        <f t="shared" si="6"/>
        <v>75.009721496209352</v>
      </c>
      <c r="I80" s="159">
        <f t="shared" si="7"/>
        <v>0</v>
      </c>
      <c r="J80" s="633">
        <f t="shared" si="8"/>
        <v>0</v>
      </c>
      <c r="K80" s="636">
        <f t="shared" si="9"/>
        <v>0</v>
      </c>
      <c r="L80" s="5"/>
      <c r="M80" s="10"/>
      <c r="N80" s="11"/>
      <c r="S80" s="11"/>
    </row>
    <row r="81" spans="1:19" x14ac:dyDescent="0.25">
      <c r="A81" s="38">
        <f>Données!A81</f>
        <v>5531</v>
      </c>
      <c r="B81" s="142" t="str">
        <f>Données!B81</f>
        <v>Penthéréaz</v>
      </c>
      <c r="C81" s="266">
        <f>VPI!R81</f>
        <v>17158.758513513516</v>
      </c>
      <c r="D81" s="397">
        <f>+Données!AP81</f>
        <v>22.880000845525895</v>
      </c>
      <c r="E81" s="314">
        <f>VPI!Q81</f>
        <v>74</v>
      </c>
      <c r="F81" s="176">
        <f t="shared" si="5"/>
        <v>51.119999154474101</v>
      </c>
      <c r="G81" s="173">
        <f>Effort!I81+Aide!I81/Taux!C81+Effort!K81/Taux!C81</f>
        <v>21.75671239191054</v>
      </c>
      <c r="H81" s="82">
        <f t="shared" si="6"/>
        <v>72.876711546384641</v>
      </c>
      <c r="I81" s="159">
        <f t="shared" si="7"/>
        <v>0</v>
      </c>
      <c r="J81" s="633">
        <f t="shared" si="8"/>
        <v>0</v>
      </c>
      <c r="K81" s="636">
        <f t="shared" si="9"/>
        <v>0</v>
      </c>
      <c r="L81" s="5"/>
      <c r="M81" s="10"/>
      <c r="N81" s="11"/>
      <c r="S81" s="11"/>
    </row>
    <row r="82" spans="1:19" x14ac:dyDescent="0.25">
      <c r="A82" s="38">
        <f>Données!A82</f>
        <v>5533</v>
      </c>
      <c r="B82" s="142" t="str">
        <f>Données!B82</f>
        <v>Poliez-Pittet</v>
      </c>
      <c r="C82" s="266">
        <f>VPI!R82</f>
        <v>27174.793424657531</v>
      </c>
      <c r="D82" s="397">
        <f>+Données!AP82</f>
        <v>16.916808357534407</v>
      </c>
      <c r="E82" s="314">
        <f>VPI!Q82</f>
        <v>73</v>
      </c>
      <c r="F82" s="176">
        <f t="shared" si="5"/>
        <v>56.083191642465593</v>
      </c>
      <c r="G82" s="173">
        <f>Effort!I82+Aide!I82/Taux!C82+Effort!K82/Taux!C82</f>
        <v>13.897139740378732</v>
      </c>
      <c r="H82" s="82">
        <f t="shared" si="6"/>
        <v>69.980331382844327</v>
      </c>
      <c r="I82" s="159">
        <f t="shared" si="7"/>
        <v>0</v>
      </c>
      <c r="J82" s="633">
        <f t="shared" si="8"/>
        <v>0</v>
      </c>
      <c r="K82" s="636">
        <f t="shared" si="9"/>
        <v>0</v>
      </c>
      <c r="L82" s="5"/>
      <c r="M82" s="10"/>
      <c r="N82" s="11"/>
      <c r="S82" s="11"/>
    </row>
    <row r="83" spans="1:19" x14ac:dyDescent="0.25">
      <c r="A83" s="38">
        <f>Données!A83</f>
        <v>5534</v>
      </c>
      <c r="B83" s="142" t="str">
        <f>Données!B83</f>
        <v>Rueyres</v>
      </c>
      <c r="C83" s="266">
        <f>VPI!R83</f>
        <v>15880.296484018269</v>
      </c>
      <c r="D83" s="397">
        <f>+Données!AP83</f>
        <v>28.521958549937786</v>
      </c>
      <c r="E83" s="314">
        <f>VPI!Q83</f>
        <v>73</v>
      </c>
      <c r="F83" s="176">
        <f t="shared" si="5"/>
        <v>44.478041450062214</v>
      </c>
      <c r="G83" s="173">
        <f>Effort!I83+Aide!I83/Taux!C83+Effort!K83/Taux!C83</f>
        <v>29.148779764620482</v>
      </c>
      <c r="H83" s="82">
        <f t="shared" si="6"/>
        <v>73.626821214682693</v>
      </c>
      <c r="I83" s="159">
        <f t="shared" si="7"/>
        <v>0</v>
      </c>
      <c r="J83" s="633">
        <f t="shared" si="8"/>
        <v>0</v>
      </c>
      <c r="K83" s="636">
        <f t="shared" si="9"/>
        <v>0</v>
      </c>
      <c r="L83" s="5"/>
      <c r="M83" s="10"/>
      <c r="N83" s="11"/>
      <c r="S83" s="11"/>
    </row>
    <row r="84" spans="1:19" x14ac:dyDescent="0.25">
      <c r="A84" s="38">
        <f>Données!A84</f>
        <v>5535</v>
      </c>
      <c r="B84" s="142" t="str">
        <f>Données!B84</f>
        <v>Saint-Barthélemy</v>
      </c>
      <c r="C84" s="266">
        <f>VPI!R84</f>
        <v>27185.565066666662</v>
      </c>
      <c r="D84" s="397">
        <f>+Données!AP84</f>
        <v>14.342701046790053</v>
      </c>
      <c r="E84" s="314">
        <f>VPI!Q84</f>
        <v>75</v>
      </c>
      <c r="F84" s="176">
        <f t="shared" si="5"/>
        <v>60.657298953209946</v>
      </c>
      <c r="G84" s="173">
        <f>Effort!I84+Aide!I84/Taux!C84+Effort!K84/Taux!C84</f>
        <v>15.358153482251858</v>
      </c>
      <c r="H84" s="82">
        <f t="shared" si="6"/>
        <v>76.01545243546181</v>
      </c>
      <c r="I84" s="159">
        <f t="shared" si="7"/>
        <v>0</v>
      </c>
      <c r="J84" s="633">
        <f t="shared" si="8"/>
        <v>0</v>
      </c>
      <c r="K84" s="636">
        <f t="shared" si="9"/>
        <v>0</v>
      </c>
      <c r="L84" s="5"/>
      <c r="M84" s="10"/>
      <c r="N84" s="11"/>
      <c r="S84" s="11"/>
    </row>
    <row r="85" spans="1:19" x14ac:dyDescent="0.25">
      <c r="A85" s="38">
        <f>Données!A85</f>
        <v>5537</v>
      </c>
      <c r="B85" s="142" t="str">
        <f>Données!B85</f>
        <v>Villars-le-Terroir</v>
      </c>
      <c r="C85" s="266">
        <f>VPI!R85</f>
        <v>37062.3994736842</v>
      </c>
      <c r="D85" s="397">
        <f>+Données!AP85</f>
        <v>10.353263307732242</v>
      </c>
      <c r="E85" s="314">
        <f>VPI!Q85</f>
        <v>76</v>
      </c>
      <c r="F85" s="176">
        <f t="shared" si="5"/>
        <v>65.646736692267751</v>
      </c>
      <c r="G85" s="173">
        <f>Effort!I85+Aide!I85/Taux!C85+Effort!K85/Taux!C85</f>
        <v>7.3931594075174942</v>
      </c>
      <c r="H85" s="82">
        <f t="shared" si="6"/>
        <v>73.039896099785238</v>
      </c>
      <c r="I85" s="159">
        <f t="shared" si="7"/>
        <v>0</v>
      </c>
      <c r="J85" s="633">
        <f t="shared" si="8"/>
        <v>0</v>
      </c>
      <c r="K85" s="636">
        <f t="shared" si="9"/>
        <v>0</v>
      </c>
      <c r="L85" s="5"/>
      <c r="M85" s="10"/>
      <c r="N85" s="11"/>
      <c r="S85" s="11"/>
    </row>
    <row r="86" spans="1:19" x14ac:dyDescent="0.25">
      <c r="A86" s="38">
        <f>Données!A86</f>
        <v>5539</v>
      </c>
      <c r="B86" s="142" t="str">
        <f>Données!B86</f>
        <v>Vuarrens</v>
      </c>
      <c r="C86" s="266">
        <f>VPI!R86</f>
        <v>33245.200000000004</v>
      </c>
      <c r="D86" s="397">
        <f>+Données!AP86</f>
        <v>13.903127669046354</v>
      </c>
      <c r="E86" s="314">
        <f>VPI!Q86</f>
        <v>73.5</v>
      </c>
      <c r="F86" s="176">
        <f t="shared" si="5"/>
        <v>59.596872330953644</v>
      </c>
      <c r="G86" s="173">
        <f>Effort!I86+Aide!I86/Taux!C86+Effort!K86/Taux!C86</f>
        <v>11.86301262736993</v>
      </c>
      <c r="H86" s="82">
        <f t="shared" si="6"/>
        <v>71.45988495832357</v>
      </c>
      <c r="I86" s="159">
        <f t="shared" si="7"/>
        <v>0</v>
      </c>
      <c r="J86" s="633">
        <f t="shared" si="8"/>
        <v>0</v>
      </c>
      <c r="K86" s="636">
        <f t="shared" si="9"/>
        <v>0</v>
      </c>
      <c r="L86" s="5"/>
      <c r="M86" s="10"/>
      <c r="N86" s="11"/>
      <c r="S86" s="11"/>
    </row>
    <row r="87" spans="1:19" x14ac:dyDescent="0.25">
      <c r="A87" s="38">
        <f>Données!A87</f>
        <v>5540</v>
      </c>
      <c r="B87" s="142" t="str">
        <f>Données!B87</f>
        <v>Montilliez</v>
      </c>
      <c r="C87" s="266">
        <f>VPI!R87</f>
        <v>73930.013586206886</v>
      </c>
      <c r="D87" s="397">
        <f>+Données!AP87</f>
        <v>16.476761154431696</v>
      </c>
      <c r="E87" s="314">
        <f>VPI!Q87</f>
        <v>72.5</v>
      </c>
      <c r="F87" s="176">
        <f t="shared" si="5"/>
        <v>56.023238845568301</v>
      </c>
      <c r="G87" s="173">
        <f>Effort!I87+Aide!I87/Taux!C87+Effort!K87/Taux!C87</f>
        <v>18.953309807652332</v>
      </c>
      <c r="H87" s="82">
        <f t="shared" si="6"/>
        <v>74.976548653220632</v>
      </c>
      <c r="I87" s="159">
        <f t="shared" si="7"/>
        <v>0</v>
      </c>
      <c r="J87" s="633">
        <f t="shared" si="8"/>
        <v>0</v>
      </c>
      <c r="K87" s="636">
        <f t="shared" si="9"/>
        <v>0</v>
      </c>
      <c r="L87" s="5"/>
      <c r="M87" s="10"/>
      <c r="N87" s="11"/>
      <c r="S87" s="11"/>
    </row>
    <row r="88" spans="1:19" x14ac:dyDescent="0.25">
      <c r="A88" s="38">
        <f>Données!A88</f>
        <v>5541</v>
      </c>
      <c r="B88" s="142" t="str">
        <f>Données!B88</f>
        <v>Goumoëns</v>
      </c>
      <c r="C88" s="266">
        <f>VPI!R88</f>
        <v>42494.398410596026</v>
      </c>
      <c r="D88" s="397">
        <f>+Données!AP88</f>
        <v>17.854811119519351</v>
      </c>
      <c r="E88" s="314">
        <f>VPI!Q88</f>
        <v>75.5</v>
      </c>
      <c r="F88" s="176">
        <f t="shared" si="5"/>
        <v>57.645188880480646</v>
      </c>
      <c r="G88" s="173">
        <f>Effort!I88+Aide!I88/Taux!C88+Effort!K88/Taux!C88</f>
        <v>16.507663865305204</v>
      </c>
      <c r="H88" s="82">
        <f t="shared" si="6"/>
        <v>74.15285274578585</v>
      </c>
      <c r="I88" s="159">
        <f t="shared" si="7"/>
        <v>0</v>
      </c>
      <c r="J88" s="633">
        <f t="shared" si="8"/>
        <v>0</v>
      </c>
      <c r="K88" s="636">
        <f t="shared" si="9"/>
        <v>0</v>
      </c>
      <c r="L88" s="5"/>
      <c r="M88" s="10"/>
      <c r="N88" s="11"/>
      <c r="S88" s="11"/>
    </row>
    <row r="89" spans="1:19" x14ac:dyDescent="0.25">
      <c r="A89" s="38">
        <f>Données!A89</f>
        <v>5551</v>
      </c>
      <c r="B89" s="142" t="str">
        <f>Données!B89</f>
        <v>Bonvillars</v>
      </c>
      <c r="C89" s="266">
        <f>VPI!R89</f>
        <v>18997.947192982458</v>
      </c>
      <c r="D89" s="397">
        <f>+Données!AP89</f>
        <v>23.443876595080077</v>
      </c>
      <c r="E89" s="314">
        <f>VPI!Q89</f>
        <v>57</v>
      </c>
      <c r="F89" s="176">
        <f t="shared" si="5"/>
        <v>33.556123404919923</v>
      </c>
      <c r="G89" s="173">
        <f>Effort!I89+Aide!I89/Taux!C89+Effort!K89/Taux!C89</f>
        <v>22.35070318088745</v>
      </c>
      <c r="H89" s="82">
        <f t="shared" si="6"/>
        <v>55.906826585807373</v>
      </c>
      <c r="I89" s="159">
        <f t="shared" si="7"/>
        <v>0</v>
      </c>
      <c r="J89" s="633">
        <f t="shared" si="8"/>
        <v>0</v>
      </c>
      <c r="K89" s="636">
        <f t="shared" si="9"/>
        <v>0</v>
      </c>
      <c r="L89" s="5"/>
      <c r="M89" s="10"/>
      <c r="N89" s="11"/>
      <c r="S89" s="11"/>
    </row>
    <row r="90" spans="1:19" x14ac:dyDescent="0.25">
      <c r="A90" s="38">
        <f>Données!A90</f>
        <v>5552</v>
      </c>
      <c r="B90" s="142" t="str">
        <f>Données!B90</f>
        <v>Bullet</v>
      </c>
      <c r="C90" s="266">
        <f>VPI!R90</f>
        <v>20424.764857142854</v>
      </c>
      <c r="D90" s="397">
        <f>+Données!AP90</f>
        <v>12.93280694519042</v>
      </c>
      <c r="E90" s="314">
        <f>VPI!Q90</f>
        <v>70</v>
      </c>
      <c r="F90" s="176">
        <f t="shared" si="5"/>
        <v>57.067193054809579</v>
      </c>
      <c r="G90" s="173">
        <f>Effort!I90+Aide!I90/Taux!C90+Effort!K90/Taux!C90</f>
        <v>14.022655919334914</v>
      </c>
      <c r="H90" s="82">
        <f t="shared" si="6"/>
        <v>71.089848974144488</v>
      </c>
      <c r="I90" s="159">
        <f t="shared" si="7"/>
        <v>0</v>
      </c>
      <c r="J90" s="633">
        <f t="shared" si="8"/>
        <v>0</v>
      </c>
      <c r="K90" s="636">
        <f t="shared" si="9"/>
        <v>0</v>
      </c>
      <c r="L90" s="5"/>
      <c r="M90" s="10"/>
      <c r="N90" s="11"/>
      <c r="S90" s="11"/>
    </row>
    <row r="91" spans="1:19" x14ac:dyDescent="0.25">
      <c r="A91" s="38">
        <f>Données!A91</f>
        <v>5553</v>
      </c>
      <c r="B91" s="142" t="str">
        <f>Données!B91</f>
        <v>Champagne</v>
      </c>
      <c r="C91" s="266">
        <f>VPI!R91</f>
        <v>36175.512923076931</v>
      </c>
      <c r="D91" s="397">
        <f>+Données!AP91</f>
        <v>20.525514086399824</v>
      </c>
      <c r="E91" s="314">
        <f>VPI!Q91</f>
        <v>65</v>
      </c>
      <c r="F91" s="176">
        <f t="shared" si="5"/>
        <v>44.474485913600176</v>
      </c>
      <c r="G91" s="173">
        <f>Effort!I91+Aide!I91/Taux!C91+Effort!K91/Taux!C91</f>
        <v>18.594602115045685</v>
      </c>
      <c r="H91" s="82">
        <f t="shared" si="6"/>
        <v>63.069088028645865</v>
      </c>
      <c r="I91" s="159">
        <f t="shared" si="7"/>
        <v>0</v>
      </c>
      <c r="J91" s="633">
        <f t="shared" si="8"/>
        <v>0</v>
      </c>
      <c r="K91" s="636">
        <f t="shared" si="9"/>
        <v>0</v>
      </c>
      <c r="L91" s="5"/>
      <c r="M91" s="10"/>
      <c r="N91" s="11"/>
      <c r="S91" s="11"/>
    </row>
    <row r="92" spans="1:19" x14ac:dyDescent="0.25">
      <c r="A92" s="38">
        <f>Données!A92</f>
        <v>5554</v>
      </c>
      <c r="B92" s="142" t="str">
        <f>Données!B92</f>
        <v>Concise</v>
      </c>
      <c r="C92" s="266">
        <f>VPI!R92</f>
        <v>34308.622777777782</v>
      </c>
      <c r="D92" s="397">
        <f>+Données!AP92</f>
        <v>17.22901705997349</v>
      </c>
      <c r="E92" s="314">
        <f>VPI!Q92</f>
        <v>72</v>
      </c>
      <c r="F92" s="176">
        <f t="shared" si="5"/>
        <v>54.770982940026514</v>
      </c>
      <c r="G92" s="173">
        <f>Effort!I92+Aide!I92/Taux!C92+Effort!K92/Taux!C92</f>
        <v>16.917145868195963</v>
      </c>
      <c r="H92" s="82">
        <f t="shared" si="6"/>
        <v>71.688128808222473</v>
      </c>
      <c r="I92" s="159">
        <f t="shared" si="7"/>
        <v>0</v>
      </c>
      <c r="J92" s="633">
        <f t="shared" si="8"/>
        <v>0</v>
      </c>
      <c r="K92" s="636">
        <f t="shared" si="9"/>
        <v>0</v>
      </c>
      <c r="L92" s="5"/>
      <c r="M92" s="10"/>
      <c r="N92" s="11"/>
      <c r="S92" s="11"/>
    </row>
    <row r="93" spans="1:19" x14ac:dyDescent="0.25">
      <c r="A93" s="38">
        <f>Données!A93</f>
        <v>5555</v>
      </c>
      <c r="B93" s="142" t="str">
        <f>Données!B93</f>
        <v>Corcelles-près-Concise</v>
      </c>
      <c r="C93" s="266">
        <f>VPI!R93</f>
        <v>13639.969855072464</v>
      </c>
      <c r="D93" s="397">
        <f>+Données!AP93</f>
        <v>17.540103045001977</v>
      </c>
      <c r="E93" s="314">
        <f>VPI!Q93</f>
        <v>69</v>
      </c>
      <c r="F93" s="176">
        <f t="shared" si="5"/>
        <v>51.459896954998023</v>
      </c>
      <c r="G93" s="173">
        <f>Effort!I93+Aide!I93/Taux!C93+Effort!K93/Taux!C93</f>
        <v>16.400024129658703</v>
      </c>
      <c r="H93" s="82">
        <f t="shared" si="6"/>
        <v>67.859921084656719</v>
      </c>
      <c r="I93" s="159">
        <f t="shared" si="7"/>
        <v>0</v>
      </c>
      <c r="J93" s="633">
        <f t="shared" si="8"/>
        <v>0</v>
      </c>
      <c r="K93" s="636">
        <f t="shared" si="9"/>
        <v>0</v>
      </c>
      <c r="L93" s="5"/>
      <c r="M93" s="10"/>
      <c r="N93" s="11"/>
      <c r="S93" s="11"/>
    </row>
    <row r="94" spans="1:19" x14ac:dyDescent="0.25">
      <c r="A94" s="38">
        <f>Données!A94</f>
        <v>5556</v>
      </c>
      <c r="B94" s="142" t="str">
        <f>Données!B94</f>
        <v>Fiez</v>
      </c>
      <c r="C94" s="266">
        <f>VPI!R94</f>
        <v>12931.397729468599</v>
      </c>
      <c r="D94" s="397">
        <f>+Données!AP94</f>
        <v>15.350197509297775</v>
      </c>
      <c r="E94" s="314">
        <f>VPI!Q94</f>
        <v>69</v>
      </c>
      <c r="F94" s="176">
        <f t="shared" si="5"/>
        <v>53.649802490702228</v>
      </c>
      <c r="G94" s="173">
        <f>Effort!I94+Aide!I94/Taux!C94+Effort!K94/Taux!C94</f>
        <v>13.658775721887991</v>
      </c>
      <c r="H94" s="82">
        <f t="shared" si="6"/>
        <v>67.30857821259022</v>
      </c>
      <c r="I94" s="159">
        <f t="shared" si="7"/>
        <v>0</v>
      </c>
      <c r="J94" s="633">
        <f t="shared" si="8"/>
        <v>0</v>
      </c>
      <c r="K94" s="636">
        <f t="shared" si="9"/>
        <v>0</v>
      </c>
      <c r="L94" s="5"/>
      <c r="M94" s="10"/>
      <c r="N94" s="11"/>
      <c r="S94" s="11"/>
    </row>
    <row r="95" spans="1:19" x14ac:dyDescent="0.25">
      <c r="A95" s="38">
        <f>Données!A95</f>
        <v>5557</v>
      </c>
      <c r="B95" s="142" t="str">
        <f>Données!B95</f>
        <v>Fontaines-sur-Grandson</v>
      </c>
      <c r="C95" s="266">
        <f>VPI!R95</f>
        <v>4700.3647826086954</v>
      </c>
      <c r="D95" s="397">
        <f>+Données!AP95</f>
        <v>5.678282704025146</v>
      </c>
      <c r="E95" s="314">
        <f>VPI!Q95</f>
        <v>69</v>
      </c>
      <c r="F95" s="176">
        <f t="shared" si="5"/>
        <v>63.321717295974857</v>
      </c>
      <c r="G95" s="173">
        <f>Effort!I95+Aide!I95/Taux!C95+Effort!K95/Taux!C95</f>
        <v>4.4203081538858857</v>
      </c>
      <c r="H95" s="82">
        <f t="shared" si="6"/>
        <v>67.742025449860748</v>
      </c>
      <c r="I95" s="159">
        <f t="shared" si="7"/>
        <v>0</v>
      </c>
      <c r="J95" s="633">
        <f t="shared" si="8"/>
        <v>0</v>
      </c>
      <c r="K95" s="636">
        <f t="shared" si="9"/>
        <v>0</v>
      </c>
      <c r="L95" s="5"/>
      <c r="M95" s="10"/>
      <c r="N95" s="11"/>
      <c r="S95" s="11"/>
    </row>
    <row r="96" spans="1:19" x14ac:dyDescent="0.25">
      <c r="A96" s="38">
        <f>Données!A96</f>
        <v>5559</v>
      </c>
      <c r="B96" s="142" t="str">
        <f>Données!B96</f>
        <v>Giez</v>
      </c>
      <c r="C96" s="266">
        <f>VPI!R96</f>
        <v>19760.849242424243</v>
      </c>
      <c r="D96" s="397">
        <f>+Données!AP96</f>
        <v>27.34908404387318</v>
      </c>
      <c r="E96" s="314">
        <f>VPI!Q96</f>
        <v>66</v>
      </c>
      <c r="F96" s="176">
        <f t="shared" si="5"/>
        <v>38.650915956126823</v>
      </c>
      <c r="G96" s="173">
        <f>Effort!I96+Aide!I96/Taux!C96+Effort!K96/Taux!C96</f>
        <v>25.139712862972985</v>
      </c>
      <c r="H96" s="82">
        <f t="shared" si="6"/>
        <v>63.790628819099808</v>
      </c>
      <c r="I96" s="159">
        <f t="shared" si="7"/>
        <v>0</v>
      </c>
      <c r="J96" s="633">
        <f t="shared" si="8"/>
        <v>0</v>
      </c>
      <c r="K96" s="636">
        <f t="shared" si="9"/>
        <v>0</v>
      </c>
      <c r="L96" s="5"/>
      <c r="M96" s="10"/>
      <c r="N96" s="11"/>
      <c r="S96" s="11"/>
    </row>
    <row r="97" spans="1:19" x14ac:dyDescent="0.25">
      <c r="A97" s="38">
        <f>Données!A97</f>
        <v>5560</v>
      </c>
      <c r="B97" s="142" t="str">
        <f>Données!B97</f>
        <v>Grandevent</v>
      </c>
      <c r="C97" s="266">
        <f>VPI!R97</f>
        <v>8048.598285714289</v>
      </c>
      <c r="D97" s="397">
        <f>+Données!AP97</f>
        <v>21.797164720138724</v>
      </c>
      <c r="E97" s="314">
        <f>VPI!Q97</f>
        <v>70</v>
      </c>
      <c r="F97" s="176">
        <f t="shared" si="5"/>
        <v>48.202835279861276</v>
      </c>
      <c r="G97" s="173">
        <f>Effort!I97+Aide!I97/Taux!C97+Effort!K97/Taux!C97</f>
        <v>17.981653612185159</v>
      </c>
      <c r="H97" s="82">
        <f t="shared" si="6"/>
        <v>66.184488892046431</v>
      </c>
      <c r="I97" s="159">
        <f t="shared" si="7"/>
        <v>0</v>
      </c>
      <c r="J97" s="633">
        <f t="shared" si="8"/>
        <v>0</v>
      </c>
      <c r="K97" s="636">
        <f t="shared" si="9"/>
        <v>0</v>
      </c>
      <c r="L97" s="5"/>
      <c r="M97" s="10"/>
      <c r="N97" s="11"/>
      <c r="S97" s="11"/>
    </row>
    <row r="98" spans="1:19" x14ac:dyDescent="0.25">
      <c r="A98" s="38">
        <f>Données!A98</f>
        <v>5561</v>
      </c>
      <c r="B98" s="142" t="str">
        <f>Données!B98</f>
        <v>Grandson</v>
      </c>
      <c r="C98" s="266">
        <f>VPI!R98</f>
        <v>179345.48057971016</v>
      </c>
      <c r="D98" s="397">
        <f>+Données!AP98</f>
        <v>18.579130948141472</v>
      </c>
      <c r="E98" s="314">
        <f>VPI!Q98</f>
        <v>69</v>
      </c>
      <c r="F98" s="176">
        <f t="shared" si="5"/>
        <v>50.420869051858531</v>
      </c>
      <c r="G98" s="173">
        <f>Effort!I98+Aide!I98/Taux!C98+Effort!K98/Taux!C98</f>
        <v>25.733440227653741</v>
      </c>
      <c r="H98" s="82">
        <f t="shared" si="6"/>
        <v>76.154309279512276</v>
      </c>
      <c r="I98" s="159">
        <f t="shared" si="7"/>
        <v>0</v>
      </c>
      <c r="J98" s="633">
        <f t="shared" si="8"/>
        <v>0</v>
      </c>
      <c r="K98" s="636">
        <f t="shared" si="9"/>
        <v>0</v>
      </c>
      <c r="L98" s="5"/>
      <c r="M98" s="10"/>
      <c r="N98" s="11"/>
      <c r="S98" s="11"/>
    </row>
    <row r="99" spans="1:19" x14ac:dyDescent="0.25">
      <c r="A99" s="38">
        <f>Données!A99</f>
        <v>5562</v>
      </c>
      <c r="B99" s="142" t="str">
        <f>Données!B99</f>
        <v>Mauborget</v>
      </c>
      <c r="C99" s="266">
        <f>VPI!R99</f>
        <v>4951.6888333333327</v>
      </c>
      <c r="D99" s="397">
        <f>+Données!AP99</f>
        <v>17.72689841641424</v>
      </c>
      <c r="E99" s="314">
        <f>VPI!Q99</f>
        <v>70</v>
      </c>
      <c r="F99" s="176">
        <f t="shared" si="5"/>
        <v>52.273101583585756</v>
      </c>
      <c r="G99" s="173">
        <f>Effort!I99+Aide!I99/Taux!C99+Effort!K99/Taux!C99</f>
        <v>20.602648772331072</v>
      </c>
      <c r="H99" s="82">
        <f t="shared" si="6"/>
        <v>72.875750355916836</v>
      </c>
      <c r="I99" s="159">
        <f t="shared" si="7"/>
        <v>0</v>
      </c>
      <c r="J99" s="633">
        <f t="shared" si="8"/>
        <v>0</v>
      </c>
      <c r="K99" s="636">
        <f t="shared" si="9"/>
        <v>0</v>
      </c>
      <c r="L99" s="5"/>
      <c r="M99" s="10"/>
      <c r="N99" s="11"/>
      <c r="S99" s="11"/>
    </row>
    <row r="100" spans="1:19" x14ac:dyDescent="0.25">
      <c r="A100" s="38">
        <f>Données!A100</f>
        <v>5563</v>
      </c>
      <c r="B100" s="142" t="str">
        <f>Données!B100</f>
        <v>Mutrux</v>
      </c>
      <c r="C100" s="266">
        <f>VPI!R100</f>
        <v>2911.2397499999997</v>
      </c>
      <c r="D100" s="397">
        <f>+Données!AP100</f>
        <v>-21.517164151226787</v>
      </c>
      <c r="E100" s="314">
        <f>VPI!Q100</f>
        <v>80</v>
      </c>
      <c r="F100" s="176">
        <f t="shared" si="5"/>
        <v>101.51716415122678</v>
      </c>
      <c r="G100" s="173">
        <f>Effort!I100+Aide!I100/Taux!C100+Effort!K100/Taux!C100</f>
        <v>-11.915565524962346</v>
      </c>
      <c r="H100" s="82">
        <f t="shared" si="6"/>
        <v>89.601598626264433</v>
      </c>
      <c r="I100" s="159">
        <f t="shared" si="7"/>
        <v>0</v>
      </c>
      <c r="J100" s="633">
        <f t="shared" si="8"/>
        <v>0</v>
      </c>
      <c r="K100" s="636">
        <f t="shared" si="9"/>
        <v>0</v>
      </c>
      <c r="L100" s="5"/>
      <c r="M100" s="10"/>
      <c r="N100" s="11"/>
      <c r="S100" s="11"/>
    </row>
    <row r="101" spans="1:19" x14ac:dyDescent="0.25">
      <c r="A101" s="38">
        <f>Données!A101</f>
        <v>5564</v>
      </c>
      <c r="B101" s="142" t="str">
        <f>Données!B101</f>
        <v>Novalles</v>
      </c>
      <c r="C101" s="266">
        <f>VPI!R101</f>
        <v>2278.1877960526317</v>
      </c>
      <c r="D101" s="397">
        <f>+Données!AP101</f>
        <v>5.3887721471215375</v>
      </c>
      <c r="E101" s="314">
        <f>VPI!Q101</f>
        <v>76</v>
      </c>
      <c r="F101" s="176">
        <f t="shared" si="5"/>
        <v>70.611227852878457</v>
      </c>
      <c r="G101" s="173">
        <f>Effort!I101+Aide!I101/Taux!C101+Effort!K101/Taux!C101</f>
        <v>-3.1126146824435033</v>
      </c>
      <c r="H101" s="82">
        <f t="shared" si="6"/>
        <v>67.49861317043495</v>
      </c>
      <c r="I101" s="159">
        <f t="shared" si="7"/>
        <v>0</v>
      </c>
      <c r="J101" s="633">
        <f t="shared" si="8"/>
        <v>0</v>
      </c>
      <c r="K101" s="636">
        <f t="shared" si="9"/>
        <v>0</v>
      </c>
      <c r="L101" s="5"/>
      <c r="M101" s="10"/>
      <c r="N101" s="11"/>
      <c r="S101" s="11"/>
    </row>
    <row r="102" spans="1:19" x14ac:dyDescent="0.25">
      <c r="A102" s="38">
        <f>Données!A102</f>
        <v>5565</v>
      </c>
      <c r="B102" s="142" t="str">
        <f>Données!B102</f>
        <v>Onnens</v>
      </c>
      <c r="C102" s="266">
        <f>VPI!R102</f>
        <v>21491.927559055119</v>
      </c>
      <c r="D102" s="397">
        <f>+Données!AP102</f>
        <v>8.170122786920075</v>
      </c>
      <c r="E102" s="314">
        <f>VPI!Q102</f>
        <v>63.5</v>
      </c>
      <c r="F102" s="176">
        <f t="shared" si="5"/>
        <v>55.329877213079925</v>
      </c>
      <c r="G102" s="173">
        <f>Effort!I102+Aide!I102/Taux!C102+Effort!K102/Taux!C102</f>
        <v>25.384345754930031</v>
      </c>
      <c r="H102" s="82">
        <f t="shared" si="6"/>
        <v>80.714222968009949</v>
      </c>
      <c r="I102" s="159">
        <f t="shared" si="7"/>
        <v>0</v>
      </c>
      <c r="J102" s="633">
        <f t="shared" si="8"/>
        <v>0</v>
      </c>
      <c r="K102" s="636">
        <f t="shared" si="9"/>
        <v>0</v>
      </c>
      <c r="L102" s="5"/>
      <c r="M102" s="10"/>
      <c r="N102" s="11"/>
      <c r="S102" s="11"/>
    </row>
    <row r="103" spans="1:19" x14ac:dyDescent="0.25">
      <c r="A103" s="38">
        <f>Données!A103</f>
        <v>5566</v>
      </c>
      <c r="B103" s="142" t="str">
        <f>Données!B103</f>
        <v>Provence</v>
      </c>
      <c r="C103" s="266">
        <f>VPI!R103</f>
        <v>9668.921111111109</v>
      </c>
      <c r="D103" s="397">
        <f>+Données!AP103</f>
        <v>-9.1553073964454228</v>
      </c>
      <c r="E103" s="314">
        <f>VPI!Q103</f>
        <v>81</v>
      </c>
      <c r="F103" s="176">
        <f t="shared" si="5"/>
        <v>90.155307396445423</v>
      </c>
      <c r="G103" s="173">
        <f>Effort!I103+Aide!I103/Taux!C103+Effort!K103/Taux!C103</f>
        <v>-4.2777870671993661</v>
      </c>
      <c r="H103" s="82">
        <f t="shared" si="6"/>
        <v>85.877520329246053</v>
      </c>
      <c r="I103" s="159">
        <f t="shared" si="7"/>
        <v>0</v>
      </c>
      <c r="J103" s="633">
        <f t="shared" si="8"/>
        <v>0</v>
      </c>
      <c r="K103" s="636">
        <f t="shared" si="9"/>
        <v>0</v>
      </c>
      <c r="L103" s="5"/>
      <c r="M103" s="10"/>
      <c r="N103" s="11"/>
      <c r="S103" s="11"/>
    </row>
    <row r="104" spans="1:19" x14ac:dyDescent="0.25">
      <c r="A104" s="38">
        <f>Données!A104</f>
        <v>5568</v>
      </c>
      <c r="B104" s="142" t="str">
        <f>Données!B104</f>
        <v>Sainte-Croix</v>
      </c>
      <c r="C104" s="266">
        <f>VPI!R104</f>
        <v>108679.35057142857</v>
      </c>
      <c r="D104" s="397">
        <f>+Données!AP104</f>
        <v>-10.373470593013675</v>
      </c>
      <c r="E104" s="314">
        <f>VPI!Q104</f>
        <v>70</v>
      </c>
      <c r="F104" s="176">
        <f t="shared" si="5"/>
        <v>80.373470593013678</v>
      </c>
      <c r="G104" s="173">
        <f>Effort!I104+Aide!I104/Taux!C104+Effort!K104/Taux!C104</f>
        <v>-12.5561408725858</v>
      </c>
      <c r="H104" s="82">
        <f t="shared" si="6"/>
        <v>67.817329720427878</v>
      </c>
      <c r="I104" s="159">
        <f t="shared" si="7"/>
        <v>0</v>
      </c>
      <c r="J104" s="633">
        <f t="shared" si="8"/>
        <v>0</v>
      </c>
      <c r="K104" s="636">
        <f t="shared" si="9"/>
        <v>0</v>
      </c>
      <c r="L104" s="5"/>
      <c r="M104" s="10"/>
      <c r="N104" s="11"/>
      <c r="S104" s="11"/>
    </row>
    <row r="105" spans="1:19" x14ac:dyDescent="0.25">
      <c r="A105" s="38">
        <f>Données!A105</f>
        <v>5571</v>
      </c>
      <c r="B105" s="142" t="str">
        <f>Données!B105</f>
        <v>Tévenon</v>
      </c>
      <c r="C105" s="266">
        <f>VPI!R105</f>
        <v>25950.769557109554</v>
      </c>
      <c r="D105" s="397">
        <f>+Données!AP105</f>
        <v>13.746841835059898</v>
      </c>
      <c r="E105" s="314">
        <f>VPI!Q105</f>
        <v>71.5</v>
      </c>
      <c r="F105" s="176">
        <f t="shared" si="5"/>
        <v>57.753158164940103</v>
      </c>
      <c r="G105" s="173">
        <f>Effort!I105+Aide!I105/Taux!C105+Effort!K105/Taux!C105</f>
        <v>13.160424027051478</v>
      </c>
      <c r="H105" s="82">
        <f t="shared" si="6"/>
        <v>70.91358219199158</v>
      </c>
      <c r="I105" s="159">
        <f t="shared" si="7"/>
        <v>0</v>
      </c>
      <c r="J105" s="633">
        <f t="shared" si="8"/>
        <v>0</v>
      </c>
      <c r="K105" s="636">
        <f t="shared" si="9"/>
        <v>0</v>
      </c>
      <c r="L105" s="5"/>
      <c r="M105" s="10"/>
      <c r="N105" s="11"/>
      <c r="S105" s="11"/>
    </row>
    <row r="106" spans="1:19" x14ac:dyDescent="0.25">
      <c r="A106" s="38">
        <f>Données!A106</f>
        <v>5581</v>
      </c>
      <c r="B106" s="142" t="str">
        <f>Données!B106</f>
        <v>Belmont-sur-Lausanne</v>
      </c>
      <c r="C106" s="266">
        <f>VPI!R106</f>
        <v>216786.11745370374</v>
      </c>
      <c r="D106" s="397">
        <f>+Données!AP106</f>
        <v>28.559170342675312</v>
      </c>
      <c r="E106" s="314">
        <f>VPI!Q106</f>
        <v>72</v>
      </c>
      <c r="F106" s="176">
        <f t="shared" si="5"/>
        <v>43.440829657324684</v>
      </c>
      <c r="G106" s="173">
        <f>Effort!I106+Aide!I106/Taux!C106+Effort!K106/Taux!C106</f>
        <v>26.214344942032351</v>
      </c>
      <c r="H106" s="82">
        <f t="shared" si="6"/>
        <v>69.655174599357039</v>
      </c>
      <c r="I106" s="159">
        <f t="shared" si="7"/>
        <v>0</v>
      </c>
      <c r="J106" s="633">
        <f t="shared" si="8"/>
        <v>0</v>
      </c>
      <c r="K106" s="636">
        <f t="shared" si="9"/>
        <v>0</v>
      </c>
      <c r="L106" s="5"/>
      <c r="M106" s="10"/>
      <c r="N106" s="11"/>
      <c r="S106" s="11"/>
    </row>
    <row r="107" spans="1:19" x14ac:dyDescent="0.25">
      <c r="A107" s="38">
        <f>Données!A107</f>
        <v>5582</v>
      </c>
      <c r="B107" s="142" t="str">
        <f>Données!B107</f>
        <v>Cheseaux-sur-Lausanne</v>
      </c>
      <c r="C107" s="266">
        <f>VPI!R107</f>
        <v>179452.21630136986</v>
      </c>
      <c r="D107" s="397">
        <f>+Données!AP107</f>
        <v>15.050137718322691</v>
      </c>
      <c r="E107" s="314">
        <f>VPI!Q107</f>
        <v>73</v>
      </c>
      <c r="F107" s="176">
        <f t="shared" si="5"/>
        <v>57.949862281677312</v>
      </c>
      <c r="G107" s="173">
        <f>Effort!I107+Aide!I107/Taux!C107+Effort!K107/Taux!C107</f>
        <v>13.446493085455813</v>
      </c>
      <c r="H107" s="82">
        <f t="shared" si="6"/>
        <v>71.396355367133125</v>
      </c>
      <c r="I107" s="159">
        <f t="shared" si="7"/>
        <v>0</v>
      </c>
      <c r="J107" s="633">
        <f t="shared" si="8"/>
        <v>0</v>
      </c>
      <c r="K107" s="636">
        <f t="shared" si="9"/>
        <v>0</v>
      </c>
      <c r="L107" s="5"/>
      <c r="M107" s="10"/>
      <c r="N107" s="11"/>
      <c r="S107" s="11"/>
    </row>
    <row r="108" spans="1:19" x14ac:dyDescent="0.25">
      <c r="A108" s="38">
        <f>Données!A108</f>
        <v>5583</v>
      </c>
      <c r="B108" s="142" t="str">
        <f>Données!B108</f>
        <v>Crissier</v>
      </c>
      <c r="C108" s="266">
        <f>VPI!R108</f>
        <v>371804.01181102369</v>
      </c>
      <c r="D108" s="397">
        <f>+Données!AP108</f>
        <v>12.652542986177469</v>
      </c>
      <c r="E108" s="314">
        <f>VPI!Q108</f>
        <v>63.5</v>
      </c>
      <c r="F108" s="176">
        <f t="shared" si="5"/>
        <v>50.847457013822535</v>
      </c>
      <c r="G108" s="173">
        <f>Effort!I108+Aide!I108/Taux!C108+Effort!K108/Taux!C108</f>
        <v>14.190642957089436</v>
      </c>
      <c r="H108" s="82">
        <f t="shared" si="6"/>
        <v>65.038099970911972</v>
      </c>
      <c r="I108" s="159">
        <f t="shared" si="7"/>
        <v>0</v>
      </c>
      <c r="J108" s="633">
        <f t="shared" si="8"/>
        <v>0</v>
      </c>
      <c r="K108" s="636">
        <f t="shared" si="9"/>
        <v>0</v>
      </c>
      <c r="L108" s="5"/>
      <c r="M108" s="10"/>
      <c r="N108" s="11"/>
      <c r="S108" s="11"/>
    </row>
    <row r="109" spans="1:19" x14ac:dyDescent="0.25">
      <c r="A109" s="38">
        <f>Données!A109</f>
        <v>5584</v>
      </c>
      <c r="B109" s="142" t="str">
        <f>Données!B109</f>
        <v>Epalinges</v>
      </c>
      <c r="C109" s="266">
        <f>VPI!R109</f>
        <v>516751.95968992251</v>
      </c>
      <c r="D109" s="397">
        <f>+Données!AP109</f>
        <v>20.75046650698302</v>
      </c>
      <c r="E109" s="314">
        <f>VPI!Q109</f>
        <v>64.5</v>
      </c>
      <c r="F109" s="176">
        <f t="shared" si="5"/>
        <v>43.749533493016983</v>
      </c>
      <c r="G109" s="173">
        <f>Effort!I109+Aide!I109/Taux!C109+Effort!K109/Taux!C109</f>
        <v>21.290145956397009</v>
      </c>
      <c r="H109" s="82">
        <f t="shared" si="6"/>
        <v>65.039679449413995</v>
      </c>
      <c r="I109" s="159">
        <f t="shared" si="7"/>
        <v>0</v>
      </c>
      <c r="J109" s="633">
        <f t="shared" si="8"/>
        <v>0</v>
      </c>
      <c r="K109" s="636">
        <f t="shared" si="9"/>
        <v>0</v>
      </c>
      <c r="L109" s="5"/>
      <c r="M109" s="10"/>
      <c r="N109" s="11"/>
      <c r="S109" s="11"/>
    </row>
    <row r="110" spans="1:19" x14ac:dyDescent="0.25">
      <c r="A110" s="38">
        <f>Données!A110</f>
        <v>5585</v>
      </c>
      <c r="B110" s="142" t="str">
        <f>Données!B110</f>
        <v>Jouxtens-Mézery</v>
      </c>
      <c r="C110" s="266">
        <f>VPI!R110</f>
        <v>251674.37118644069</v>
      </c>
      <c r="D110" s="397">
        <f>+Données!AP110</f>
        <v>48</v>
      </c>
      <c r="E110" s="314">
        <f>VPI!Q110</f>
        <v>59</v>
      </c>
      <c r="F110" s="176">
        <f t="shared" si="5"/>
        <v>11</v>
      </c>
      <c r="G110" s="173">
        <f>Effort!I110+Aide!I110/Taux!C110+Effort!K110/Taux!C110</f>
        <v>48</v>
      </c>
      <c r="H110" s="82">
        <f t="shared" si="6"/>
        <v>59</v>
      </c>
      <c r="I110" s="159">
        <f t="shared" si="7"/>
        <v>0</v>
      </c>
      <c r="J110" s="633">
        <f t="shared" si="8"/>
        <v>0</v>
      </c>
      <c r="K110" s="636">
        <f t="shared" si="9"/>
        <v>0</v>
      </c>
      <c r="L110" s="5"/>
      <c r="M110" s="10"/>
      <c r="N110" s="11"/>
      <c r="S110" s="11"/>
    </row>
    <row r="111" spans="1:19" x14ac:dyDescent="0.25">
      <c r="A111" s="38">
        <f>Données!A111</f>
        <v>5586</v>
      </c>
      <c r="B111" s="142" t="str">
        <f>Données!B111</f>
        <v>Lausanne</v>
      </c>
      <c r="C111" s="266">
        <f>VPI!R111</f>
        <v>6915333.6485774955</v>
      </c>
      <c r="D111" s="397">
        <f>+Données!AP111</f>
        <v>8.0215805367122304</v>
      </c>
      <c r="E111" s="314">
        <f>VPI!Q111</f>
        <v>78.5</v>
      </c>
      <c r="F111" s="176">
        <f t="shared" si="5"/>
        <v>70.478419463287764</v>
      </c>
      <c r="G111" s="173">
        <f>Effort!I111+Aide!I111/Taux!C111+Effort!K111/Taux!C111</f>
        <v>7.8815015506178643</v>
      </c>
      <c r="H111" s="82">
        <f t="shared" si="6"/>
        <v>78.359921013905634</v>
      </c>
      <c r="I111" s="159">
        <f t="shared" si="7"/>
        <v>0</v>
      </c>
      <c r="J111" s="633">
        <f t="shared" si="8"/>
        <v>0</v>
      </c>
      <c r="K111" s="636">
        <f t="shared" si="9"/>
        <v>0</v>
      </c>
      <c r="L111" s="5"/>
      <c r="M111" s="10"/>
      <c r="N111" s="11"/>
      <c r="S111" s="11"/>
    </row>
    <row r="112" spans="1:19" x14ac:dyDescent="0.25">
      <c r="A112" s="38">
        <f>Données!A112</f>
        <v>5587</v>
      </c>
      <c r="B112" s="142" t="str">
        <f>Données!B112</f>
        <v>Le Mont-sur-Lausanne</v>
      </c>
      <c r="C112" s="266">
        <f>VPI!R112</f>
        <v>490592.89707482996</v>
      </c>
      <c r="D112" s="397">
        <f>+Données!AP112</f>
        <v>22.243088738577747</v>
      </c>
      <c r="E112" s="314">
        <f>VPI!Q112</f>
        <v>73.5</v>
      </c>
      <c r="F112" s="176">
        <f t="shared" si="5"/>
        <v>51.256911261422253</v>
      </c>
      <c r="G112" s="173">
        <f>Effort!I112+Aide!I112/Taux!C112+Effort!K112/Taux!C112</f>
        <v>22.196973683538026</v>
      </c>
      <c r="H112" s="82">
        <f t="shared" si="6"/>
        <v>73.453884944960279</v>
      </c>
      <c r="I112" s="159">
        <f t="shared" si="7"/>
        <v>0</v>
      </c>
      <c r="J112" s="633">
        <f t="shared" si="8"/>
        <v>0</v>
      </c>
      <c r="K112" s="636">
        <f t="shared" si="9"/>
        <v>0</v>
      </c>
      <c r="L112" s="5"/>
      <c r="M112" s="10"/>
      <c r="N112" s="11"/>
      <c r="S112" s="11"/>
    </row>
    <row r="113" spans="1:19" x14ac:dyDescent="0.25">
      <c r="A113" s="38">
        <f>Données!A113</f>
        <v>5588</v>
      </c>
      <c r="B113" s="142" t="str">
        <f>Données!B113</f>
        <v>Paudex</v>
      </c>
      <c r="C113" s="266">
        <f>VPI!R113</f>
        <v>123433.64683136411</v>
      </c>
      <c r="D113" s="397">
        <f>+Données!AP113</f>
        <v>37.922897705806214</v>
      </c>
      <c r="E113" s="314">
        <f>VPI!Q113</f>
        <v>66.5</v>
      </c>
      <c r="F113" s="176">
        <f t="shared" si="5"/>
        <v>28.577102294193786</v>
      </c>
      <c r="G113" s="173">
        <f>Effort!I113+Aide!I113/Taux!C113+Effort!K113/Taux!C113</f>
        <v>35.450771267018098</v>
      </c>
      <c r="H113" s="82">
        <f t="shared" si="6"/>
        <v>64.027873561211891</v>
      </c>
      <c r="I113" s="159">
        <f t="shared" si="7"/>
        <v>0</v>
      </c>
      <c r="J113" s="633">
        <f t="shared" si="8"/>
        <v>0</v>
      </c>
      <c r="K113" s="636">
        <f t="shared" si="9"/>
        <v>0</v>
      </c>
      <c r="L113" s="5"/>
      <c r="M113" s="10"/>
      <c r="N113" s="11"/>
      <c r="S113" s="11"/>
    </row>
    <row r="114" spans="1:19" x14ac:dyDescent="0.25">
      <c r="A114" s="38">
        <f>Données!A114</f>
        <v>5589</v>
      </c>
      <c r="B114" s="142" t="str">
        <f>Données!B114</f>
        <v>Prilly</v>
      </c>
      <c r="C114" s="266">
        <f>VPI!R114</f>
        <v>450278.56075331569</v>
      </c>
      <c r="D114" s="397">
        <f>+Données!AP114</f>
        <v>2.641308766660079</v>
      </c>
      <c r="E114" s="314">
        <f>VPI!Q114</f>
        <v>72.5</v>
      </c>
      <c r="F114" s="176">
        <f t="shared" si="5"/>
        <v>69.858691233339925</v>
      </c>
      <c r="G114" s="173">
        <f>Effort!I114+Aide!I114/Taux!C114+Effort!K114/Taux!C114</f>
        <v>6.2743077315494986</v>
      </c>
      <c r="H114" s="82">
        <f t="shared" si="6"/>
        <v>76.132998964889424</v>
      </c>
      <c r="I114" s="159">
        <f t="shared" si="7"/>
        <v>0</v>
      </c>
      <c r="J114" s="633">
        <f t="shared" si="8"/>
        <v>0</v>
      </c>
      <c r="K114" s="636">
        <f t="shared" si="9"/>
        <v>0</v>
      </c>
      <c r="L114" s="5"/>
      <c r="M114" s="10"/>
      <c r="N114" s="11"/>
      <c r="S114" s="11"/>
    </row>
    <row r="115" spans="1:19" x14ac:dyDescent="0.25">
      <c r="A115" s="38">
        <f>Données!A115</f>
        <v>5590</v>
      </c>
      <c r="B115" s="142" t="str">
        <f>Données!B115</f>
        <v>Pully</v>
      </c>
      <c r="C115" s="266">
        <f>VPI!R115</f>
        <v>1605465.5341920371</v>
      </c>
      <c r="D115" s="397">
        <f>+Données!AP115</f>
        <v>25.930333698814831</v>
      </c>
      <c r="E115" s="314">
        <f>VPI!Q115</f>
        <v>61</v>
      </c>
      <c r="F115" s="176">
        <f t="shared" si="5"/>
        <v>35.069666301185165</v>
      </c>
      <c r="G115" s="173">
        <f>Effort!I115+Aide!I115/Taux!C115+Effort!K115/Taux!C115</f>
        <v>28.792754379487818</v>
      </c>
      <c r="H115" s="82">
        <f t="shared" si="6"/>
        <v>63.862420680672983</v>
      </c>
      <c r="I115" s="159">
        <f t="shared" si="7"/>
        <v>0</v>
      </c>
      <c r="J115" s="633">
        <f t="shared" si="8"/>
        <v>0</v>
      </c>
      <c r="K115" s="636">
        <f t="shared" si="9"/>
        <v>0</v>
      </c>
      <c r="L115" s="5"/>
      <c r="M115" s="10"/>
      <c r="N115" s="11"/>
      <c r="S115" s="11"/>
    </row>
    <row r="116" spans="1:19" x14ac:dyDescent="0.25">
      <c r="A116" s="38">
        <f>Données!A116</f>
        <v>5591</v>
      </c>
      <c r="B116" s="142" t="str">
        <f>Données!B116</f>
        <v>Renens</v>
      </c>
      <c r="C116" s="266">
        <f>VPI!R116</f>
        <v>640589.63196660485</v>
      </c>
      <c r="D116" s="397">
        <f>+Données!AP116</f>
        <v>-12.972254796124142</v>
      </c>
      <c r="E116" s="314">
        <f>VPI!Q116</f>
        <v>77</v>
      </c>
      <c r="F116" s="176">
        <f t="shared" si="5"/>
        <v>89.972254796124147</v>
      </c>
      <c r="G116" s="173">
        <f>Effort!I116+Aide!I116/Taux!C116+Effort!K116/Taux!C116</f>
        <v>-11.923790707412575</v>
      </c>
      <c r="H116" s="82">
        <f t="shared" si="6"/>
        <v>78.048464088711569</v>
      </c>
      <c r="I116" s="159">
        <f t="shared" si="7"/>
        <v>0</v>
      </c>
      <c r="J116" s="633">
        <f t="shared" si="8"/>
        <v>0</v>
      </c>
      <c r="K116" s="636">
        <f t="shared" si="9"/>
        <v>0</v>
      </c>
      <c r="L116" s="5"/>
      <c r="M116" s="10"/>
      <c r="N116" s="11"/>
      <c r="S116" s="11"/>
    </row>
    <row r="117" spans="1:19" x14ac:dyDescent="0.25">
      <c r="A117" s="38">
        <f>Données!A117</f>
        <v>5592</v>
      </c>
      <c r="B117" s="142" t="str">
        <f>Données!B117</f>
        <v>Romanel-sur-Lausanne</v>
      </c>
      <c r="C117" s="266">
        <f>VPI!R117</f>
        <v>135992.91645390069</v>
      </c>
      <c r="D117" s="397">
        <f>+Données!AP117</f>
        <v>7.3296023541040771</v>
      </c>
      <c r="E117" s="314">
        <f>VPI!Q117</f>
        <v>70.5</v>
      </c>
      <c r="F117" s="176">
        <f t="shared" si="5"/>
        <v>63.170397645895925</v>
      </c>
      <c r="G117" s="173">
        <f>Effort!I117+Aide!I117/Taux!C117+Effort!K117/Taux!C117</f>
        <v>11.61321065426719</v>
      </c>
      <c r="H117" s="82">
        <f t="shared" si="6"/>
        <v>74.78360830016311</v>
      </c>
      <c r="I117" s="159">
        <f t="shared" si="7"/>
        <v>0</v>
      </c>
      <c r="J117" s="633">
        <f t="shared" si="8"/>
        <v>0</v>
      </c>
      <c r="K117" s="636">
        <f t="shared" si="9"/>
        <v>0</v>
      </c>
      <c r="L117" s="5"/>
      <c r="M117" s="10"/>
      <c r="N117" s="11"/>
      <c r="S117" s="11"/>
    </row>
    <row r="118" spans="1:19" x14ac:dyDescent="0.25">
      <c r="A118" s="38">
        <f>Données!A118</f>
        <v>5601</v>
      </c>
      <c r="B118" s="142" t="str">
        <f>Données!B118</f>
        <v>Chexbres</v>
      </c>
      <c r="C118" s="266">
        <f>VPI!R118</f>
        <v>102021.70311111111</v>
      </c>
      <c r="D118" s="397">
        <f>+Données!AP118</f>
        <v>25.31622882504039</v>
      </c>
      <c r="E118" s="314">
        <f>VPI!Q118</f>
        <v>67.5</v>
      </c>
      <c r="F118" s="176">
        <f t="shared" si="5"/>
        <v>42.18377117495961</v>
      </c>
      <c r="G118" s="173">
        <f>Effort!I118+Aide!I118/Taux!C118+Effort!K118/Taux!C118</f>
        <v>23.586695241959688</v>
      </c>
      <c r="H118" s="82">
        <f t="shared" si="6"/>
        <v>65.770466416919305</v>
      </c>
      <c r="I118" s="159">
        <f t="shared" si="7"/>
        <v>0</v>
      </c>
      <c r="J118" s="633">
        <f t="shared" si="8"/>
        <v>0</v>
      </c>
      <c r="K118" s="636">
        <f t="shared" si="9"/>
        <v>0</v>
      </c>
      <c r="L118" s="5"/>
      <c r="M118" s="10"/>
      <c r="N118" s="11"/>
      <c r="S118" s="11"/>
    </row>
    <row r="119" spans="1:19" x14ac:dyDescent="0.25">
      <c r="A119" s="38">
        <f>Données!A119</f>
        <v>5604</v>
      </c>
      <c r="B119" s="142" t="str">
        <f>Données!B119</f>
        <v>Forel (Lavaux)</v>
      </c>
      <c r="C119" s="266">
        <f>VPI!R119</f>
        <v>75702.239275362328</v>
      </c>
      <c r="D119" s="397">
        <f>+Données!AP119</f>
        <v>15.688114675342243</v>
      </c>
      <c r="E119" s="314">
        <f>VPI!Q119</f>
        <v>69</v>
      </c>
      <c r="F119" s="176">
        <f t="shared" si="5"/>
        <v>53.311885324657759</v>
      </c>
      <c r="G119" s="173">
        <f>Effort!I119+Aide!I119/Taux!C119+Effort!K119/Taux!C119</f>
        <v>17.185354836671927</v>
      </c>
      <c r="H119" s="82">
        <f t="shared" si="6"/>
        <v>70.497240161329685</v>
      </c>
      <c r="I119" s="159">
        <f t="shared" si="7"/>
        <v>0</v>
      </c>
      <c r="J119" s="633">
        <f t="shared" si="8"/>
        <v>0</v>
      </c>
      <c r="K119" s="636">
        <f t="shared" si="9"/>
        <v>0</v>
      </c>
      <c r="L119" s="5"/>
      <c r="M119" s="10"/>
      <c r="N119" s="11"/>
      <c r="S119" s="11"/>
    </row>
    <row r="120" spans="1:19" x14ac:dyDescent="0.25">
      <c r="A120" s="38">
        <f>Données!A120</f>
        <v>5606</v>
      </c>
      <c r="B120" s="142" t="str">
        <f>Données!B120</f>
        <v>Lutry</v>
      </c>
      <c r="C120" s="266">
        <f>VPI!R120</f>
        <v>997292.15626984113</v>
      </c>
      <c r="D120" s="397">
        <f>+Données!AP120</f>
        <v>37.439728651455148</v>
      </c>
      <c r="E120" s="314">
        <f>VPI!Q120</f>
        <v>54</v>
      </c>
      <c r="F120" s="176">
        <f t="shared" si="5"/>
        <v>16.560271348544852</v>
      </c>
      <c r="G120" s="173">
        <f>Effort!I120+Aide!I120/Taux!C120+Effort!K120/Taux!C120</f>
        <v>32.735325938335322</v>
      </c>
      <c r="H120" s="82">
        <f t="shared" si="6"/>
        <v>49.295597286880174</v>
      </c>
      <c r="I120" s="159">
        <f t="shared" si="7"/>
        <v>0</v>
      </c>
      <c r="J120" s="633">
        <f t="shared" si="8"/>
        <v>0</v>
      </c>
      <c r="K120" s="636">
        <f t="shared" si="9"/>
        <v>0</v>
      </c>
      <c r="L120" s="5"/>
      <c r="M120" s="10"/>
      <c r="N120" s="11"/>
      <c r="S120" s="11"/>
    </row>
    <row r="121" spans="1:19" x14ac:dyDescent="0.25">
      <c r="A121" s="38">
        <f>Données!A121</f>
        <v>5607</v>
      </c>
      <c r="B121" s="142" t="str">
        <f>Données!B121</f>
        <v>Puidoux</v>
      </c>
      <c r="C121" s="266">
        <f>VPI!R121</f>
        <v>134658.72766105999</v>
      </c>
      <c r="D121" s="397">
        <f>+Données!AP121</f>
        <v>19.169989434320737</v>
      </c>
      <c r="E121" s="314">
        <f>VPI!Q121</f>
        <v>68.5</v>
      </c>
      <c r="F121" s="176">
        <f t="shared" si="5"/>
        <v>49.33001056567926</v>
      </c>
      <c r="G121" s="173">
        <f>Effort!I121+Aide!I121/Taux!C121+Effort!K121/Taux!C121</f>
        <v>22.308295883320433</v>
      </c>
      <c r="H121" s="82">
        <f t="shared" si="6"/>
        <v>71.638306448999685</v>
      </c>
      <c r="I121" s="159">
        <f t="shared" si="7"/>
        <v>0</v>
      </c>
      <c r="J121" s="633">
        <f t="shared" si="8"/>
        <v>0</v>
      </c>
      <c r="K121" s="636">
        <f t="shared" si="9"/>
        <v>0</v>
      </c>
      <c r="L121" s="5"/>
      <c r="M121" s="10"/>
      <c r="N121" s="11"/>
      <c r="S121" s="11"/>
    </row>
    <row r="122" spans="1:19" x14ac:dyDescent="0.25">
      <c r="A122" s="38">
        <f>Données!A122</f>
        <v>5609</v>
      </c>
      <c r="B122" s="142" t="str">
        <f>Données!B122</f>
        <v>Rivaz</v>
      </c>
      <c r="C122" s="266">
        <f>VPI!R122</f>
        <v>13979.892580645163</v>
      </c>
      <c r="D122" s="397">
        <f>+Données!AP122</f>
        <v>26.711092197325819</v>
      </c>
      <c r="E122" s="314">
        <f>VPI!Q122</f>
        <v>62</v>
      </c>
      <c r="F122" s="176">
        <f t="shared" si="5"/>
        <v>35.288907802674181</v>
      </c>
      <c r="G122" s="173">
        <f>Effort!I122+Aide!I122/Taux!C122+Effort!K122/Taux!C122</f>
        <v>25.362611749128746</v>
      </c>
      <c r="H122" s="82">
        <f t="shared" si="6"/>
        <v>60.651519551802927</v>
      </c>
      <c r="I122" s="159">
        <f t="shared" si="7"/>
        <v>0</v>
      </c>
      <c r="J122" s="633">
        <f t="shared" si="8"/>
        <v>0</v>
      </c>
      <c r="K122" s="636">
        <f t="shared" si="9"/>
        <v>0</v>
      </c>
      <c r="L122" s="5"/>
      <c r="M122" s="10"/>
      <c r="N122" s="11"/>
      <c r="S122" s="11"/>
    </row>
    <row r="123" spans="1:19" x14ac:dyDescent="0.25">
      <c r="A123" s="38">
        <f>Données!A123</f>
        <v>5610</v>
      </c>
      <c r="B123" s="142" t="str">
        <f>Données!B123</f>
        <v>St-Saphorin (Lavaux)</v>
      </c>
      <c r="C123" s="266">
        <f>VPI!R123</f>
        <v>19286.757384259257</v>
      </c>
      <c r="D123" s="397">
        <f>+Données!AP123</f>
        <v>29.58728808069289</v>
      </c>
      <c r="E123" s="314">
        <f>VPI!Q123</f>
        <v>72</v>
      </c>
      <c r="F123" s="176">
        <f t="shared" si="5"/>
        <v>42.412711919307114</v>
      </c>
      <c r="G123" s="173">
        <f>Effort!I123+Aide!I123/Taux!C123+Effort!K123/Taux!C123</f>
        <v>28.060921560320121</v>
      </c>
      <c r="H123" s="82">
        <f t="shared" si="6"/>
        <v>70.473633479627239</v>
      </c>
      <c r="I123" s="159">
        <f t="shared" si="7"/>
        <v>0</v>
      </c>
      <c r="J123" s="633">
        <f t="shared" si="8"/>
        <v>0</v>
      </c>
      <c r="K123" s="636">
        <f t="shared" si="9"/>
        <v>0</v>
      </c>
      <c r="L123" s="5"/>
      <c r="M123" s="10"/>
      <c r="N123" s="11"/>
      <c r="S123" s="11"/>
    </row>
    <row r="124" spans="1:19" x14ac:dyDescent="0.25">
      <c r="A124" s="38">
        <f>Données!A124</f>
        <v>5611</v>
      </c>
      <c r="B124" s="142" t="str">
        <f>Données!B124</f>
        <v>Savigny</v>
      </c>
      <c r="C124" s="266">
        <f>VPI!R124</f>
        <v>143902.95567632848</v>
      </c>
      <c r="D124" s="397">
        <f>+Données!AP124</f>
        <v>19.552240447261376</v>
      </c>
      <c r="E124" s="314">
        <f>VPI!Q124</f>
        <v>69</v>
      </c>
      <c r="F124" s="176">
        <f t="shared" si="5"/>
        <v>49.447759552738624</v>
      </c>
      <c r="G124" s="173">
        <f>Effort!I124+Aide!I124/Taux!C124+Effort!K124/Taux!C124</f>
        <v>19.607350167848235</v>
      </c>
      <c r="H124" s="82">
        <f t="shared" si="6"/>
        <v>69.055109720586856</v>
      </c>
      <c r="I124" s="159">
        <f t="shared" si="7"/>
        <v>0</v>
      </c>
      <c r="J124" s="633">
        <f t="shared" si="8"/>
        <v>0</v>
      </c>
      <c r="K124" s="636">
        <f t="shared" si="9"/>
        <v>0</v>
      </c>
      <c r="L124" s="5"/>
      <c r="M124" s="10"/>
      <c r="N124" s="11"/>
      <c r="S124" s="11"/>
    </row>
    <row r="125" spans="1:19" x14ac:dyDescent="0.25">
      <c r="A125" s="38">
        <f>Données!A125</f>
        <v>5613</v>
      </c>
      <c r="B125" s="142" t="str">
        <f>Données!B125</f>
        <v>Bourg-en-Lavaux</v>
      </c>
      <c r="C125" s="266">
        <f>VPI!R125</f>
        <v>363833.56800000003</v>
      </c>
      <c r="D125" s="397">
        <f>+Données!AP125</f>
        <v>29.513141729454865</v>
      </c>
      <c r="E125" s="314">
        <f>VPI!Q125</f>
        <v>62.5</v>
      </c>
      <c r="F125" s="176">
        <f t="shared" si="5"/>
        <v>32.986858270545135</v>
      </c>
      <c r="G125" s="173">
        <f>Effort!I125+Aide!I125/Taux!C125+Effort!K125/Taux!C125</f>
        <v>28.839758681989821</v>
      </c>
      <c r="H125" s="82">
        <f t="shared" si="6"/>
        <v>61.826616952534955</v>
      </c>
      <c r="I125" s="159">
        <f t="shared" si="7"/>
        <v>0</v>
      </c>
      <c r="J125" s="633">
        <f t="shared" si="8"/>
        <v>0</v>
      </c>
      <c r="K125" s="636">
        <f t="shared" si="9"/>
        <v>0</v>
      </c>
      <c r="L125" s="5"/>
      <c r="M125" s="10"/>
      <c r="N125" s="11"/>
      <c r="S125" s="11"/>
    </row>
    <row r="126" spans="1:19" x14ac:dyDescent="0.25">
      <c r="A126" s="38">
        <f>Données!A126</f>
        <v>5621</v>
      </c>
      <c r="B126" s="142" t="str">
        <f>Données!B126</f>
        <v>Aclens</v>
      </c>
      <c r="C126" s="266">
        <f>VPI!R126</f>
        <v>33787.730043988267</v>
      </c>
      <c r="D126" s="397">
        <f>+Données!AP126</f>
        <v>33.879483037069917</v>
      </c>
      <c r="E126" s="314">
        <f>VPI!Q126</f>
        <v>62</v>
      </c>
      <c r="F126" s="176">
        <f t="shared" si="5"/>
        <v>28.120516962930083</v>
      </c>
      <c r="G126" s="173">
        <f>Effort!I126+Aide!I126/Taux!C126+Effort!K126/Taux!C126</f>
        <v>30.440327589167602</v>
      </c>
      <c r="H126" s="82">
        <f t="shared" si="6"/>
        <v>58.560844552097684</v>
      </c>
      <c r="I126" s="159">
        <f t="shared" si="7"/>
        <v>0</v>
      </c>
      <c r="J126" s="633">
        <f t="shared" si="8"/>
        <v>0</v>
      </c>
      <c r="K126" s="636">
        <f t="shared" si="9"/>
        <v>0</v>
      </c>
      <c r="L126" s="5"/>
      <c r="M126" s="10"/>
      <c r="N126" s="11"/>
      <c r="S126" s="11"/>
    </row>
    <row r="127" spans="1:19" x14ac:dyDescent="0.25">
      <c r="A127" s="38">
        <f>Données!A127</f>
        <v>5622</v>
      </c>
      <c r="B127" s="142" t="str">
        <f>Données!B127</f>
        <v>Bremblens</v>
      </c>
      <c r="C127" s="266">
        <f>VPI!R127</f>
        <v>29905.330441176469</v>
      </c>
      <c r="D127" s="397">
        <f>+Données!AP127</f>
        <v>28.944995059568772</v>
      </c>
      <c r="E127" s="314">
        <f>VPI!Q127</f>
        <v>68</v>
      </c>
      <c r="F127" s="176">
        <f t="shared" si="5"/>
        <v>39.055004940431232</v>
      </c>
      <c r="G127" s="173">
        <f>Effort!I127+Aide!I127/Taux!C127+Effort!K127/Taux!C127</f>
        <v>27.796928167410428</v>
      </c>
      <c r="H127" s="82">
        <f t="shared" si="6"/>
        <v>66.85193310784166</v>
      </c>
      <c r="I127" s="159">
        <f t="shared" si="7"/>
        <v>0</v>
      </c>
      <c r="J127" s="633">
        <f t="shared" si="8"/>
        <v>0</v>
      </c>
      <c r="K127" s="636">
        <f t="shared" si="9"/>
        <v>0</v>
      </c>
      <c r="L127" s="5"/>
      <c r="M127" s="10"/>
      <c r="N127" s="11"/>
      <c r="S127" s="11"/>
    </row>
    <row r="128" spans="1:19" x14ac:dyDescent="0.25">
      <c r="A128" s="38">
        <f>Données!A128</f>
        <v>5623</v>
      </c>
      <c r="B128" s="142" t="str">
        <f>Données!B128</f>
        <v>Buchillon</v>
      </c>
      <c r="C128" s="266">
        <f>VPI!R128</f>
        <v>94247.214615384597</v>
      </c>
      <c r="D128" s="397">
        <f>+Données!AP128</f>
        <v>42.9994402979002</v>
      </c>
      <c r="E128" s="314">
        <f>VPI!Q128</f>
        <v>52</v>
      </c>
      <c r="F128" s="176">
        <f t="shared" si="5"/>
        <v>9.0005597020997996</v>
      </c>
      <c r="G128" s="173">
        <f>Effort!I128+Aide!I128/Taux!C128+Effort!K128/Taux!C128</f>
        <v>43.25881160296592</v>
      </c>
      <c r="H128" s="82">
        <f t="shared" si="6"/>
        <v>52.25937130506572</v>
      </c>
      <c r="I128" s="159">
        <f t="shared" si="7"/>
        <v>0</v>
      </c>
      <c r="J128" s="633">
        <f t="shared" si="8"/>
        <v>0</v>
      </c>
      <c r="K128" s="636">
        <f t="shared" si="9"/>
        <v>0</v>
      </c>
      <c r="L128" s="5"/>
      <c r="M128" s="10"/>
      <c r="N128" s="11"/>
      <c r="S128" s="11"/>
    </row>
    <row r="129" spans="1:19" x14ac:dyDescent="0.25">
      <c r="A129" s="38">
        <f>Données!A129</f>
        <v>5624</v>
      </c>
      <c r="B129" s="142" t="str">
        <f>Données!B129</f>
        <v>Bussigny</v>
      </c>
      <c r="C129" s="266">
        <f>VPI!R129</f>
        <v>412146.03071999998</v>
      </c>
      <c r="D129" s="397">
        <f>+Données!AP129</f>
        <v>20.538265730546637</v>
      </c>
      <c r="E129" s="314">
        <f>VPI!Q129</f>
        <v>62.5</v>
      </c>
      <c r="F129" s="176">
        <f t="shared" si="5"/>
        <v>41.961734269453359</v>
      </c>
      <c r="G129" s="173">
        <f>Effort!I129+Aide!I129/Taux!C129+Effort!K129/Taux!C129</f>
        <v>12.130596128232257</v>
      </c>
      <c r="H129" s="82">
        <f t="shared" si="6"/>
        <v>54.092330397685615</v>
      </c>
      <c r="I129" s="159">
        <f t="shared" si="7"/>
        <v>0</v>
      </c>
      <c r="J129" s="633">
        <f t="shared" si="8"/>
        <v>0</v>
      </c>
      <c r="K129" s="636">
        <f t="shared" si="9"/>
        <v>0</v>
      </c>
      <c r="L129" s="5"/>
      <c r="M129" s="10"/>
      <c r="N129" s="11"/>
      <c r="S129" s="11"/>
    </row>
    <row r="130" spans="1:19" x14ac:dyDescent="0.25">
      <c r="A130" s="38">
        <f>Données!A130</f>
        <v>5627</v>
      </c>
      <c r="B130" s="142" t="str">
        <f>Données!B130</f>
        <v>Chavannes-près-Renens</v>
      </c>
      <c r="C130" s="266">
        <f>VPI!R130</f>
        <v>197756.36438709678</v>
      </c>
      <c r="D130" s="397">
        <f>+Données!AP130</f>
        <v>-13.259536208510648</v>
      </c>
      <c r="E130" s="314">
        <f>VPI!Q130</f>
        <v>77.5</v>
      </c>
      <c r="F130" s="176">
        <f t="shared" si="5"/>
        <v>90.759536208510653</v>
      </c>
      <c r="G130" s="173">
        <f>Effort!I130+Aide!I130/Taux!C130+Effort!K130/Taux!C130</f>
        <v>-10.460074529119643</v>
      </c>
      <c r="H130" s="82">
        <f t="shared" si="6"/>
        <v>80.299461679391015</v>
      </c>
      <c r="I130" s="159">
        <f t="shared" si="7"/>
        <v>0</v>
      </c>
      <c r="J130" s="633">
        <f t="shared" si="8"/>
        <v>0</v>
      </c>
      <c r="K130" s="636">
        <f t="shared" si="9"/>
        <v>0</v>
      </c>
      <c r="L130" s="5"/>
      <c r="M130" s="10"/>
      <c r="N130" s="11"/>
      <c r="S130" s="11"/>
    </row>
    <row r="131" spans="1:19" x14ac:dyDescent="0.25">
      <c r="A131" s="38">
        <f>Données!A131</f>
        <v>5628</v>
      </c>
      <c r="B131" s="142" t="str">
        <f>Données!B131</f>
        <v>Chigny</v>
      </c>
      <c r="C131" s="266">
        <f>VPI!R131</f>
        <v>29701.321935483869</v>
      </c>
      <c r="D131" s="397">
        <f>+Données!AP131</f>
        <v>32.834550525635485</v>
      </c>
      <c r="E131" s="314">
        <f>VPI!Q131</f>
        <v>62</v>
      </c>
      <c r="F131" s="176">
        <f t="shared" si="5"/>
        <v>29.165449474364515</v>
      </c>
      <c r="G131" s="173">
        <f>Effort!I131+Aide!I131/Taux!C131+Effort!K131/Taux!C131</f>
        <v>33.57000434477311</v>
      </c>
      <c r="H131" s="82">
        <f t="shared" si="6"/>
        <v>62.735453819137625</v>
      </c>
      <c r="I131" s="159">
        <f t="shared" si="7"/>
        <v>0</v>
      </c>
      <c r="J131" s="633">
        <f t="shared" si="8"/>
        <v>0</v>
      </c>
      <c r="K131" s="636">
        <f t="shared" si="9"/>
        <v>0</v>
      </c>
      <c r="L131" s="5"/>
      <c r="M131" s="10"/>
      <c r="N131" s="11"/>
      <c r="S131" s="11"/>
    </row>
    <row r="132" spans="1:19" x14ac:dyDescent="0.25">
      <c r="A132" s="38">
        <f>Données!A132</f>
        <v>5629</v>
      </c>
      <c r="B132" s="142" t="str">
        <f>Données!B132</f>
        <v>Clarmont</v>
      </c>
      <c r="C132" s="266">
        <f>VPI!R132</f>
        <v>11214.945694444446</v>
      </c>
      <c r="D132" s="397">
        <f>+Données!AP132</f>
        <v>27.270505252024943</v>
      </c>
      <c r="E132" s="314">
        <f>VPI!Q132</f>
        <v>72</v>
      </c>
      <c r="F132" s="176">
        <f t="shared" si="5"/>
        <v>44.729494747975053</v>
      </c>
      <c r="G132" s="173">
        <f>Effort!I132+Aide!I132/Taux!C132+Effort!K132/Taux!C132</f>
        <v>28.70657516261441</v>
      </c>
      <c r="H132" s="82">
        <f t="shared" si="6"/>
        <v>73.436069910589467</v>
      </c>
      <c r="I132" s="159">
        <f t="shared" si="7"/>
        <v>0</v>
      </c>
      <c r="J132" s="633">
        <f t="shared" si="8"/>
        <v>0</v>
      </c>
      <c r="K132" s="636">
        <f t="shared" si="9"/>
        <v>0</v>
      </c>
      <c r="L132" s="5"/>
      <c r="M132" s="10"/>
      <c r="N132" s="11"/>
      <c r="S132" s="11"/>
    </row>
    <row r="133" spans="1:19" x14ac:dyDescent="0.25">
      <c r="A133" s="38">
        <f>Données!A133</f>
        <v>5631</v>
      </c>
      <c r="B133" s="142" t="str">
        <f>Données!B133</f>
        <v>Denens</v>
      </c>
      <c r="C133" s="266">
        <f>VPI!R133</f>
        <v>47500.25692307693</v>
      </c>
      <c r="D133" s="397">
        <f>+Données!AP133</f>
        <v>30.876343488098705</v>
      </c>
      <c r="E133" s="314">
        <f>VPI!Q133</f>
        <v>65</v>
      </c>
      <c r="F133" s="176">
        <f t="shared" si="5"/>
        <v>34.123656511901295</v>
      </c>
      <c r="G133" s="173">
        <f>Effort!I133+Aide!I133/Taux!C133+Effort!K133/Taux!C133</f>
        <v>32.156606129281371</v>
      </c>
      <c r="H133" s="82">
        <f t="shared" si="6"/>
        <v>66.280262641182674</v>
      </c>
      <c r="I133" s="159">
        <f t="shared" si="7"/>
        <v>0</v>
      </c>
      <c r="J133" s="633">
        <f t="shared" si="8"/>
        <v>0</v>
      </c>
      <c r="K133" s="636">
        <f t="shared" si="9"/>
        <v>0</v>
      </c>
      <c r="L133" s="5"/>
      <c r="M133" s="10"/>
      <c r="N133" s="11"/>
      <c r="S133" s="11"/>
    </row>
    <row r="134" spans="1:19" x14ac:dyDescent="0.25">
      <c r="A134" s="38">
        <f>Données!A134</f>
        <v>5632</v>
      </c>
      <c r="B134" s="142" t="str">
        <f>Données!B134</f>
        <v>Denges</v>
      </c>
      <c r="C134" s="266">
        <f>VPI!R134</f>
        <v>89815.216612903241</v>
      </c>
      <c r="D134" s="397">
        <f>+Données!AP134</f>
        <v>24.898941948876917</v>
      </c>
      <c r="E134" s="314">
        <f>VPI!Q134</f>
        <v>62</v>
      </c>
      <c r="F134" s="176">
        <f t="shared" si="5"/>
        <v>37.101058051123083</v>
      </c>
      <c r="G134" s="173">
        <f>Effort!I134+Aide!I134/Taux!C134+Effort!K134/Taux!C134</f>
        <v>25.915430151030343</v>
      </c>
      <c r="H134" s="82">
        <f t="shared" si="6"/>
        <v>63.016488202153425</v>
      </c>
      <c r="I134" s="159">
        <f t="shared" si="7"/>
        <v>0</v>
      </c>
      <c r="J134" s="633">
        <f t="shared" si="8"/>
        <v>0</v>
      </c>
      <c r="K134" s="636">
        <f t="shared" si="9"/>
        <v>0</v>
      </c>
      <c r="L134" s="5"/>
      <c r="M134" s="10"/>
      <c r="N134" s="11"/>
      <c r="S134" s="11"/>
    </row>
    <row r="135" spans="1:19" x14ac:dyDescent="0.25">
      <c r="A135" s="38">
        <f>Données!A135</f>
        <v>5633</v>
      </c>
      <c r="B135" s="142" t="str">
        <f>Données!B135</f>
        <v>Echandens</v>
      </c>
      <c r="C135" s="266">
        <f>VPI!R135</f>
        <v>146616.96727272726</v>
      </c>
      <c r="D135" s="397">
        <f>+Données!AP135</f>
        <v>26.139340208247781</v>
      </c>
      <c r="E135" s="314">
        <f>VPI!Q135</f>
        <v>60.5</v>
      </c>
      <c r="F135" s="176">
        <f t="shared" ref="F135:F198" si="10">E135-D135</f>
        <v>34.360659791752219</v>
      </c>
      <c r="G135" s="173">
        <f>Effort!I135+Aide!I135/Taux!C135+Effort!K135/Taux!C135</f>
        <v>25.318790778261736</v>
      </c>
      <c r="H135" s="82">
        <f t="shared" ref="H135:H198" si="11">F135+G135</f>
        <v>59.679450570013955</v>
      </c>
      <c r="I135" s="159">
        <f t="shared" ref="I135:I198" si="12">IF(H135&gt;$I$5,H135-$I$5,0)</f>
        <v>0</v>
      </c>
      <c r="J135" s="633">
        <f t="shared" ref="J135:J198" si="13">-I135*C135</f>
        <v>0</v>
      </c>
      <c r="K135" s="636">
        <f t="shared" ref="K135:K198" si="14">J135</f>
        <v>0</v>
      </c>
      <c r="L135" s="5"/>
      <c r="M135" s="10"/>
      <c r="N135" s="11"/>
      <c r="S135" s="11"/>
    </row>
    <row r="136" spans="1:19" x14ac:dyDescent="0.25">
      <c r="A136" s="38">
        <f>Données!A136</f>
        <v>5634</v>
      </c>
      <c r="B136" s="142" t="str">
        <f>Données!B136</f>
        <v>Echichens</v>
      </c>
      <c r="C136" s="266">
        <f>VPI!R136</f>
        <v>181424.03242424241</v>
      </c>
      <c r="D136" s="397">
        <f>+Données!AP136</f>
        <v>27.513515370306823</v>
      </c>
      <c r="E136" s="314">
        <f>VPI!Q136</f>
        <v>66</v>
      </c>
      <c r="F136" s="176">
        <f t="shared" si="10"/>
        <v>38.48648462969318</v>
      </c>
      <c r="G136" s="173">
        <f>Effort!I136+Aide!I136/Taux!C136+Effort!K136/Taux!C136</f>
        <v>27.233689911361083</v>
      </c>
      <c r="H136" s="82">
        <f t="shared" si="11"/>
        <v>65.720174541054263</v>
      </c>
      <c r="I136" s="159">
        <f t="shared" si="12"/>
        <v>0</v>
      </c>
      <c r="J136" s="633">
        <f t="shared" si="13"/>
        <v>0</v>
      </c>
      <c r="K136" s="636">
        <f t="shared" si="14"/>
        <v>0</v>
      </c>
      <c r="L136" s="5"/>
      <c r="M136" s="10"/>
      <c r="N136" s="11"/>
      <c r="S136" s="11"/>
    </row>
    <row r="137" spans="1:19" x14ac:dyDescent="0.25">
      <c r="A137" s="38">
        <f>Données!A137</f>
        <v>5635</v>
      </c>
      <c r="B137" s="142" t="str">
        <f>Données!B137</f>
        <v>Ecublens</v>
      </c>
      <c r="C137" s="266">
        <f>VPI!R137</f>
        <v>505560.77512000001</v>
      </c>
      <c r="D137" s="397">
        <f>+Données!AP137</f>
        <v>11.334243809462643</v>
      </c>
      <c r="E137" s="314">
        <f>VPI!Q137</f>
        <v>62.5</v>
      </c>
      <c r="F137" s="176">
        <f t="shared" si="10"/>
        <v>51.165756190537358</v>
      </c>
      <c r="G137" s="173">
        <f>Effort!I137+Aide!I137/Taux!C137+Effort!K137/Taux!C137</f>
        <v>9.1950444522575481</v>
      </c>
      <c r="H137" s="82">
        <f t="shared" si="11"/>
        <v>60.360800642794906</v>
      </c>
      <c r="I137" s="159">
        <f t="shared" si="12"/>
        <v>0</v>
      </c>
      <c r="J137" s="633">
        <f t="shared" si="13"/>
        <v>0</v>
      </c>
      <c r="K137" s="636">
        <f t="shared" si="14"/>
        <v>0</v>
      </c>
      <c r="L137" s="5"/>
      <c r="M137" s="10"/>
      <c r="N137" s="11"/>
      <c r="S137" s="11"/>
    </row>
    <row r="138" spans="1:19" x14ac:dyDescent="0.25">
      <c r="A138" s="38">
        <f>Données!A138</f>
        <v>5636</v>
      </c>
      <c r="B138" s="142" t="str">
        <f>Données!B138</f>
        <v>Etoy</v>
      </c>
      <c r="C138" s="266">
        <f>VPI!R138</f>
        <v>236704.12550000002</v>
      </c>
      <c r="D138" s="397">
        <f>+Données!AP138</f>
        <v>29.967755684176353</v>
      </c>
      <c r="E138" s="314">
        <f>VPI!Q138</f>
        <v>60</v>
      </c>
      <c r="F138" s="176">
        <f t="shared" si="10"/>
        <v>30.032244315823647</v>
      </c>
      <c r="G138" s="173">
        <f>Effort!I138+Aide!I138/Taux!C138+Effort!K138/Taux!C138</f>
        <v>34.036782633252514</v>
      </c>
      <c r="H138" s="82">
        <f t="shared" si="11"/>
        <v>64.069026949076161</v>
      </c>
      <c r="I138" s="159">
        <f t="shared" si="12"/>
        <v>0</v>
      </c>
      <c r="J138" s="633">
        <f t="shared" si="13"/>
        <v>0</v>
      </c>
      <c r="K138" s="636">
        <f t="shared" si="14"/>
        <v>0</v>
      </c>
      <c r="L138" s="5"/>
      <c r="M138" s="10"/>
      <c r="N138" s="11"/>
      <c r="S138" s="11"/>
    </row>
    <row r="139" spans="1:19" x14ac:dyDescent="0.25">
      <c r="A139" s="38">
        <f>Données!A139</f>
        <v>5637</v>
      </c>
      <c r="B139" s="142" t="str">
        <f>Données!B139</f>
        <v>Lavigny</v>
      </c>
      <c r="C139" s="266">
        <f>VPI!R139</f>
        <v>38282.802876712332</v>
      </c>
      <c r="D139" s="397">
        <f>+Données!AP139</f>
        <v>18.615956169376492</v>
      </c>
      <c r="E139" s="314">
        <f>VPI!Q139</f>
        <v>73</v>
      </c>
      <c r="F139" s="176">
        <f t="shared" si="10"/>
        <v>54.384043830623511</v>
      </c>
      <c r="G139" s="173">
        <f>Effort!I139+Aide!I139/Taux!C139+Effort!K139/Taux!C139</f>
        <v>19.206944187134457</v>
      </c>
      <c r="H139" s="82">
        <f t="shared" si="11"/>
        <v>73.590988017757965</v>
      </c>
      <c r="I139" s="159">
        <f t="shared" si="12"/>
        <v>0</v>
      </c>
      <c r="J139" s="633">
        <f t="shared" si="13"/>
        <v>0</v>
      </c>
      <c r="K139" s="636">
        <f t="shared" si="14"/>
        <v>0</v>
      </c>
      <c r="L139" s="5"/>
      <c r="M139" s="10"/>
      <c r="N139" s="11"/>
      <c r="S139" s="11"/>
    </row>
    <row r="140" spans="1:19" x14ac:dyDescent="0.25">
      <c r="A140" s="38">
        <f>Données!A140</f>
        <v>5638</v>
      </c>
      <c r="B140" s="142" t="str">
        <f>Données!B140</f>
        <v>Lonay</v>
      </c>
      <c r="C140" s="266">
        <f>VPI!R140</f>
        <v>168507.09218181815</v>
      </c>
      <c r="D140" s="397">
        <f>+Données!AP140</f>
        <v>27.737744388108133</v>
      </c>
      <c r="E140" s="314">
        <f>VPI!Q140</f>
        <v>55</v>
      </c>
      <c r="F140" s="176">
        <f t="shared" si="10"/>
        <v>27.262255611891867</v>
      </c>
      <c r="G140" s="173">
        <f>Effort!I140+Aide!I140/Taux!C140+Effort!K140/Taux!C140</f>
        <v>28.895761061118581</v>
      </c>
      <c r="H140" s="82">
        <f t="shared" si="11"/>
        <v>56.158016673010451</v>
      </c>
      <c r="I140" s="159">
        <f t="shared" si="12"/>
        <v>0</v>
      </c>
      <c r="J140" s="633">
        <f t="shared" si="13"/>
        <v>0</v>
      </c>
      <c r="K140" s="636">
        <f t="shared" si="14"/>
        <v>0</v>
      </c>
      <c r="L140" s="5"/>
      <c r="M140" s="10"/>
      <c r="N140" s="11"/>
      <c r="S140" s="11"/>
    </row>
    <row r="141" spans="1:19" x14ac:dyDescent="0.25">
      <c r="A141" s="38">
        <f>Données!A141</f>
        <v>5639</v>
      </c>
      <c r="B141" s="142" t="str">
        <f>Données!B141</f>
        <v>Lully</v>
      </c>
      <c r="C141" s="266">
        <f>VPI!R141</f>
        <v>50946.176393442627</v>
      </c>
      <c r="D141" s="397">
        <f>+Données!AP141</f>
        <v>32.097024251248634</v>
      </c>
      <c r="E141" s="314">
        <f>VPI!Q141</f>
        <v>61</v>
      </c>
      <c r="F141" s="176">
        <f t="shared" si="10"/>
        <v>28.902975748751366</v>
      </c>
      <c r="G141" s="173">
        <f>Effort!I141+Aide!I141/Taux!C141+Effort!K141/Taux!C141</f>
        <v>31.145429137425438</v>
      </c>
      <c r="H141" s="82">
        <f t="shared" si="11"/>
        <v>60.048404886176804</v>
      </c>
      <c r="I141" s="159">
        <f t="shared" si="12"/>
        <v>0</v>
      </c>
      <c r="J141" s="633">
        <f t="shared" si="13"/>
        <v>0</v>
      </c>
      <c r="K141" s="636">
        <f t="shared" si="14"/>
        <v>0</v>
      </c>
      <c r="L141" s="5"/>
      <c r="M141" s="10"/>
      <c r="N141" s="11"/>
      <c r="S141" s="11"/>
    </row>
    <row r="142" spans="1:19" x14ac:dyDescent="0.25">
      <c r="A142" s="38">
        <f>Données!A142</f>
        <v>5640</v>
      </c>
      <c r="B142" s="142" t="str">
        <f>Données!B142</f>
        <v>Lussy-sur-Morges</v>
      </c>
      <c r="C142" s="266">
        <f>VPI!R142</f>
        <v>53692.239837398381</v>
      </c>
      <c r="D142" s="397">
        <f>+Données!AP142</f>
        <v>36.378430442182662</v>
      </c>
      <c r="E142" s="314">
        <f>VPI!Q142</f>
        <v>61.5</v>
      </c>
      <c r="F142" s="176">
        <f t="shared" si="10"/>
        <v>25.121569557817338</v>
      </c>
      <c r="G142" s="173">
        <f>Effort!I142+Aide!I142/Taux!C142+Effort!K142/Taux!C142</f>
        <v>34.167392922721184</v>
      </c>
      <c r="H142" s="82">
        <f t="shared" si="11"/>
        <v>59.288962480538522</v>
      </c>
      <c r="I142" s="159">
        <f t="shared" si="12"/>
        <v>0</v>
      </c>
      <c r="J142" s="633">
        <f t="shared" si="13"/>
        <v>0</v>
      </c>
      <c r="K142" s="636">
        <f t="shared" si="14"/>
        <v>0</v>
      </c>
      <c r="L142" s="5"/>
      <c r="M142" s="10"/>
      <c r="N142" s="11"/>
      <c r="S142" s="11"/>
    </row>
    <row r="143" spans="1:19" x14ac:dyDescent="0.25">
      <c r="A143" s="38">
        <f>Données!A143</f>
        <v>5642</v>
      </c>
      <c r="B143" s="142" t="str">
        <f>Données!B143</f>
        <v>Morges</v>
      </c>
      <c r="C143" s="266">
        <f>VPI!R143</f>
        <v>1132235.5279104479</v>
      </c>
      <c r="D143" s="397">
        <f>+Données!AP143</f>
        <v>19.477956855533495</v>
      </c>
      <c r="E143" s="314">
        <f>VPI!Q143</f>
        <v>67</v>
      </c>
      <c r="F143" s="176">
        <f t="shared" si="10"/>
        <v>47.522043144466508</v>
      </c>
      <c r="G143" s="173">
        <f>Effort!I143+Aide!I143/Taux!C143+Effort!K143/Taux!C143</f>
        <v>22.5071726755559</v>
      </c>
      <c r="H143" s="82">
        <f t="shared" si="11"/>
        <v>70.029215820022415</v>
      </c>
      <c r="I143" s="159">
        <f t="shared" si="12"/>
        <v>0</v>
      </c>
      <c r="J143" s="633">
        <f t="shared" si="13"/>
        <v>0</v>
      </c>
      <c r="K143" s="636">
        <f t="shared" si="14"/>
        <v>0</v>
      </c>
      <c r="L143" s="5"/>
      <c r="M143" s="10"/>
      <c r="N143" s="11"/>
      <c r="S143" s="11"/>
    </row>
    <row r="144" spans="1:19" x14ac:dyDescent="0.25">
      <c r="A144" s="38">
        <f>Données!A144</f>
        <v>5643</v>
      </c>
      <c r="B144" s="142" t="str">
        <f>Données!B144</f>
        <v>Préverenges</v>
      </c>
      <c r="C144" s="266">
        <f>VPI!R144</f>
        <v>249027.28047999999</v>
      </c>
      <c r="D144" s="397">
        <f>+Données!AP144</f>
        <v>22.821921368269738</v>
      </c>
      <c r="E144" s="314">
        <f>VPI!Q144</f>
        <v>62.5</v>
      </c>
      <c r="F144" s="176">
        <f t="shared" si="10"/>
        <v>39.678078631730259</v>
      </c>
      <c r="G144" s="173">
        <f>Effort!I144+Aide!I144/Taux!C144+Effort!K144/Taux!C144</f>
        <v>21.93949069474235</v>
      </c>
      <c r="H144" s="82">
        <f t="shared" si="11"/>
        <v>61.617569326472605</v>
      </c>
      <c r="I144" s="159">
        <f t="shared" si="12"/>
        <v>0</v>
      </c>
      <c r="J144" s="633">
        <f t="shared" si="13"/>
        <v>0</v>
      </c>
      <c r="K144" s="636">
        <f t="shared" si="14"/>
        <v>0</v>
      </c>
      <c r="L144" s="5"/>
      <c r="M144" s="10"/>
      <c r="N144" s="11"/>
      <c r="S144" s="11"/>
    </row>
    <row r="145" spans="1:19" x14ac:dyDescent="0.25">
      <c r="A145" s="38">
        <f>Données!A145</f>
        <v>5645</v>
      </c>
      <c r="B145" s="142" t="str">
        <f>Données!B145</f>
        <v>Romanel-sur-Morges</v>
      </c>
      <c r="C145" s="266">
        <f>VPI!R145</f>
        <v>27135.573571428577</v>
      </c>
      <c r="D145" s="397">
        <f>+Données!AP145</f>
        <v>29.029348948259145</v>
      </c>
      <c r="E145" s="314">
        <f>VPI!Q145</f>
        <v>56</v>
      </c>
      <c r="F145" s="176">
        <f t="shared" si="10"/>
        <v>26.970651051740855</v>
      </c>
      <c r="G145" s="173">
        <f>Effort!I145+Aide!I145/Taux!C145+Effort!K145/Taux!C145</f>
        <v>30.311253923559207</v>
      </c>
      <c r="H145" s="82">
        <f t="shared" si="11"/>
        <v>57.281904975300066</v>
      </c>
      <c r="I145" s="159">
        <f t="shared" si="12"/>
        <v>0</v>
      </c>
      <c r="J145" s="633">
        <f t="shared" si="13"/>
        <v>0</v>
      </c>
      <c r="K145" s="636">
        <f t="shared" si="14"/>
        <v>0</v>
      </c>
      <c r="L145" s="5"/>
      <c r="M145" s="10"/>
      <c r="N145" s="11"/>
      <c r="S145" s="11"/>
    </row>
    <row r="146" spans="1:19" x14ac:dyDescent="0.25">
      <c r="A146" s="38">
        <f>Données!A146</f>
        <v>5646</v>
      </c>
      <c r="B146" s="142" t="str">
        <f>Données!B146</f>
        <v>Saint-Prex</v>
      </c>
      <c r="C146" s="266">
        <f>VPI!R146</f>
        <v>525095.71629943512</v>
      </c>
      <c r="D146" s="397">
        <f>+Données!AP146</f>
        <v>34.351540472212001</v>
      </c>
      <c r="E146" s="314">
        <f>VPI!Q146</f>
        <v>59</v>
      </c>
      <c r="F146" s="176">
        <f t="shared" si="10"/>
        <v>24.648459527787999</v>
      </c>
      <c r="G146" s="173">
        <f>Effort!I146+Aide!I146/Taux!C146+Effort!K146/Taux!C146</f>
        <v>34.212656050522838</v>
      </c>
      <c r="H146" s="82">
        <f t="shared" si="11"/>
        <v>58.861115578310837</v>
      </c>
      <c r="I146" s="159">
        <f t="shared" si="12"/>
        <v>0</v>
      </c>
      <c r="J146" s="633">
        <f t="shared" si="13"/>
        <v>0</v>
      </c>
      <c r="K146" s="636">
        <f t="shared" si="14"/>
        <v>0</v>
      </c>
      <c r="L146" s="5"/>
      <c r="M146" s="10"/>
      <c r="N146" s="11"/>
      <c r="S146" s="11"/>
    </row>
    <row r="147" spans="1:19" x14ac:dyDescent="0.25">
      <c r="A147" s="38">
        <f>Données!A147</f>
        <v>5648</v>
      </c>
      <c r="B147" s="142" t="str">
        <f>Données!B147</f>
        <v>Saint-Sulpice</v>
      </c>
      <c r="C147" s="266">
        <f>VPI!R147</f>
        <v>396373.38209090912</v>
      </c>
      <c r="D147" s="397">
        <f>+Données!AP147</f>
        <v>33.075261136452326</v>
      </c>
      <c r="E147" s="314">
        <f>VPI!Q147</f>
        <v>55</v>
      </c>
      <c r="F147" s="176">
        <f t="shared" si="10"/>
        <v>21.924738863547674</v>
      </c>
      <c r="G147" s="173">
        <f>Effort!I147+Aide!I147/Taux!C147+Effort!K147/Taux!C147</f>
        <v>31.152316091892239</v>
      </c>
      <c r="H147" s="82">
        <f t="shared" si="11"/>
        <v>53.077054955439912</v>
      </c>
      <c r="I147" s="159">
        <f t="shared" si="12"/>
        <v>0</v>
      </c>
      <c r="J147" s="633">
        <f t="shared" si="13"/>
        <v>0</v>
      </c>
      <c r="K147" s="636">
        <f t="shared" si="14"/>
        <v>0</v>
      </c>
      <c r="L147" s="5"/>
      <c r="M147" s="10"/>
      <c r="N147" s="11"/>
      <c r="S147" s="11"/>
    </row>
    <row r="148" spans="1:19" x14ac:dyDescent="0.25">
      <c r="A148" s="38">
        <f>Données!A148</f>
        <v>5649</v>
      </c>
      <c r="B148" s="142" t="str">
        <f>Données!B148</f>
        <v>Tolochenaz</v>
      </c>
      <c r="C148" s="266">
        <f>VPI!R148</f>
        <v>281314.52828124992</v>
      </c>
      <c r="D148" s="397">
        <f>+Données!AP148</f>
        <v>37.892775478483763</v>
      </c>
      <c r="E148" s="314">
        <f>VPI!Q148</f>
        <v>64</v>
      </c>
      <c r="F148" s="176">
        <f t="shared" si="10"/>
        <v>26.107224521516237</v>
      </c>
      <c r="G148" s="173">
        <f>Effort!I148+Aide!I148/Taux!C148+Effort!K148/Taux!C148</f>
        <v>46.615847018360711</v>
      </c>
      <c r="H148" s="82">
        <f t="shared" si="11"/>
        <v>72.723071539876941</v>
      </c>
      <c r="I148" s="159">
        <f t="shared" si="12"/>
        <v>0</v>
      </c>
      <c r="J148" s="633">
        <f t="shared" si="13"/>
        <v>0</v>
      </c>
      <c r="K148" s="636">
        <f t="shared" si="14"/>
        <v>0</v>
      </c>
      <c r="L148" s="5"/>
      <c r="M148" s="10"/>
      <c r="N148" s="11"/>
      <c r="S148" s="11"/>
    </row>
    <row r="149" spans="1:19" x14ac:dyDescent="0.25">
      <c r="A149" s="38">
        <f>Données!A149</f>
        <v>5650</v>
      </c>
      <c r="B149" s="142" t="str">
        <f>Données!B149</f>
        <v>Vaux-sur-Morges</v>
      </c>
      <c r="C149" s="266">
        <f>VPI!R149</f>
        <v>96067.741964285728</v>
      </c>
      <c r="D149" s="397">
        <f>+Données!AP149</f>
        <v>48</v>
      </c>
      <c r="E149" s="314">
        <f>VPI!Q149</f>
        <v>56</v>
      </c>
      <c r="F149" s="176">
        <f t="shared" si="10"/>
        <v>8</v>
      </c>
      <c r="G149" s="173">
        <f>Effort!I149+Aide!I149/Taux!C149+Effort!K149/Taux!C149</f>
        <v>48</v>
      </c>
      <c r="H149" s="82">
        <f t="shared" si="11"/>
        <v>56</v>
      </c>
      <c r="I149" s="159">
        <f t="shared" si="12"/>
        <v>0</v>
      </c>
      <c r="J149" s="633">
        <f t="shared" si="13"/>
        <v>0</v>
      </c>
      <c r="K149" s="636">
        <f t="shared" si="14"/>
        <v>0</v>
      </c>
      <c r="L149" s="5"/>
      <c r="M149" s="10"/>
      <c r="N149" s="11"/>
      <c r="S149" s="11"/>
    </row>
    <row r="150" spans="1:19" x14ac:dyDescent="0.25">
      <c r="A150" s="38">
        <f>Données!A150</f>
        <v>5651</v>
      </c>
      <c r="B150" s="142" t="str">
        <f>Données!B150</f>
        <v>Villars-Sainte-Croix</v>
      </c>
      <c r="C150" s="266">
        <f>VPI!R150</f>
        <v>61414.015041322302</v>
      </c>
      <c r="D150" s="397">
        <f>+Données!AP150</f>
        <v>30.381755772084436</v>
      </c>
      <c r="E150" s="314">
        <f>VPI!Q150</f>
        <v>60.5</v>
      </c>
      <c r="F150" s="176">
        <f t="shared" si="10"/>
        <v>30.118244227915564</v>
      </c>
      <c r="G150" s="173">
        <f>Effort!I150+Aide!I150/Taux!C150+Effort!K150/Taux!C150</f>
        <v>31.553024187620252</v>
      </c>
      <c r="H150" s="82">
        <f t="shared" si="11"/>
        <v>61.67126841553582</v>
      </c>
      <c r="I150" s="159">
        <f t="shared" si="12"/>
        <v>0</v>
      </c>
      <c r="J150" s="633">
        <f t="shared" si="13"/>
        <v>0</v>
      </c>
      <c r="K150" s="636">
        <f t="shared" si="14"/>
        <v>0</v>
      </c>
      <c r="L150" s="5"/>
      <c r="M150" s="10"/>
      <c r="N150" s="11"/>
      <c r="S150" s="11"/>
    </row>
    <row r="151" spans="1:19" x14ac:dyDescent="0.25">
      <c r="A151" s="38">
        <f>Données!A151</f>
        <v>5652</v>
      </c>
      <c r="B151" s="142" t="str">
        <f>Données!B151</f>
        <v>Villars-sous-Yens</v>
      </c>
      <c r="C151" s="266">
        <f>VPI!R151</f>
        <v>29186.92625</v>
      </c>
      <c r="D151" s="397">
        <f>+Données!AP151</f>
        <v>24.292980177430934</v>
      </c>
      <c r="E151" s="314">
        <f>VPI!Q151</f>
        <v>76</v>
      </c>
      <c r="F151" s="176">
        <f t="shared" si="10"/>
        <v>51.707019822569066</v>
      </c>
      <c r="G151" s="173">
        <f>Effort!I151+Aide!I151/Taux!C151+Effort!K151/Taux!C151</f>
        <v>27.300775660968622</v>
      </c>
      <c r="H151" s="82">
        <f t="shared" si="11"/>
        <v>79.007795483537691</v>
      </c>
      <c r="I151" s="159">
        <f t="shared" si="12"/>
        <v>0</v>
      </c>
      <c r="J151" s="633">
        <f t="shared" si="13"/>
        <v>0</v>
      </c>
      <c r="K151" s="636">
        <f t="shared" si="14"/>
        <v>0</v>
      </c>
      <c r="L151" s="5"/>
      <c r="M151" s="10"/>
      <c r="N151" s="11"/>
      <c r="S151" s="11"/>
    </row>
    <row r="152" spans="1:19" x14ac:dyDescent="0.25">
      <c r="A152" s="38">
        <f>Données!A152</f>
        <v>5653</v>
      </c>
      <c r="B152" s="142" t="str">
        <f>Données!B152</f>
        <v>Vufflens-le-Château</v>
      </c>
      <c r="C152" s="266">
        <f>VPI!R152</f>
        <v>66751.135840000003</v>
      </c>
      <c r="D152" s="397">
        <f>+Données!AP152</f>
        <v>36.064957194244457</v>
      </c>
      <c r="E152" s="314">
        <f>VPI!Q152</f>
        <v>62.5</v>
      </c>
      <c r="F152" s="176">
        <f t="shared" si="10"/>
        <v>26.435042805755543</v>
      </c>
      <c r="G152" s="173">
        <f>Effort!I152+Aide!I152/Taux!C152+Effort!K152/Taux!C152</f>
        <v>34.845422952458655</v>
      </c>
      <c r="H152" s="82">
        <f t="shared" si="11"/>
        <v>61.280465758214199</v>
      </c>
      <c r="I152" s="159">
        <f t="shared" si="12"/>
        <v>0</v>
      </c>
      <c r="J152" s="633">
        <f t="shared" si="13"/>
        <v>0</v>
      </c>
      <c r="K152" s="636">
        <f t="shared" si="14"/>
        <v>0</v>
      </c>
      <c r="L152" s="5"/>
      <c r="M152" s="10"/>
      <c r="N152" s="11"/>
      <c r="S152" s="11"/>
    </row>
    <row r="153" spans="1:19" x14ac:dyDescent="0.25">
      <c r="A153" s="38">
        <f>Données!A153</f>
        <v>5654</v>
      </c>
      <c r="B153" s="142" t="str">
        <f>Données!B153</f>
        <v>Vullierens</v>
      </c>
      <c r="C153" s="266">
        <f>VPI!R153</f>
        <v>21960.434210526313</v>
      </c>
      <c r="D153" s="397">
        <f>+Données!AP153</f>
        <v>20.046301692325233</v>
      </c>
      <c r="E153" s="314">
        <f>VPI!Q153</f>
        <v>76</v>
      </c>
      <c r="F153" s="176">
        <f t="shared" si="10"/>
        <v>55.95369830767477</v>
      </c>
      <c r="G153" s="173">
        <f>Effort!I153+Aide!I153/Taux!C153+Effort!K153/Taux!C153</f>
        <v>20.767223711609567</v>
      </c>
      <c r="H153" s="82">
        <f t="shared" si="11"/>
        <v>76.72092201928433</v>
      </c>
      <c r="I153" s="159">
        <f t="shared" si="12"/>
        <v>0</v>
      </c>
      <c r="J153" s="633">
        <f t="shared" si="13"/>
        <v>0</v>
      </c>
      <c r="K153" s="636">
        <f t="shared" si="14"/>
        <v>0</v>
      </c>
      <c r="L153" s="5"/>
      <c r="M153" s="10"/>
      <c r="N153" s="11"/>
      <c r="S153" s="11"/>
    </row>
    <row r="154" spans="1:19" x14ac:dyDescent="0.25">
      <c r="A154" s="38">
        <f>Données!A154</f>
        <v>5655</v>
      </c>
      <c r="B154" s="142" t="str">
        <f>Données!B154</f>
        <v>Yens</v>
      </c>
      <c r="C154" s="266">
        <f>VPI!R154</f>
        <v>83347.731285714282</v>
      </c>
      <c r="D154" s="397">
        <f>+Données!AP154</f>
        <v>28.348973782055907</v>
      </c>
      <c r="E154" s="314">
        <f>VPI!Q154</f>
        <v>70</v>
      </c>
      <c r="F154" s="176">
        <f t="shared" si="10"/>
        <v>41.651026217944093</v>
      </c>
      <c r="G154" s="173">
        <f>Effort!I154+Aide!I154/Taux!C154+Effort!K154/Taux!C154</f>
        <v>28.473636960935739</v>
      </c>
      <c r="H154" s="82">
        <f t="shared" si="11"/>
        <v>70.124663178879828</v>
      </c>
      <c r="I154" s="159">
        <f t="shared" si="12"/>
        <v>0</v>
      </c>
      <c r="J154" s="633">
        <f t="shared" si="13"/>
        <v>0</v>
      </c>
      <c r="K154" s="636">
        <f t="shared" si="14"/>
        <v>0</v>
      </c>
      <c r="L154" s="5"/>
      <c r="M154" s="10"/>
      <c r="N154" s="11"/>
      <c r="S154" s="11"/>
    </row>
    <row r="155" spans="1:19" x14ac:dyDescent="0.25">
      <c r="A155" s="38">
        <f>Données!A155</f>
        <v>5656</v>
      </c>
      <c r="B155" s="142" t="str">
        <f>Données!B155</f>
        <v>Hautemorges</v>
      </c>
      <c r="C155" s="266">
        <f>VPI!R155</f>
        <v>167962.47422535214</v>
      </c>
      <c r="D155" s="397">
        <f>+Données!AP155</f>
        <v>17.243614551652826</v>
      </c>
      <c r="E155" s="314">
        <f>VPI!Q155</f>
        <v>71</v>
      </c>
      <c r="F155" s="176">
        <f t="shared" si="10"/>
        <v>53.756385448347174</v>
      </c>
      <c r="G155" s="173">
        <f>Effort!I155+Aide!I155/Taux!C155+Effort!K155/Taux!C155</f>
        <v>15.812003236509483</v>
      </c>
      <c r="H155" s="82">
        <f t="shared" si="11"/>
        <v>69.568388684856657</v>
      </c>
      <c r="I155" s="159">
        <f t="shared" si="12"/>
        <v>0</v>
      </c>
      <c r="J155" s="633">
        <f t="shared" si="13"/>
        <v>0</v>
      </c>
      <c r="K155" s="636">
        <f t="shared" si="14"/>
        <v>0</v>
      </c>
      <c r="L155" s="5"/>
      <c r="M155" s="10"/>
      <c r="N155" s="11"/>
      <c r="S155" s="11"/>
    </row>
    <row r="156" spans="1:19" x14ac:dyDescent="0.25">
      <c r="A156" s="38">
        <f>Données!A156</f>
        <v>5661</v>
      </c>
      <c r="B156" s="142" t="str">
        <f>Données!B156</f>
        <v>Boulens</v>
      </c>
      <c r="C156" s="266">
        <f>VPI!R156</f>
        <v>10042.510349650349</v>
      </c>
      <c r="D156" s="397">
        <f>+Données!AP156</f>
        <v>12.26412128816801</v>
      </c>
      <c r="E156" s="314">
        <f>VPI!Q156</f>
        <v>71.5</v>
      </c>
      <c r="F156" s="176">
        <f t="shared" si="10"/>
        <v>59.235878711831987</v>
      </c>
      <c r="G156" s="173">
        <f>Effort!I156+Aide!I156/Taux!C156+Effort!K156/Taux!C156</f>
        <v>8.1316038957777899</v>
      </c>
      <c r="H156" s="82">
        <f t="shared" si="11"/>
        <v>67.367482607609773</v>
      </c>
      <c r="I156" s="159">
        <f t="shared" si="12"/>
        <v>0</v>
      </c>
      <c r="J156" s="633">
        <f t="shared" si="13"/>
        <v>0</v>
      </c>
      <c r="K156" s="636">
        <f t="shared" si="14"/>
        <v>0</v>
      </c>
      <c r="L156" s="5"/>
      <c r="M156" s="10"/>
      <c r="N156" s="11"/>
      <c r="S156" s="11"/>
    </row>
    <row r="157" spans="1:19" x14ac:dyDescent="0.25">
      <c r="A157" s="38">
        <f>Données!A157</f>
        <v>5663</v>
      </c>
      <c r="B157" s="142" t="str">
        <f>Données!B157</f>
        <v>Bussy-sur-Moudon</v>
      </c>
      <c r="C157" s="266">
        <f>VPI!R157</f>
        <v>7115.4099363057312</v>
      </c>
      <c r="D157" s="397">
        <f>+Données!AP157</f>
        <v>5.0377878607822941</v>
      </c>
      <c r="E157" s="314">
        <f>VPI!Q157</f>
        <v>78.5</v>
      </c>
      <c r="F157" s="176">
        <f t="shared" si="10"/>
        <v>73.462212139217712</v>
      </c>
      <c r="G157" s="173">
        <f>Effort!I157+Aide!I157/Taux!C157+Effort!K157/Taux!C157</f>
        <v>7.8200728170800815</v>
      </c>
      <c r="H157" s="82">
        <f t="shared" si="11"/>
        <v>81.282284956297786</v>
      </c>
      <c r="I157" s="159">
        <f t="shared" si="12"/>
        <v>0</v>
      </c>
      <c r="J157" s="633">
        <f t="shared" si="13"/>
        <v>0</v>
      </c>
      <c r="K157" s="636">
        <f t="shared" si="14"/>
        <v>0</v>
      </c>
      <c r="L157" s="5"/>
      <c r="M157" s="10"/>
      <c r="N157" s="11"/>
      <c r="S157" s="11"/>
    </row>
    <row r="158" spans="1:19" x14ac:dyDescent="0.25">
      <c r="A158" s="38">
        <f>Données!A158</f>
        <v>5665</v>
      </c>
      <c r="B158" s="142" t="str">
        <f>Données!B158</f>
        <v>Chavannes-sur-Moudon</v>
      </c>
      <c r="C158" s="266">
        <f>VPI!R158</f>
        <v>5907.4868571428569</v>
      </c>
      <c r="D158" s="397">
        <f>+Données!AP158</f>
        <v>9.7375782056126319</v>
      </c>
      <c r="E158" s="314">
        <f>VPI!Q158</f>
        <v>70</v>
      </c>
      <c r="F158" s="176">
        <f t="shared" si="10"/>
        <v>60.262421794387365</v>
      </c>
      <c r="G158" s="173">
        <f>Effort!I158+Aide!I158/Taux!C158+Effort!K158/Taux!C158</f>
        <v>6.0653635139112598</v>
      </c>
      <c r="H158" s="82">
        <f t="shared" si="11"/>
        <v>66.32778530829863</v>
      </c>
      <c r="I158" s="159">
        <f t="shared" si="12"/>
        <v>0</v>
      </c>
      <c r="J158" s="633">
        <f t="shared" si="13"/>
        <v>0</v>
      </c>
      <c r="K158" s="636">
        <f t="shared" si="14"/>
        <v>0</v>
      </c>
      <c r="L158" s="5"/>
      <c r="M158" s="10"/>
      <c r="N158" s="11"/>
      <c r="S158" s="11"/>
    </row>
    <row r="159" spans="1:19" x14ac:dyDescent="0.25">
      <c r="A159" s="38">
        <f>Données!A159</f>
        <v>5669</v>
      </c>
      <c r="B159" s="142" t="str">
        <f>Données!B159</f>
        <v>Curtilles</v>
      </c>
      <c r="C159" s="266">
        <f>VPI!R159</f>
        <v>9466.6579452054793</v>
      </c>
      <c r="D159" s="397">
        <f>+Données!AP159</f>
        <v>11.56134819053133</v>
      </c>
      <c r="E159" s="314">
        <f>VPI!Q159</f>
        <v>73</v>
      </c>
      <c r="F159" s="176">
        <f t="shared" si="10"/>
        <v>61.438651809468666</v>
      </c>
      <c r="G159" s="173">
        <f>Effort!I159+Aide!I159/Taux!C159+Effort!K159/Taux!C159</f>
        <v>13.292480447291242</v>
      </c>
      <c r="H159" s="82">
        <f t="shared" si="11"/>
        <v>74.731132256759906</v>
      </c>
      <c r="I159" s="159">
        <f t="shared" si="12"/>
        <v>0</v>
      </c>
      <c r="J159" s="633">
        <f t="shared" si="13"/>
        <v>0</v>
      </c>
      <c r="K159" s="636">
        <f t="shared" si="14"/>
        <v>0</v>
      </c>
      <c r="L159" s="5"/>
      <c r="M159" s="10"/>
      <c r="N159" s="11"/>
      <c r="S159" s="11"/>
    </row>
    <row r="160" spans="1:19" x14ac:dyDescent="0.25">
      <c r="A160" s="38">
        <f>Données!A160</f>
        <v>5671</v>
      </c>
      <c r="B160" s="142" t="str">
        <f>Données!B160</f>
        <v>Dompierre</v>
      </c>
      <c r="C160" s="266">
        <f>VPI!R160</f>
        <v>8071.3430769230772</v>
      </c>
      <c r="D160" s="397">
        <f>+Données!AP160</f>
        <v>7.0580462282941605</v>
      </c>
      <c r="E160" s="314">
        <f>VPI!Q160</f>
        <v>78</v>
      </c>
      <c r="F160" s="176">
        <f t="shared" si="10"/>
        <v>70.94195377170584</v>
      </c>
      <c r="G160" s="173">
        <f>Effort!I160+Aide!I160/Taux!C160+Effort!K160/Taux!C160</f>
        <v>13.291623847103939</v>
      </c>
      <c r="H160" s="82">
        <f t="shared" si="11"/>
        <v>84.233577618809775</v>
      </c>
      <c r="I160" s="159">
        <f t="shared" si="12"/>
        <v>0</v>
      </c>
      <c r="J160" s="633">
        <f t="shared" si="13"/>
        <v>0</v>
      </c>
      <c r="K160" s="636">
        <f t="shared" si="14"/>
        <v>0</v>
      </c>
      <c r="L160" s="5"/>
      <c r="M160" s="10"/>
      <c r="N160" s="11"/>
      <c r="S160" s="11"/>
    </row>
    <row r="161" spans="1:19" x14ac:dyDescent="0.25">
      <c r="A161" s="38">
        <f>Données!A161</f>
        <v>5673</v>
      </c>
      <c r="B161" s="142" t="str">
        <f>Données!B161</f>
        <v>Hermenches</v>
      </c>
      <c r="C161" s="266">
        <f>VPI!R161</f>
        <v>11048.340272108846</v>
      </c>
      <c r="D161" s="397">
        <f>+Données!AP161</f>
        <v>6.9240171471970591</v>
      </c>
      <c r="E161" s="314">
        <f>VPI!Q161</f>
        <v>73.5</v>
      </c>
      <c r="F161" s="176">
        <f t="shared" si="10"/>
        <v>66.575982852802937</v>
      </c>
      <c r="G161" s="173">
        <f>Effort!I161+Aide!I161/Taux!C161+Effort!K161/Taux!C161</f>
        <v>11.461989599194474</v>
      </c>
      <c r="H161" s="82">
        <f t="shared" si="11"/>
        <v>78.037972451997405</v>
      </c>
      <c r="I161" s="159">
        <f t="shared" si="12"/>
        <v>0</v>
      </c>
      <c r="J161" s="633">
        <f t="shared" si="13"/>
        <v>0</v>
      </c>
      <c r="K161" s="636">
        <f t="shared" si="14"/>
        <v>0</v>
      </c>
      <c r="L161" s="5"/>
      <c r="M161" s="10"/>
      <c r="N161" s="11"/>
      <c r="S161" s="11"/>
    </row>
    <row r="162" spans="1:19" x14ac:dyDescent="0.25">
      <c r="A162" s="38">
        <f>Données!A162</f>
        <v>5674</v>
      </c>
      <c r="B162" s="142" t="str">
        <f>Données!B162</f>
        <v>Lovatens</v>
      </c>
      <c r="C162" s="266">
        <f>VPI!R162</f>
        <v>4104.2373333333326</v>
      </c>
      <c r="D162" s="397">
        <f>+Données!AP162</f>
        <v>4.0119459378131035</v>
      </c>
      <c r="E162" s="314">
        <f>VPI!Q162</f>
        <v>75</v>
      </c>
      <c r="F162" s="176">
        <f t="shared" si="10"/>
        <v>70.98805406218689</v>
      </c>
      <c r="G162" s="173">
        <f>Effort!I162+Aide!I162/Taux!C162+Effort!K162/Taux!C162</f>
        <v>10.259303590612879</v>
      </c>
      <c r="H162" s="82">
        <f t="shared" si="11"/>
        <v>81.247357652799764</v>
      </c>
      <c r="I162" s="159">
        <f t="shared" si="12"/>
        <v>0</v>
      </c>
      <c r="J162" s="633">
        <f t="shared" si="13"/>
        <v>0</v>
      </c>
      <c r="K162" s="636">
        <f t="shared" si="14"/>
        <v>0</v>
      </c>
      <c r="L162" s="5"/>
      <c r="M162" s="10"/>
      <c r="N162" s="11"/>
      <c r="S162" s="11"/>
    </row>
    <row r="163" spans="1:19" x14ac:dyDescent="0.25">
      <c r="A163" s="38">
        <f>Données!A163</f>
        <v>5675</v>
      </c>
      <c r="B163" s="142" t="str">
        <f>Données!B163</f>
        <v>Lucens</v>
      </c>
      <c r="C163" s="266">
        <f>VPI!R163</f>
        <v>97920.060444735136</v>
      </c>
      <c r="D163" s="397">
        <f>+Données!AP163</f>
        <v>-11.558304541437041</v>
      </c>
      <c r="E163" s="314">
        <f>VPI!Q163</f>
        <v>69.5</v>
      </c>
      <c r="F163" s="176">
        <f t="shared" si="10"/>
        <v>81.058304541437039</v>
      </c>
      <c r="G163" s="173">
        <f>Effort!I163+Aide!I163/Taux!C163+Effort!K163/Taux!C163</f>
        <v>-12.010685943373677</v>
      </c>
      <c r="H163" s="82">
        <f t="shared" si="11"/>
        <v>69.047618598063366</v>
      </c>
      <c r="I163" s="159">
        <f t="shared" si="12"/>
        <v>0</v>
      </c>
      <c r="J163" s="633">
        <f t="shared" si="13"/>
        <v>0</v>
      </c>
      <c r="K163" s="636">
        <f t="shared" si="14"/>
        <v>0</v>
      </c>
      <c r="L163" s="5"/>
      <c r="M163" s="10"/>
      <c r="N163" s="11"/>
      <c r="S163" s="11"/>
    </row>
    <row r="164" spans="1:19" x14ac:dyDescent="0.25">
      <c r="A164" s="38">
        <f>Données!A164</f>
        <v>5678</v>
      </c>
      <c r="B164" s="142" t="str">
        <f>Données!B164</f>
        <v>Moudon</v>
      </c>
      <c r="C164" s="266">
        <f>VPI!R164</f>
        <v>133786.12827586205</v>
      </c>
      <c r="D164" s="397">
        <f>+Données!AP164</f>
        <v>-12.376210938285993</v>
      </c>
      <c r="E164" s="314">
        <f>VPI!Q164</f>
        <v>72.5</v>
      </c>
      <c r="F164" s="176">
        <f t="shared" si="10"/>
        <v>84.876210938285993</v>
      </c>
      <c r="G164" s="173">
        <f>Effort!I164+Aide!I164/Taux!C164+Effort!K164/Taux!C164</f>
        <v>-12.908618654737495</v>
      </c>
      <c r="H164" s="82">
        <f t="shared" si="11"/>
        <v>71.967592283548498</v>
      </c>
      <c r="I164" s="159">
        <f t="shared" si="12"/>
        <v>0</v>
      </c>
      <c r="J164" s="633">
        <f t="shared" si="13"/>
        <v>0</v>
      </c>
      <c r="K164" s="636">
        <f t="shared" si="14"/>
        <v>0</v>
      </c>
      <c r="L164" s="5"/>
      <c r="M164" s="10"/>
      <c r="N164" s="11"/>
      <c r="S164" s="11"/>
    </row>
    <row r="165" spans="1:19" x14ac:dyDescent="0.25">
      <c r="A165" s="38">
        <f>Données!A165</f>
        <v>5680</v>
      </c>
      <c r="B165" s="142" t="str">
        <f>Données!B165</f>
        <v>Ogens</v>
      </c>
      <c r="C165" s="266">
        <f>VPI!R165</f>
        <v>7909.509316239315</v>
      </c>
      <c r="D165" s="397">
        <f>+Données!AP165</f>
        <v>13.130721028431024</v>
      </c>
      <c r="E165" s="314">
        <f>VPI!Q165</f>
        <v>78</v>
      </c>
      <c r="F165" s="176">
        <f t="shared" si="10"/>
        <v>64.869278971568974</v>
      </c>
      <c r="G165" s="173">
        <f>Effort!I165+Aide!I165/Taux!C165+Effort!K165/Taux!C165</f>
        <v>-0.87727811703717862</v>
      </c>
      <c r="H165" s="82">
        <f t="shared" si="11"/>
        <v>63.992000854531796</v>
      </c>
      <c r="I165" s="159">
        <f t="shared" si="12"/>
        <v>0</v>
      </c>
      <c r="J165" s="633">
        <f t="shared" si="13"/>
        <v>0</v>
      </c>
      <c r="K165" s="636">
        <f t="shared" si="14"/>
        <v>0</v>
      </c>
      <c r="L165" s="5"/>
      <c r="M165" s="10"/>
      <c r="N165" s="11"/>
      <c r="S165" s="11"/>
    </row>
    <row r="166" spans="1:19" x14ac:dyDescent="0.25">
      <c r="A166" s="38">
        <f>Données!A166</f>
        <v>5683</v>
      </c>
      <c r="B166" s="142" t="str">
        <f>Données!B166</f>
        <v>Prévonloup</v>
      </c>
      <c r="C166" s="266">
        <f>VPI!R166</f>
        <v>6488.9761379310348</v>
      </c>
      <c r="D166" s="397">
        <f>+Données!AP166</f>
        <v>3.0721707444332047</v>
      </c>
      <c r="E166" s="314">
        <f>VPI!Q166</f>
        <v>72.5</v>
      </c>
      <c r="F166" s="176">
        <f t="shared" si="10"/>
        <v>69.427829255566792</v>
      </c>
      <c r="G166" s="173">
        <f>Effort!I166+Aide!I166/Taux!C166+Effort!K166/Taux!C166</f>
        <v>11.037894875450853</v>
      </c>
      <c r="H166" s="82">
        <f t="shared" si="11"/>
        <v>80.465724131017652</v>
      </c>
      <c r="I166" s="159">
        <f t="shared" si="12"/>
        <v>0</v>
      </c>
      <c r="J166" s="633">
        <f t="shared" si="13"/>
        <v>0</v>
      </c>
      <c r="K166" s="636">
        <f t="shared" si="14"/>
        <v>0</v>
      </c>
      <c r="L166" s="5"/>
      <c r="M166" s="10"/>
      <c r="N166" s="11"/>
      <c r="S166" s="11"/>
    </row>
    <row r="167" spans="1:19" x14ac:dyDescent="0.25">
      <c r="A167" s="38">
        <f>Données!A167</f>
        <v>5684</v>
      </c>
      <c r="B167" s="142" t="str">
        <f>Données!B167</f>
        <v>Rossenges</v>
      </c>
      <c r="C167" s="266">
        <f>VPI!R167</f>
        <v>5023.6746428571432</v>
      </c>
      <c r="D167" s="397">
        <f>+Données!AP167</f>
        <v>36.477555941478755</v>
      </c>
      <c r="E167" s="314">
        <f>VPI!Q167</f>
        <v>70</v>
      </c>
      <c r="F167" s="176">
        <f t="shared" si="10"/>
        <v>33.522444058521245</v>
      </c>
      <c r="G167" s="173">
        <f>Effort!I167+Aide!I167/Taux!C167+Effort!K167/Taux!C167</f>
        <v>30.348698171910094</v>
      </c>
      <c r="H167" s="82">
        <f t="shared" si="11"/>
        <v>63.871142230431339</v>
      </c>
      <c r="I167" s="159">
        <f t="shared" si="12"/>
        <v>0</v>
      </c>
      <c r="J167" s="633">
        <f t="shared" si="13"/>
        <v>0</v>
      </c>
      <c r="K167" s="636">
        <f t="shared" si="14"/>
        <v>0</v>
      </c>
      <c r="L167" s="5"/>
      <c r="M167" s="10"/>
      <c r="N167" s="11"/>
      <c r="S167" s="11"/>
    </row>
    <row r="168" spans="1:19" x14ac:dyDescent="0.25">
      <c r="A168" s="38">
        <f>Données!A168</f>
        <v>5688</v>
      </c>
      <c r="B168" s="142" t="str">
        <f>Données!B168</f>
        <v>Syens</v>
      </c>
      <c r="C168" s="266">
        <f>VPI!R168</f>
        <v>5225.3353846153841</v>
      </c>
      <c r="D168" s="397">
        <f>+Données!AP168</f>
        <v>18.215246308338024</v>
      </c>
      <c r="E168" s="314">
        <f>VPI!Q168</f>
        <v>65</v>
      </c>
      <c r="F168" s="176">
        <f t="shared" si="10"/>
        <v>46.784753691661976</v>
      </c>
      <c r="G168" s="173">
        <f>Effort!I168+Aide!I168/Taux!C168+Effort!K168/Taux!C168</f>
        <v>16.969355859647933</v>
      </c>
      <c r="H168" s="82">
        <f t="shared" si="11"/>
        <v>63.754109551309909</v>
      </c>
      <c r="I168" s="159">
        <f t="shared" si="12"/>
        <v>0</v>
      </c>
      <c r="J168" s="633">
        <f t="shared" si="13"/>
        <v>0</v>
      </c>
      <c r="K168" s="636">
        <f t="shared" si="14"/>
        <v>0</v>
      </c>
      <c r="L168" s="5"/>
      <c r="M168" s="10"/>
      <c r="N168" s="11"/>
      <c r="S168" s="11"/>
    </row>
    <row r="169" spans="1:19" x14ac:dyDescent="0.25">
      <c r="A169" s="38">
        <f>Données!A169</f>
        <v>5690</v>
      </c>
      <c r="B169" s="142" t="str">
        <f>Données!B169</f>
        <v>Villars-le-Comte</v>
      </c>
      <c r="C169" s="266">
        <f>VPI!R169</f>
        <v>4383.2226470588239</v>
      </c>
      <c r="D169" s="397">
        <f>+Données!AP169</f>
        <v>16.005605482068347</v>
      </c>
      <c r="E169" s="314">
        <f>VPI!Q169</f>
        <v>68</v>
      </c>
      <c r="F169" s="176">
        <f t="shared" si="10"/>
        <v>51.994394517931653</v>
      </c>
      <c r="G169" s="173">
        <f>Effort!I169+Aide!I169/Taux!C169+Effort!K169/Taux!C169</f>
        <v>17.071274554171438</v>
      </c>
      <c r="H169" s="82">
        <f t="shared" si="11"/>
        <v>69.065669072103091</v>
      </c>
      <c r="I169" s="159">
        <f t="shared" si="12"/>
        <v>0</v>
      </c>
      <c r="J169" s="633">
        <f t="shared" si="13"/>
        <v>0</v>
      </c>
      <c r="K169" s="636">
        <f t="shared" si="14"/>
        <v>0</v>
      </c>
      <c r="L169" s="5"/>
      <c r="M169" s="10"/>
      <c r="N169" s="11"/>
      <c r="S169" s="11"/>
    </row>
    <row r="170" spans="1:19" x14ac:dyDescent="0.25">
      <c r="A170" s="38">
        <f>Données!A170</f>
        <v>5692</v>
      </c>
      <c r="B170" s="142" t="str">
        <f>Données!B170</f>
        <v>Vucherens</v>
      </c>
      <c r="C170" s="266">
        <f>VPI!R170</f>
        <v>18408.334805194805</v>
      </c>
      <c r="D170" s="397">
        <f>+Données!AP170</f>
        <v>11.521925801564942</v>
      </c>
      <c r="E170" s="314">
        <f>VPI!Q170</f>
        <v>77</v>
      </c>
      <c r="F170" s="176">
        <f t="shared" si="10"/>
        <v>65.478074198435053</v>
      </c>
      <c r="G170" s="173">
        <f>Effort!I170+Aide!I170/Taux!C170+Effort!K170/Taux!C170</f>
        <v>9.5300984698685607</v>
      </c>
      <c r="H170" s="82">
        <f t="shared" si="11"/>
        <v>75.008172668303615</v>
      </c>
      <c r="I170" s="159">
        <f t="shared" si="12"/>
        <v>0</v>
      </c>
      <c r="J170" s="633">
        <f t="shared" si="13"/>
        <v>0</v>
      </c>
      <c r="K170" s="636">
        <f t="shared" si="14"/>
        <v>0</v>
      </c>
      <c r="L170" s="5"/>
      <c r="M170" s="10"/>
      <c r="N170" s="11"/>
      <c r="S170" s="11"/>
    </row>
    <row r="171" spans="1:19" x14ac:dyDescent="0.25">
      <c r="A171" s="38">
        <f>Données!A171</f>
        <v>5693</v>
      </c>
      <c r="B171" s="142" t="str">
        <f>Données!B171</f>
        <v>Montanaire</v>
      </c>
      <c r="C171" s="266">
        <f>VPI!R171</f>
        <v>74596.156714285724</v>
      </c>
      <c r="D171" s="397">
        <f>+Données!AP171</f>
        <v>7.1094335165495295</v>
      </c>
      <c r="E171" s="314">
        <f>VPI!Q171</f>
        <v>70</v>
      </c>
      <c r="F171" s="176">
        <f t="shared" si="10"/>
        <v>62.890566483450471</v>
      </c>
      <c r="G171" s="173">
        <f>Effort!I171+Aide!I171/Taux!C171+Effort!K171/Taux!C171</f>
        <v>2.7672347644436392</v>
      </c>
      <c r="H171" s="82">
        <f t="shared" si="11"/>
        <v>65.657801247894113</v>
      </c>
      <c r="I171" s="159">
        <f t="shared" si="12"/>
        <v>0</v>
      </c>
      <c r="J171" s="633">
        <f t="shared" si="13"/>
        <v>0</v>
      </c>
      <c r="K171" s="636">
        <f t="shared" si="14"/>
        <v>0</v>
      </c>
      <c r="L171" s="5"/>
      <c r="M171" s="10"/>
      <c r="N171" s="11"/>
      <c r="S171" s="11"/>
    </row>
    <row r="172" spans="1:19" x14ac:dyDescent="0.25">
      <c r="A172" s="38">
        <f>Données!A172</f>
        <v>5701</v>
      </c>
      <c r="B172" s="142" t="str">
        <f>Données!B172</f>
        <v>Arnex-sur-Nyon</v>
      </c>
      <c r="C172" s="266">
        <f>VPI!R172</f>
        <v>14428.628999999999</v>
      </c>
      <c r="D172" s="397">
        <f>+Données!AP172</f>
        <v>29.862537305276511</v>
      </c>
      <c r="E172" s="314">
        <f>VPI!Q172</f>
        <v>70</v>
      </c>
      <c r="F172" s="176">
        <f t="shared" si="10"/>
        <v>40.137462694723489</v>
      </c>
      <c r="G172" s="173">
        <f>Effort!I172+Aide!I172/Taux!C172+Effort!K172/Taux!C172</f>
        <v>30.993994360919817</v>
      </c>
      <c r="H172" s="82">
        <f t="shared" si="11"/>
        <v>71.13145705564331</v>
      </c>
      <c r="I172" s="159">
        <f t="shared" si="12"/>
        <v>0</v>
      </c>
      <c r="J172" s="633">
        <f t="shared" si="13"/>
        <v>0</v>
      </c>
      <c r="K172" s="636">
        <f t="shared" si="14"/>
        <v>0</v>
      </c>
      <c r="L172" s="5"/>
      <c r="M172" s="10"/>
      <c r="N172" s="11"/>
      <c r="S172" s="11"/>
    </row>
    <row r="173" spans="1:19" x14ac:dyDescent="0.25">
      <c r="A173" s="38">
        <f>Données!A173</f>
        <v>5702</v>
      </c>
      <c r="B173" s="142" t="str">
        <f>Données!B173</f>
        <v>Arzier-Le Muids</v>
      </c>
      <c r="C173" s="266">
        <f>VPI!R173</f>
        <v>188642.38078125002</v>
      </c>
      <c r="D173" s="397">
        <f>+Données!AP173</f>
        <v>29.935389763750436</v>
      </c>
      <c r="E173" s="314">
        <f>VPI!Q173</f>
        <v>64</v>
      </c>
      <c r="F173" s="176">
        <f t="shared" si="10"/>
        <v>34.064610236249564</v>
      </c>
      <c r="G173" s="173">
        <f>Effort!I173+Aide!I173/Taux!C173+Effort!K173/Taux!C173</f>
        <v>29.49016251347669</v>
      </c>
      <c r="H173" s="82">
        <f t="shared" si="11"/>
        <v>63.554772749726254</v>
      </c>
      <c r="I173" s="159">
        <f t="shared" si="12"/>
        <v>0</v>
      </c>
      <c r="J173" s="633">
        <f t="shared" si="13"/>
        <v>0</v>
      </c>
      <c r="K173" s="636">
        <f t="shared" si="14"/>
        <v>0</v>
      </c>
      <c r="L173" s="5"/>
      <c r="M173" s="10"/>
      <c r="N173" s="11"/>
      <c r="S173" s="11"/>
    </row>
    <row r="174" spans="1:19" x14ac:dyDescent="0.25">
      <c r="A174" s="38">
        <f>Données!A174</f>
        <v>5703</v>
      </c>
      <c r="B174" s="142" t="str">
        <f>Données!B174</f>
        <v>Bassins</v>
      </c>
      <c r="C174" s="266">
        <f>VPI!R174</f>
        <v>66120.332571428575</v>
      </c>
      <c r="D174" s="397">
        <f>+Données!AP174</f>
        <v>24.175749835349858</v>
      </c>
      <c r="E174" s="314">
        <f>VPI!Q174</f>
        <v>72.5</v>
      </c>
      <c r="F174" s="176">
        <f t="shared" si="10"/>
        <v>48.324250164650138</v>
      </c>
      <c r="G174" s="173">
        <f>Effort!I174+Aide!I174/Taux!C174+Effort!K174/Taux!C174</f>
        <v>23.814319250753186</v>
      </c>
      <c r="H174" s="82">
        <f t="shared" si="11"/>
        <v>72.138569415403325</v>
      </c>
      <c r="I174" s="159">
        <f t="shared" si="12"/>
        <v>0</v>
      </c>
      <c r="J174" s="633">
        <f t="shared" si="13"/>
        <v>0</v>
      </c>
      <c r="K174" s="636">
        <f t="shared" si="14"/>
        <v>0</v>
      </c>
      <c r="L174" s="5"/>
      <c r="M174" s="10"/>
      <c r="N174" s="11"/>
      <c r="S174" s="11"/>
    </row>
    <row r="175" spans="1:19" x14ac:dyDescent="0.25">
      <c r="A175" s="38">
        <f>Données!A175</f>
        <v>5704</v>
      </c>
      <c r="B175" s="142" t="str">
        <f>Données!B175</f>
        <v>Begnins</v>
      </c>
      <c r="C175" s="266">
        <f>VPI!R175</f>
        <v>140338.01370666668</v>
      </c>
      <c r="D175" s="397">
        <f>+Données!AP175</f>
        <v>31.437504532317469</v>
      </c>
      <c r="E175" s="314">
        <f>VPI!Q175</f>
        <v>62.5</v>
      </c>
      <c r="F175" s="176">
        <f t="shared" si="10"/>
        <v>31.062495467682531</v>
      </c>
      <c r="G175" s="173">
        <f>Effort!I175+Aide!I175/Taux!C175+Effort!K175/Taux!C175</f>
        <v>31.799556306424186</v>
      </c>
      <c r="H175" s="82">
        <f t="shared" si="11"/>
        <v>62.862051774106718</v>
      </c>
      <c r="I175" s="159">
        <f t="shared" si="12"/>
        <v>0</v>
      </c>
      <c r="J175" s="633">
        <f t="shared" si="13"/>
        <v>0</v>
      </c>
      <c r="K175" s="636">
        <f t="shared" si="14"/>
        <v>0</v>
      </c>
      <c r="L175" s="5"/>
      <c r="M175" s="10"/>
      <c r="N175" s="11"/>
      <c r="S175" s="11"/>
    </row>
    <row r="176" spans="1:19" x14ac:dyDescent="0.25">
      <c r="A176" s="38">
        <f>Données!A176</f>
        <v>5705</v>
      </c>
      <c r="B176" s="142" t="str">
        <f>Données!B176</f>
        <v>Bogis-Bossey</v>
      </c>
      <c r="C176" s="266">
        <f>VPI!R176</f>
        <v>55817.342916666668</v>
      </c>
      <c r="D176" s="397">
        <f>+Données!AP176</f>
        <v>30.28354329242292</v>
      </c>
      <c r="E176" s="314">
        <f>VPI!Q176</f>
        <v>72</v>
      </c>
      <c r="F176" s="176">
        <f t="shared" si="10"/>
        <v>41.71645670757708</v>
      </c>
      <c r="G176" s="173">
        <f>Effort!I176+Aide!I176/Taux!C176+Effort!K176/Taux!C176</f>
        <v>30.322905246420635</v>
      </c>
      <c r="H176" s="82">
        <f t="shared" si="11"/>
        <v>72.039361953997712</v>
      </c>
      <c r="I176" s="159">
        <f t="shared" si="12"/>
        <v>0</v>
      </c>
      <c r="J176" s="633">
        <f t="shared" si="13"/>
        <v>0</v>
      </c>
      <c r="K176" s="636">
        <f t="shared" si="14"/>
        <v>0</v>
      </c>
      <c r="L176" s="5"/>
      <c r="M176" s="10"/>
      <c r="N176" s="11"/>
      <c r="S176" s="11"/>
    </row>
    <row r="177" spans="1:19" x14ac:dyDescent="0.25">
      <c r="A177" s="38">
        <f>Données!A177</f>
        <v>5706</v>
      </c>
      <c r="B177" s="142" t="str">
        <f>Données!B177</f>
        <v>Borex</v>
      </c>
      <c r="C177" s="266">
        <f>VPI!R177</f>
        <v>71534.631578947388</v>
      </c>
      <c r="D177" s="397">
        <f>+Données!AP177</f>
        <v>44.804667049331172</v>
      </c>
      <c r="E177" s="314">
        <f>VPI!Q177</f>
        <v>57</v>
      </c>
      <c r="F177" s="176">
        <f t="shared" si="10"/>
        <v>12.195332950668828</v>
      </c>
      <c r="G177" s="173">
        <f>Effort!I177+Aide!I177/Taux!C177+Effort!K177/Taux!C177</f>
        <v>31.035270302782671</v>
      </c>
      <c r="H177" s="82">
        <f t="shared" si="11"/>
        <v>43.230603253451498</v>
      </c>
      <c r="I177" s="159">
        <f t="shared" si="12"/>
        <v>0</v>
      </c>
      <c r="J177" s="633">
        <f t="shared" si="13"/>
        <v>0</v>
      </c>
      <c r="K177" s="636">
        <f t="shared" si="14"/>
        <v>0</v>
      </c>
      <c r="L177" s="5"/>
      <c r="M177" s="10"/>
      <c r="N177" s="11"/>
      <c r="S177" s="11"/>
    </row>
    <row r="178" spans="1:19" x14ac:dyDescent="0.25">
      <c r="A178" s="38">
        <f>Données!A178</f>
        <v>5707</v>
      </c>
      <c r="B178" s="142" t="str">
        <f>Données!B178</f>
        <v>Chavannes-de-Bogis</v>
      </c>
      <c r="C178" s="266">
        <f>VPI!R178</f>
        <v>92416.422643678146</v>
      </c>
      <c r="D178" s="397">
        <f>+Données!AP178</f>
        <v>31.764809407237848</v>
      </c>
      <c r="E178" s="314">
        <f>VPI!Q178</f>
        <v>58</v>
      </c>
      <c r="F178" s="176">
        <f t="shared" si="10"/>
        <v>26.235190592762152</v>
      </c>
      <c r="G178" s="173">
        <f>Effort!I178+Aide!I178/Taux!C178+Effort!K178/Taux!C178</f>
        <v>31.344157689092238</v>
      </c>
      <c r="H178" s="82">
        <f t="shared" si="11"/>
        <v>57.579348281854394</v>
      </c>
      <c r="I178" s="159">
        <f t="shared" si="12"/>
        <v>0</v>
      </c>
      <c r="J178" s="633">
        <f t="shared" si="13"/>
        <v>0</v>
      </c>
      <c r="K178" s="636">
        <f t="shared" si="14"/>
        <v>0</v>
      </c>
      <c r="L178" s="5"/>
      <c r="M178" s="10"/>
      <c r="N178" s="11"/>
      <c r="S178" s="11"/>
    </row>
    <row r="179" spans="1:19" x14ac:dyDescent="0.25">
      <c r="A179" s="38">
        <f>Données!A179</f>
        <v>5708</v>
      </c>
      <c r="B179" s="142" t="str">
        <f>Données!B179</f>
        <v>Chavannes-des-Bois</v>
      </c>
      <c r="C179" s="266">
        <f>VPI!R179</f>
        <v>78320.692500000005</v>
      </c>
      <c r="D179" s="397">
        <f>+Données!AP179</f>
        <v>33.581036673242508</v>
      </c>
      <c r="E179" s="314">
        <f>VPI!Q179</f>
        <v>68</v>
      </c>
      <c r="F179" s="176">
        <f t="shared" si="10"/>
        <v>34.418963326757492</v>
      </c>
      <c r="G179" s="173">
        <f>Effort!I179+Aide!I179/Taux!C179+Effort!K179/Taux!C179</f>
        <v>35.84468644799145</v>
      </c>
      <c r="H179" s="82">
        <f t="shared" si="11"/>
        <v>70.263649774748941</v>
      </c>
      <c r="I179" s="159">
        <f t="shared" si="12"/>
        <v>0</v>
      </c>
      <c r="J179" s="633">
        <f t="shared" si="13"/>
        <v>0</v>
      </c>
      <c r="K179" s="636">
        <f t="shared" si="14"/>
        <v>0</v>
      </c>
      <c r="L179" s="5"/>
      <c r="M179" s="10"/>
      <c r="N179" s="11"/>
      <c r="S179" s="11"/>
    </row>
    <row r="180" spans="1:19" x14ac:dyDescent="0.25">
      <c r="A180" s="38">
        <f>Données!A180</f>
        <v>5709</v>
      </c>
      <c r="B180" s="142" t="str">
        <f>Données!B180</f>
        <v>Chéserex</v>
      </c>
      <c r="C180" s="266">
        <f>VPI!R180</f>
        <v>110451.70315789471</v>
      </c>
      <c r="D180" s="397">
        <f>+Données!AP180</f>
        <v>33.306790068507198</v>
      </c>
      <c r="E180" s="314">
        <f>VPI!Q180</f>
        <v>57</v>
      </c>
      <c r="F180" s="176">
        <f t="shared" si="10"/>
        <v>23.693209931492802</v>
      </c>
      <c r="G180" s="173">
        <f>Effort!I180+Aide!I180/Taux!C180+Effort!K180/Taux!C180</f>
        <v>36.163086948816371</v>
      </c>
      <c r="H180" s="82">
        <f t="shared" si="11"/>
        <v>59.856296880309174</v>
      </c>
      <c r="I180" s="159">
        <f t="shared" si="12"/>
        <v>0</v>
      </c>
      <c r="J180" s="633">
        <f t="shared" si="13"/>
        <v>0</v>
      </c>
      <c r="K180" s="636">
        <f t="shared" si="14"/>
        <v>0</v>
      </c>
      <c r="L180" s="5"/>
      <c r="M180" s="10"/>
      <c r="N180" s="11"/>
      <c r="S180" s="11"/>
    </row>
    <row r="181" spans="1:19" x14ac:dyDescent="0.25">
      <c r="A181" s="38">
        <f>Données!A181</f>
        <v>5710</v>
      </c>
      <c r="B181" s="142" t="str">
        <f>Données!B181</f>
        <v>Coinsins</v>
      </c>
      <c r="C181" s="266">
        <f>VPI!R181</f>
        <v>31247.070588235296</v>
      </c>
      <c r="D181" s="397">
        <f>+Données!AP181</f>
        <v>32.391392142168094</v>
      </c>
      <c r="E181" s="314">
        <f>VPI!Q181</f>
        <v>51</v>
      </c>
      <c r="F181" s="176">
        <f t="shared" si="10"/>
        <v>18.608607857831906</v>
      </c>
      <c r="G181" s="173">
        <f>Effort!I181+Aide!I181/Taux!C181+Effort!K181/Taux!C181</f>
        <v>30.490234985959447</v>
      </c>
      <c r="H181" s="82">
        <f t="shared" si="11"/>
        <v>49.098842843791353</v>
      </c>
      <c r="I181" s="159">
        <f t="shared" si="12"/>
        <v>0</v>
      </c>
      <c r="J181" s="633">
        <f t="shared" si="13"/>
        <v>0</v>
      </c>
      <c r="K181" s="636">
        <f t="shared" si="14"/>
        <v>0</v>
      </c>
      <c r="L181" s="5"/>
      <c r="M181" s="10"/>
      <c r="N181" s="11"/>
      <c r="S181" s="11"/>
    </row>
    <row r="182" spans="1:19" x14ac:dyDescent="0.25">
      <c r="A182" s="38">
        <f>Données!A182</f>
        <v>5711</v>
      </c>
      <c r="B182" s="142" t="str">
        <f>Données!B182</f>
        <v>Commugny</v>
      </c>
      <c r="C182" s="266">
        <f>VPI!R182</f>
        <v>264202.11623481783</v>
      </c>
      <c r="D182" s="397">
        <f>+Données!AP182</f>
        <v>38.431291721262262</v>
      </c>
      <c r="E182" s="314">
        <f>VPI!Q182</f>
        <v>57</v>
      </c>
      <c r="F182" s="176">
        <f t="shared" si="10"/>
        <v>18.568708278737738</v>
      </c>
      <c r="G182" s="173">
        <f>Effort!I182+Aide!I182/Taux!C182+Effort!K182/Taux!C182</f>
        <v>35.298438085050876</v>
      </c>
      <c r="H182" s="82">
        <f t="shared" si="11"/>
        <v>53.867146363788613</v>
      </c>
      <c r="I182" s="159">
        <f t="shared" si="12"/>
        <v>0</v>
      </c>
      <c r="J182" s="633">
        <f t="shared" si="13"/>
        <v>0</v>
      </c>
      <c r="K182" s="636">
        <f t="shared" si="14"/>
        <v>0</v>
      </c>
      <c r="L182" s="5"/>
      <c r="M182" s="10"/>
      <c r="N182" s="11"/>
      <c r="S182" s="11"/>
    </row>
    <row r="183" spans="1:19" x14ac:dyDescent="0.25">
      <c r="A183" s="38">
        <f>Données!A183</f>
        <v>5712</v>
      </c>
      <c r="B183" s="142" t="str">
        <f>Données!B183</f>
        <v>Coppet</v>
      </c>
      <c r="C183" s="266">
        <f>VPI!R183</f>
        <v>381890.66242424241</v>
      </c>
      <c r="D183" s="397">
        <f>+Données!AP183</f>
        <v>42.074768950776679</v>
      </c>
      <c r="E183" s="314">
        <f>VPI!Q183</f>
        <v>55</v>
      </c>
      <c r="F183" s="176">
        <f t="shared" si="10"/>
        <v>12.925231049223321</v>
      </c>
      <c r="G183" s="173">
        <f>Effort!I183+Aide!I183/Taux!C183+Effort!K183/Taux!C183</f>
        <v>40.566517406848163</v>
      </c>
      <c r="H183" s="82">
        <f t="shared" si="11"/>
        <v>53.491748456071484</v>
      </c>
      <c r="I183" s="159">
        <f t="shared" si="12"/>
        <v>0</v>
      </c>
      <c r="J183" s="633">
        <f t="shared" si="13"/>
        <v>0</v>
      </c>
      <c r="K183" s="636">
        <f t="shared" si="14"/>
        <v>0</v>
      </c>
      <c r="L183" s="5"/>
      <c r="M183" s="10"/>
      <c r="N183" s="11"/>
      <c r="S183" s="11"/>
    </row>
    <row r="184" spans="1:19" x14ac:dyDescent="0.25">
      <c r="A184" s="38">
        <f>Données!A184</f>
        <v>5713</v>
      </c>
      <c r="B184" s="142" t="str">
        <f>Données!B184</f>
        <v>Crans</v>
      </c>
      <c r="C184" s="266">
        <f>VPI!R184</f>
        <v>303238.4722033898</v>
      </c>
      <c r="D184" s="397">
        <f>+Données!AP184</f>
        <v>42.210744917496939</v>
      </c>
      <c r="E184" s="314">
        <f>VPI!Q184</f>
        <v>59</v>
      </c>
      <c r="F184" s="176">
        <f t="shared" si="10"/>
        <v>16.789255082503061</v>
      </c>
      <c r="G184" s="173">
        <f>Effort!I184+Aide!I184/Taux!C184+Effort!K184/Taux!C184</f>
        <v>42.489749023941414</v>
      </c>
      <c r="H184" s="82">
        <f t="shared" si="11"/>
        <v>59.279004106444475</v>
      </c>
      <c r="I184" s="159">
        <f t="shared" si="12"/>
        <v>0</v>
      </c>
      <c r="J184" s="633">
        <f t="shared" si="13"/>
        <v>0</v>
      </c>
      <c r="K184" s="636">
        <f t="shared" si="14"/>
        <v>0</v>
      </c>
      <c r="L184" s="5"/>
      <c r="M184" s="10"/>
      <c r="N184" s="11"/>
      <c r="S184" s="11"/>
    </row>
    <row r="185" spans="1:19" x14ac:dyDescent="0.25">
      <c r="A185" s="38">
        <f>Données!A185</f>
        <v>5714</v>
      </c>
      <c r="B185" s="142" t="str">
        <f>Données!B185</f>
        <v>Crassier</v>
      </c>
      <c r="C185" s="266">
        <f>VPI!R185</f>
        <v>66120.939097744369</v>
      </c>
      <c r="D185" s="397">
        <f>+Données!AP185</f>
        <v>27.953283555782527</v>
      </c>
      <c r="E185" s="314">
        <f>VPI!Q185</f>
        <v>66.5</v>
      </c>
      <c r="F185" s="176">
        <f t="shared" si="10"/>
        <v>38.546716444217473</v>
      </c>
      <c r="G185" s="173">
        <f>Effort!I185+Aide!I185/Taux!C185+Effort!K185/Taux!C185</f>
        <v>27.911098732258338</v>
      </c>
      <c r="H185" s="82">
        <f t="shared" si="11"/>
        <v>66.457815176475805</v>
      </c>
      <c r="I185" s="159">
        <f t="shared" si="12"/>
        <v>0</v>
      </c>
      <c r="J185" s="633">
        <f t="shared" si="13"/>
        <v>0</v>
      </c>
      <c r="K185" s="636">
        <f t="shared" si="14"/>
        <v>0</v>
      </c>
      <c r="L185" s="5"/>
      <c r="M185" s="10"/>
      <c r="N185" s="11"/>
      <c r="S185" s="11"/>
    </row>
    <row r="186" spans="1:19" x14ac:dyDescent="0.25">
      <c r="A186" s="38">
        <f>Données!A186</f>
        <v>5715</v>
      </c>
      <c r="B186" s="142" t="str">
        <f>Données!B186</f>
        <v>Duillier</v>
      </c>
      <c r="C186" s="266">
        <f>VPI!R186</f>
        <v>62085.974545454548</v>
      </c>
      <c r="D186" s="397">
        <f>+Données!AP186</f>
        <v>29.360597637069116</v>
      </c>
      <c r="E186" s="314">
        <f>VPI!Q186</f>
        <v>66</v>
      </c>
      <c r="F186" s="176">
        <f t="shared" si="10"/>
        <v>36.63940236293088</v>
      </c>
      <c r="G186" s="173">
        <f>Effort!I186+Aide!I186/Taux!C186+Effort!K186/Taux!C186</f>
        <v>29.458030193387486</v>
      </c>
      <c r="H186" s="82">
        <f t="shared" si="11"/>
        <v>66.097432556318367</v>
      </c>
      <c r="I186" s="159">
        <f t="shared" si="12"/>
        <v>0</v>
      </c>
      <c r="J186" s="633">
        <f t="shared" si="13"/>
        <v>0</v>
      </c>
      <c r="K186" s="636">
        <f t="shared" si="14"/>
        <v>0</v>
      </c>
      <c r="L186" s="5"/>
      <c r="M186" s="10"/>
      <c r="N186" s="11"/>
      <c r="S186" s="11"/>
    </row>
    <row r="187" spans="1:19" x14ac:dyDescent="0.25">
      <c r="A187" s="38">
        <f>Données!A187</f>
        <v>5716</v>
      </c>
      <c r="B187" s="142" t="str">
        <f>Données!B187</f>
        <v>Eysins</v>
      </c>
      <c r="C187" s="266">
        <f>VPI!R187</f>
        <v>264344.77579831937</v>
      </c>
      <c r="D187" s="397">
        <f>+Données!AP187</f>
        <v>44.088040299129261</v>
      </c>
      <c r="E187" s="314">
        <f>VPI!Q187</f>
        <v>59.5</v>
      </c>
      <c r="F187" s="176">
        <f t="shared" si="10"/>
        <v>15.411959700870739</v>
      </c>
      <c r="G187" s="173">
        <f>Effort!I187+Aide!I187/Taux!C187+Effort!K187/Taux!C187</f>
        <v>46.174038218174324</v>
      </c>
      <c r="H187" s="82">
        <f t="shared" si="11"/>
        <v>61.585997919045063</v>
      </c>
      <c r="I187" s="159">
        <f t="shared" si="12"/>
        <v>0</v>
      </c>
      <c r="J187" s="633">
        <f t="shared" si="13"/>
        <v>0</v>
      </c>
      <c r="K187" s="636">
        <f t="shared" si="14"/>
        <v>0</v>
      </c>
      <c r="L187" s="5"/>
      <c r="M187" s="10"/>
      <c r="N187" s="11"/>
      <c r="S187" s="11"/>
    </row>
    <row r="188" spans="1:19" x14ac:dyDescent="0.25">
      <c r="A188" s="38">
        <f>Données!A188</f>
        <v>5717</v>
      </c>
      <c r="B188" s="142" t="str">
        <f>Données!B188</f>
        <v>Founex</v>
      </c>
      <c r="C188" s="266">
        <f>VPI!R188</f>
        <v>391171.86561403517</v>
      </c>
      <c r="D188" s="397">
        <f>+Données!AP188</f>
        <v>36.618012567773633</v>
      </c>
      <c r="E188" s="314">
        <f>VPI!Q188</f>
        <v>57</v>
      </c>
      <c r="F188" s="176">
        <f t="shared" si="10"/>
        <v>20.381987432226367</v>
      </c>
      <c r="G188" s="173">
        <f>Effort!I188+Aide!I188/Taux!C188+Effort!K188/Taux!C188</f>
        <v>37.689923633811162</v>
      </c>
      <c r="H188" s="82">
        <f t="shared" si="11"/>
        <v>58.071911066037529</v>
      </c>
      <c r="I188" s="159">
        <f t="shared" si="12"/>
        <v>0</v>
      </c>
      <c r="J188" s="633">
        <f t="shared" si="13"/>
        <v>0</v>
      </c>
      <c r="K188" s="636">
        <f t="shared" si="14"/>
        <v>0</v>
      </c>
      <c r="L188" s="5"/>
      <c r="M188" s="10"/>
      <c r="N188" s="11"/>
      <c r="S188" s="11"/>
    </row>
    <row r="189" spans="1:19" x14ac:dyDescent="0.25">
      <c r="A189" s="38">
        <f>Données!A189</f>
        <v>5718</v>
      </c>
      <c r="B189" s="142" t="str">
        <f>Données!B189</f>
        <v>Genolier</v>
      </c>
      <c r="C189" s="266">
        <f>VPI!R189</f>
        <v>199612.23730769227</v>
      </c>
      <c r="D189" s="397">
        <f>+Données!AP189</f>
        <v>38.913344607510858</v>
      </c>
      <c r="E189" s="314">
        <f>VPI!Q189</f>
        <v>52</v>
      </c>
      <c r="F189" s="176">
        <f t="shared" si="10"/>
        <v>13.086655392489142</v>
      </c>
      <c r="G189" s="173">
        <f>Effort!I189+Aide!I189/Taux!C189+Effort!K189/Taux!C189</f>
        <v>36.66732774454853</v>
      </c>
      <c r="H189" s="82">
        <f t="shared" si="11"/>
        <v>49.753983137037672</v>
      </c>
      <c r="I189" s="159">
        <f t="shared" si="12"/>
        <v>0</v>
      </c>
      <c r="J189" s="633">
        <f t="shared" si="13"/>
        <v>0</v>
      </c>
      <c r="K189" s="636">
        <f t="shared" si="14"/>
        <v>0</v>
      </c>
      <c r="L189" s="5"/>
      <c r="M189" s="10"/>
      <c r="N189" s="11"/>
      <c r="S189" s="11"/>
    </row>
    <row r="190" spans="1:19" x14ac:dyDescent="0.25">
      <c r="A190" s="38">
        <f>Données!A190</f>
        <v>5719</v>
      </c>
      <c r="B190" s="142" t="str">
        <f>Données!B190</f>
        <v>Gingins</v>
      </c>
      <c r="C190" s="266">
        <f>VPI!R190</f>
        <v>144024.32127777775</v>
      </c>
      <c r="D190" s="397">
        <f>+Données!AP190</f>
        <v>38.414106709798268</v>
      </c>
      <c r="E190" s="314">
        <f>VPI!Q190</f>
        <v>60</v>
      </c>
      <c r="F190" s="176">
        <f t="shared" si="10"/>
        <v>21.585893290201732</v>
      </c>
      <c r="G190" s="173">
        <f>Effort!I190+Aide!I190/Taux!C190+Effort!K190/Taux!C190</f>
        <v>41.774848304208021</v>
      </c>
      <c r="H190" s="82">
        <f t="shared" si="11"/>
        <v>63.360741594409753</v>
      </c>
      <c r="I190" s="159">
        <f t="shared" si="12"/>
        <v>0</v>
      </c>
      <c r="J190" s="633">
        <f t="shared" si="13"/>
        <v>0</v>
      </c>
      <c r="K190" s="636">
        <f t="shared" si="14"/>
        <v>0</v>
      </c>
      <c r="L190" s="5"/>
      <c r="M190" s="10"/>
      <c r="N190" s="11"/>
      <c r="S190" s="11"/>
    </row>
    <row r="191" spans="1:19" x14ac:dyDescent="0.25">
      <c r="A191" s="38">
        <f>Données!A191</f>
        <v>5720</v>
      </c>
      <c r="B191" s="142" t="str">
        <f>Données!B191</f>
        <v>Givrins</v>
      </c>
      <c r="C191" s="266">
        <f>VPI!R191</f>
        <v>79448.9027363184</v>
      </c>
      <c r="D191" s="397">
        <f>+Données!AP191</f>
        <v>37.537077035902037</v>
      </c>
      <c r="E191" s="314">
        <f>VPI!Q191</f>
        <v>67</v>
      </c>
      <c r="F191" s="176">
        <f t="shared" si="10"/>
        <v>29.462922964097963</v>
      </c>
      <c r="G191" s="173">
        <f>Effort!I191+Aide!I191/Taux!C191+Effort!K191/Taux!C191</f>
        <v>35.860955365104033</v>
      </c>
      <c r="H191" s="82">
        <f t="shared" si="11"/>
        <v>65.323878329201989</v>
      </c>
      <c r="I191" s="159">
        <f t="shared" si="12"/>
        <v>0</v>
      </c>
      <c r="J191" s="633">
        <f t="shared" si="13"/>
        <v>0</v>
      </c>
      <c r="K191" s="636">
        <f t="shared" si="14"/>
        <v>0</v>
      </c>
      <c r="L191" s="5"/>
      <c r="M191" s="10"/>
      <c r="N191" s="11"/>
      <c r="S191" s="11"/>
    </row>
    <row r="192" spans="1:19" x14ac:dyDescent="0.25">
      <c r="A192" s="38">
        <f>Données!A192</f>
        <v>5721</v>
      </c>
      <c r="B192" s="142" t="str">
        <f>Données!B192</f>
        <v>Gland</v>
      </c>
      <c r="C192" s="266">
        <f>VPI!R192</f>
        <v>729933.83950819669</v>
      </c>
      <c r="D192" s="397">
        <f>+Données!AP192</f>
        <v>18.55382818110083</v>
      </c>
      <c r="E192" s="314">
        <f>VPI!Q192</f>
        <v>61</v>
      </c>
      <c r="F192" s="176">
        <f t="shared" si="10"/>
        <v>42.446171818899174</v>
      </c>
      <c r="G192" s="173">
        <f>Effort!I192+Aide!I192/Taux!C192+Effort!K192/Taux!C192</f>
        <v>18.842527115263625</v>
      </c>
      <c r="H192" s="82">
        <f t="shared" si="11"/>
        <v>61.288698934162795</v>
      </c>
      <c r="I192" s="159">
        <f t="shared" si="12"/>
        <v>0</v>
      </c>
      <c r="J192" s="633">
        <f t="shared" si="13"/>
        <v>0</v>
      </c>
      <c r="K192" s="636">
        <f t="shared" si="14"/>
        <v>0</v>
      </c>
      <c r="L192" s="5"/>
      <c r="M192" s="10"/>
      <c r="N192" s="11"/>
      <c r="S192" s="11"/>
    </row>
    <row r="193" spans="1:19" x14ac:dyDescent="0.25">
      <c r="A193" s="38">
        <f>Données!A193</f>
        <v>5722</v>
      </c>
      <c r="B193" s="142" t="str">
        <f>Données!B193</f>
        <v>Grens</v>
      </c>
      <c r="C193" s="266">
        <f>VPI!R193</f>
        <v>21839.736451612909</v>
      </c>
      <c r="D193" s="397">
        <f>+Données!AP193</f>
        <v>29.212020206164336</v>
      </c>
      <c r="E193" s="314">
        <f>VPI!Q193</f>
        <v>62</v>
      </c>
      <c r="F193" s="176">
        <f t="shared" si="10"/>
        <v>32.78797979383566</v>
      </c>
      <c r="G193" s="173">
        <f>Effort!I193+Aide!I193/Taux!C193+Effort!K193/Taux!C193</f>
        <v>29.813395417799356</v>
      </c>
      <c r="H193" s="82">
        <f t="shared" si="11"/>
        <v>62.601375211635016</v>
      </c>
      <c r="I193" s="159">
        <f t="shared" si="12"/>
        <v>0</v>
      </c>
      <c r="J193" s="633">
        <f t="shared" si="13"/>
        <v>0</v>
      </c>
      <c r="K193" s="636">
        <f t="shared" si="14"/>
        <v>0</v>
      </c>
      <c r="L193" s="5"/>
      <c r="M193" s="10"/>
      <c r="N193" s="11"/>
      <c r="S193" s="11"/>
    </row>
    <row r="194" spans="1:19" x14ac:dyDescent="0.25">
      <c r="A194" s="38">
        <f>Données!A194</f>
        <v>5723</v>
      </c>
      <c r="B194" s="142" t="str">
        <f>Données!B194</f>
        <v>Mies</v>
      </c>
      <c r="C194" s="266">
        <f>VPI!R194</f>
        <v>253199.57134615383</v>
      </c>
      <c r="D194" s="397">
        <f>+Données!AP194</f>
        <v>39.709309261542899</v>
      </c>
      <c r="E194" s="314">
        <f>VPI!Q194</f>
        <v>52</v>
      </c>
      <c r="F194" s="176">
        <f t="shared" si="10"/>
        <v>12.290690738457101</v>
      </c>
      <c r="G194" s="173">
        <f>Effort!I194+Aide!I194/Taux!C194+Effort!K194/Taux!C194</f>
        <v>39.784266292009221</v>
      </c>
      <c r="H194" s="82">
        <f t="shared" si="11"/>
        <v>52.074957030466322</v>
      </c>
      <c r="I194" s="159">
        <f t="shared" si="12"/>
        <v>0</v>
      </c>
      <c r="J194" s="633">
        <f t="shared" si="13"/>
        <v>0</v>
      </c>
      <c r="K194" s="636">
        <f t="shared" si="14"/>
        <v>0</v>
      </c>
      <c r="L194" s="5"/>
      <c r="M194" s="10"/>
      <c r="N194" s="11"/>
      <c r="S194" s="11"/>
    </row>
    <row r="195" spans="1:19" x14ac:dyDescent="0.25">
      <c r="A195" s="38">
        <f>Données!A195</f>
        <v>5724</v>
      </c>
      <c r="B195" s="142" t="str">
        <f>Données!B195</f>
        <v>Nyon</v>
      </c>
      <c r="C195" s="266">
        <f>VPI!R195</f>
        <v>1663090.0153005463</v>
      </c>
      <c r="D195" s="397">
        <f>+Données!AP195</f>
        <v>23.139446900600127</v>
      </c>
      <c r="E195" s="314">
        <f>VPI!Q195</f>
        <v>61</v>
      </c>
      <c r="F195" s="176">
        <f t="shared" si="10"/>
        <v>37.860553099399873</v>
      </c>
      <c r="G195" s="173">
        <f>Effort!I195+Aide!I195/Taux!C195+Effort!K195/Taux!C195</f>
        <v>24.283975012247737</v>
      </c>
      <c r="H195" s="82">
        <f t="shared" si="11"/>
        <v>62.14452811164761</v>
      </c>
      <c r="I195" s="159">
        <f t="shared" si="12"/>
        <v>0</v>
      </c>
      <c r="J195" s="633">
        <f t="shared" si="13"/>
        <v>0</v>
      </c>
      <c r="K195" s="636">
        <f t="shared" si="14"/>
        <v>0</v>
      </c>
      <c r="L195" s="5"/>
      <c r="M195" s="10"/>
      <c r="N195" s="11"/>
      <c r="S195" s="11"/>
    </row>
    <row r="196" spans="1:19" x14ac:dyDescent="0.25">
      <c r="A196" s="38">
        <f>Données!A196</f>
        <v>5725</v>
      </c>
      <c r="B196" s="142" t="str">
        <f>Données!B196</f>
        <v>Prangins</v>
      </c>
      <c r="C196" s="266">
        <f>VPI!R196</f>
        <v>341674.87389610388</v>
      </c>
      <c r="D196" s="397">
        <f>+Données!AP196</f>
        <v>35.114580984343441</v>
      </c>
      <c r="E196" s="314">
        <f>VPI!Q196</f>
        <v>55</v>
      </c>
      <c r="F196" s="176">
        <f t="shared" si="10"/>
        <v>19.885419015656559</v>
      </c>
      <c r="G196" s="173">
        <f>Effort!I196+Aide!I196/Taux!C196+Effort!K196/Taux!C196</f>
        <v>32.239977153483807</v>
      </c>
      <c r="H196" s="82">
        <f t="shared" si="11"/>
        <v>52.125396169140366</v>
      </c>
      <c r="I196" s="159">
        <f t="shared" si="12"/>
        <v>0</v>
      </c>
      <c r="J196" s="633">
        <f t="shared" si="13"/>
        <v>0</v>
      </c>
      <c r="K196" s="636">
        <f t="shared" si="14"/>
        <v>0</v>
      </c>
      <c r="L196" s="5"/>
      <c r="M196" s="10"/>
      <c r="N196" s="11"/>
      <c r="S196" s="11"/>
    </row>
    <row r="197" spans="1:19" x14ac:dyDescent="0.25">
      <c r="A197" s="38">
        <f>Données!A197</f>
        <v>5726</v>
      </c>
      <c r="B197" s="142" t="str">
        <f>Données!B197</f>
        <v>La Rippe</v>
      </c>
      <c r="C197" s="266">
        <f>VPI!R197</f>
        <v>71131.071496062999</v>
      </c>
      <c r="D197" s="397">
        <f>+Données!AP197</f>
        <v>30.080380665858545</v>
      </c>
      <c r="E197" s="314">
        <f>VPI!Q197</f>
        <v>63.5</v>
      </c>
      <c r="F197" s="176">
        <f t="shared" si="10"/>
        <v>33.419619334141458</v>
      </c>
      <c r="G197" s="173">
        <f>Effort!I197+Aide!I197/Taux!C197+Effort!K197/Taux!C197</f>
        <v>29.918318517238717</v>
      </c>
      <c r="H197" s="82">
        <f t="shared" si="11"/>
        <v>63.337937851380175</v>
      </c>
      <c r="I197" s="159">
        <f t="shared" si="12"/>
        <v>0</v>
      </c>
      <c r="J197" s="633">
        <f t="shared" si="13"/>
        <v>0</v>
      </c>
      <c r="K197" s="636">
        <f t="shared" si="14"/>
        <v>0</v>
      </c>
      <c r="L197" s="5"/>
      <c r="M197" s="10"/>
      <c r="N197" s="11"/>
      <c r="S197" s="11"/>
    </row>
    <row r="198" spans="1:19" x14ac:dyDescent="0.25">
      <c r="A198" s="38">
        <f>Données!A198</f>
        <v>5727</v>
      </c>
      <c r="B198" s="142" t="str">
        <f>Données!B198</f>
        <v>Saint-Cergue</v>
      </c>
      <c r="C198" s="266">
        <f>VPI!R198</f>
        <v>108766.91914141414</v>
      </c>
      <c r="D198" s="397">
        <f>+Données!AP198</f>
        <v>18.990905224437334</v>
      </c>
      <c r="E198" s="314">
        <f>VPI!Q198</f>
        <v>66</v>
      </c>
      <c r="F198" s="176">
        <f t="shared" si="10"/>
        <v>47.009094775562666</v>
      </c>
      <c r="G198" s="173">
        <f>Effort!I198+Aide!I198/Taux!C198+Effort!K198/Taux!C198</f>
        <v>17.428839074352258</v>
      </c>
      <c r="H198" s="82">
        <f t="shared" si="11"/>
        <v>64.437933849914927</v>
      </c>
      <c r="I198" s="159">
        <f t="shared" si="12"/>
        <v>0</v>
      </c>
      <c r="J198" s="633">
        <f t="shared" si="13"/>
        <v>0</v>
      </c>
      <c r="K198" s="636">
        <f t="shared" si="14"/>
        <v>0</v>
      </c>
      <c r="L198" s="5"/>
      <c r="M198" s="10"/>
      <c r="N198" s="11"/>
      <c r="S198" s="11"/>
    </row>
    <row r="199" spans="1:19" x14ac:dyDescent="0.25">
      <c r="A199" s="38">
        <f>Données!A199</f>
        <v>5728</v>
      </c>
      <c r="B199" s="142" t="str">
        <f>Données!B199</f>
        <v>Signy-Avenex</v>
      </c>
      <c r="C199" s="266">
        <f>VPI!R199</f>
        <v>54935.229999999996</v>
      </c>
      <c r="D199" s="397">
        <f>+Données!AP199</f>
        <v>41.998246179172703</v>
      </c>
      <c r="E199" s="314">
        <f>VPI!Q199</f>
        <v>58</v>
      </c>
      <c r="F199" s="176">
        <f t="shared" ref="F199:F262" si="15">E199-D199</f>
        <v>16.001753820827297</v>
      </c>
      <c r="G199" s="173">
        <f>Effort!I199+Aide!I199/Taux!C199+Effort!K199/Taux!C199</f>
        <v>37.655843755945497</v>
      </c>
      <c r="H199" s="82">
        <f t="shared" ref="H199:H262" si="16">F199+G199</f>
        <v>53.657597576772794</v>
      </c>
      <c r="I199" s="159">
        <f t="shared" ref="I199:I262" si="17">IF(H199&gt;$I$5,H199-$I$5,0)</f>
        <v>0</v>
      </c>
      <c r="J199" s="633">
        <f t="shared" ref="J199:J262" si="18">-I199*C199</f>
        <v>0</v>
      </c>
      <c r="K199" s="636">
        <f t="shared" ref="K199:K262" si="19">J199</f>
        <v>0</v>
      </c>
      <c r="L199" s="5"/>
      <c r="M199" s="10"/>
      <c r="N199" s="11"/>
      <c r="S199" s="11"/>
    </row>
    <row r="200" spans="1:19" x14ac:dyDescent="0.25">
      <c r="A200" s="38">
        <f>Données!A200</f>
        <v>5729</v>
      </c>
      <c r="B200" s="142" t="str">
        <f>Données!B200</f>
        <v>Tannay</v>
      </c>
      <c r="C200" s="266">
        <f>VPI!R200</f>
        <v>200776.3305785124</v>
      </c>
      <c r="D200" s="397">
        <f>+Données!AP200</f>
        <v>41.095743048560223</v>
      </c>
      <c r="E200" s="314">
        <f>VPI!Q200</f>
        <v>60.5</v>
      </c>
      <c r="F200" s="176">
        <f t="shared" si="15"/>
        <v>19.404256951439777</v>
      </c>
      <c r="G200" s="173">
        <f>Effort!I200+Aide!I200/Taux!C200+Effort!K200/Taux!C200</f>
        <v>41.939511021081088</v>
      </c>
      <c r="H200" s="82">
        <f t="shared" si="16"/>
        <v>61.343767972520865</v>
      </c>
      <c r="I200" s="159">
        <f t="shared" si="17"/>
        <v>0</v>
      </c>
      <c r="J200" s="633">
        <f t="shared" si="18"/>
        <v>0</v>
      </c>
      <c r="K200" s="636">
        <f t="shared" si="19"/>
        <v>0</v>
      </c>
      <c r="L200" s="5"/>
      <c r="M200" s="10"/>
      <c r="N200" s="11"/>
      <c r="S200" s="11"/>
    </row>
    <row r="201" spans="1:19" x14ac:dyDescent="0.25">
      <c r="A201" s="38">
        <f>Données!A201</f>
        <v>5730</v>
      </c>
      <c r="B201" s="142" t="str">
        <f>Données!B201</f>
        <v>Trélex</v>
      </c>
      <c r="C201" s="266">
        <f>VPI!R201</f>
        <v>146462.65611611609</v>
      </c>
      <c r="D201" s="397">
        <f>+Données!AP201</f>
        <v>35.782577357546948</v>
      </c>
      <c r="E201" s="314">
        <f>VPI!Q201</f>
        <v>55.5</v>
      </c>
      <c r="F201" s="176">
        <f t="shared" si="15"/>
        <v>19.717422642453052</v>
      </c>
      <c r="G201" s="173">
        <f>Effort!I201+Aide!I201/Taux!C201+Effort!K201/Taux!C201</f>
        <v>38.33912469939871</v>
      </c>
      <c r="H201" s="82">
        <f t="shared" si="16"/>
        <v>58.056547341851761</v>
      </c>
      <c r="I201" s="159">
        <f t="shared" si="17"/>
        <v>0</v>
      </c>
      <c r="J201" s="633">
        <f t="shared" si="18"/>
        <v>0</v>
      </c>
      <c r="K201" s="636">
        <f t="shared" si="19"/>
        <v>0</v>
      </c>
      <c r="L201" s="5"/>
      <c r="M201" s="10"/>
      <c r="N201" s="11"/>
      <c r="S201" s="11"/>
    </row>
    <row r="202" spans="1:19" x14ac:dyDescent="0.25">
      <c r="A202" s="38">
        <f>Données!A202</f>
        <v>5731</v>
      </c>
      <c r="B202" s="142" t="str">
        <f>Données!B202</f>
        <v>Le Vaud</v>
      </c>
      <c r="C202" s="266">
        <f>VPI!R202</f>
        <v>70899.219223744294</v>
      </c>
      <c r="D202" s="397">
        <f>+Données!AP202</f>
        <v>27.048479512803262</v>
      </c>
      <c r="E202" s="314">
        <f>VPI!Q202</f>
        <v>73</v>
      </c>
      <c r="F202" s="176">
        <f t="shared" si="15"/>
        <v>45.951520487196738</v>
      </c>
      <c r="G202" s="173">
        <f>Effort!I202+Aide!I202/Taux!C202+Effort!K202/Taux!C202</f>
        <v>26.994967079809861</v>
      </c>
      <c r="H202" s="82">
        <f t="shared" si="16"/>
        <v>72.946487567006599</v>
      </c>
      <c r="I202" s="159">
        <f t="shared" si="17"/>
        <v>0</v>
      </c>
      <c r="J202" s="633">
        <f t="shared" si="18"/>
        <v>0</v>
      </c>
      <c r="K202" s="636">
        <f t="shared" si="19"/>
        <v>0</v>
      </c>
      <c r="L202" s="5"/>
      <c r="M202" s="10"/>
      <c r="N202" s="11"/>
      <c r="S202" s="11"/>
    </row>
    <row r="203" spans="1:19" x14ac:dyDescent="0.25">
      <c r="A203" s="38">
        <f>Données!A203</f>
        <v>5732</v>
      </c>
      <c r="B203" s="142" t="str">
        <f>Données!B203</f>
        <v>Vich</v>
      </c>
      <c r="C203" s="266">
        <f>VPI!R203</f>
        <v>83913.803650793649</v>
      </c>
      <c r="D203" s="397">
        <f>+Données!AP203</f>
        <v>33.143106773698563</v>
      </c>
      <c r="E203" s="314">
        <f>VPI!Q203</f>
        <v>63</v>
      </c>
      <c r="F203" s="176">
        <f t="shared" si="15"/>
        <v>29.856893226301437</v>
      </c>
      <c r="G203" s="173">
        <f>Effort!I203+Aide!I203/Taux!C203+Effort!K203/Taux!C203</f>
        <v>33.401065068269759</v>
      </c>
      <c r="H203" s="82">
        <f t="shared" si="16"/>
        <v>63.257958294571196</v>
      </c>
      <c r="I203" s="159">
        <f t="shared" si="17"/>
        <v>0</v>
      </c>
      <c r="J203" s="633">
        <f t="shared" si="18"/>
        <v>0</v>
      </c>
      <c r="K203" s="636">
        <f t="shared" si="19"/>
        <v>0</v>
      </c>
      <c r="L203" s="5"/>
      <c r="M203" s="10"/>
      <c r="N203" s="11"/>
      <c r="S203" s="11"/>
    </row>
    <row r="204" spans="1:19" x14ac:dyDescent="0.25">
      <c r="A204" s="38">
        <f>Données!A204</f>
        <v>5741</v>
      </c>
      <c r="B204" s="142" t="str">
        <f>Données!B204</f>
        <v>L'Abergement</v>
      </c>
      <c r="C204" s="266">
        <f>VPI!R204</f>
        <v>8275.7188124999993</v>
      </c>
      <c r="D204" s="397">
        <f>+Données!AP204</f>
        <v>23.504119069952697</v>
      </c>
      <c r="E204" s="314">
        <f>VPI!Q204</f>
        <v>80</v>
      </c>
      <c r="F204" s="176">
        <f t="shared" si="15"/>
        <v>56.495880930047306</v>
      </c>
      <c r="G204" s="173">
        <f>Effort!I204+Aide!I204/Taux!C204+Effort!K204/Taux!C204</f>
        <v>11.148005567848273</v>
      </c>
      <c r="H204" s="82">
        <f t="shared" si="16"/>
        <v>67.643886497895579</v>
      </c>
      <c r="I204" s="159">
        <f t="shared" si="17"/>
        <v>0</v>
      </c>
      <c r="J204" s="633">
        <f t="shared" si="18"/>
        <v>0</v>
      </c>
      <c r="K204" s="636">
        <f t="shared" si="19"/>
        <v>0</v>
      </c>
      <c r="L204" s="5"/>
      <c r="M204" s="10"/>
      <c r="N204" s="11"/>
      <c r="S204" s="11"/>
    </row>
    <row r="205" spans="1:19" x14ac:dyDescent="0.25">
      <c r="A205" s="38">
        <f>Données!A205</f>
        <v>5742</v>
      </c>
      <c r="B205" s="142" t="str">
        <f>Données!B205</f>
        <v>Agiez</v>
      </c>
      <c r="C205" s="266">
        <f>VPI!R205</f>
        <v>9208.6422368421081</v>
      </c>
      <c r="D205" s="397">
        <f>+Données!AP205</f>
        <v>1.3163347144957049</v>
      </c>
      <c r="E205" s="314">
        <f>VPI!Q205</f>
        <v>76</v>
      </c>
      <c r="F205" s="176">
        <f t="shared" si="15"/>
        <v>74.68366528550429</v>
      </c>
      <c r="G205" s="173">
        <f>Effort!I205+Aide!I205/Taux!C205+Effort!K205/Taux!C205</f>
        <v>0.93420175912116932</v>
      </c>
      <c r="H205" s="82">
        <f t="shared" si="16"/>
        <v>75.617867044625456</v>
      </c>
      <c r="I205" s="159">
        <f t="shared" si="17"/>
        <v>0</v>
      </c>
      <c r="J205" s="633">
        <f t="shared" si="18"/>
        <v>0</v>
      </c>
      <c r="K205" s="636">
        <f t="shared" si="19"/>
        <v>0</v>
      </c>
      <c r="L205" s="5"/>
      <c r="M205" s="10"/>
      <c r="N205" s="11"/>
      <c r="S205" s="11"/>
    </row>
    <row r="206" spans="1:19" x14ac:dyDescent="0.25">
      <c r="A206" s="38">
        <f>Données!A206</f>
        <v>5743</v>
      </c>
      <c r="B206" s="142" t="str">
        <f>Données!B206</f>
        <v>Arnex-sur-Orbe</v>
      </c>
      <c r="C206" s="266">
        <f>VPI!R206</f>
        <v>19122.067147887326</v>
      </c>
      <c r="D206" s="397">
        <f>+Données!AP206</f>
        <v>11.534799170292839</v>
      </c>
      <c r="E206" s="314">
        <f>VPI!Q206</f>
        <v>71</v>
      </c>
      <c r="F206" s="176">
        <f t="shared" si="15"/>
        <v>59.465200829707157</v>
      </c>
      <c r="G206" s="173">
        <f>Effort!I206+Aide!I206/Taux!C206+Effort!K206/Taux!C206</f>
        <v>11.953140376925646</v>
      </c>
      <c r="H206" s="82">
        <f t="shared" si="16"/>
        <v>71.418341206632803</v>
      </c>
      <c r="I206" s="159">
        <f t="shared" si="17"/>
        <v>0</v>
      </c>
      <c r="J206" s="633">
        <f t="shared" si="18"/>
        <v>0</v>
      </c>
      <c r="K206" s="636">
        <f t="shared" si="19"/>
        <v>0</v>
      </c>
      <c r="L206" s="5"/>
      <c r="M206" s="10"/>
      <c r="N206" s="11"/>
      <c r="S206" s="11"/>
    </row>
    <row r="207" spans="1:19" x14ac:dyDescent="0.25">
      <c r="A207" s="38">
        <f>Données!A207</f>
        <v>5744</v>
      </c>
      <c r="B207" s="142" t="str">
        <f>Données!B207</f>
        <v>Ballaigues</v>
      </c>
      <c r="C207" s="266">
        <f>VPI!R207</f>
        <v>60998.783230769215</v>
      </c>
      <c r="D207" s="397">
        <f>+Données!AP207</f>
        <v>26.835432573464221</v>
      </c>
      <c r="E207" s="314">
        <f>VPI!Q207</f>
        <v>65</v>
      </c>
      <c r="F207" s="176">
        <f t="shared" si="15"/>
        <v>38.164567426535783</v>
      </c>
      <c r="G207" s="173">
        <f>Effort!I207+Aide!I207/Taux!C207+Effort!K207/Taux!C207</f>
        <v>27.88830620709307</v>
      </c>
      <c r="H207" s="82">
        <f t="shared" si="16"/>
        <v>66.052873633628849</v>
      </c>
      <c r="I207" s="159">
        <f t="shared" si="17"/>
        <v>0</v>
      </c>
      <c r="J207" s="633">
        <f t="shared" si="18"/>
        <v>0</v>
      </c>
      <c r="K207" s="636">
        <f t="shared" si="19"/>
        <v>0</v>
      </c>
      <c r="L207" s="5"/>
      <c r="M207" s="10"/>
      <c r="N207" s="11"/>
      <c r="S207" s="11"/>
    </row>
    <row r="208" spans="1:19" x14ac:dyDescent="0.25">
      <c r="A208" s="38">
        <f>Données!A208</f>
        <v>5745</v>
      </c>
      <c r="B208" s="142" t="str">
        <f>Données!B208</f>
        <v>Baulmes</v>
      </c>
      <c r="C208" s="266">
        <f>VPI!R208</f>
        <v>29147.980130718955</v>
      </c>
      <c r="D208" s="397">
        <f>+Données!AP208</f>
        <v>1.4647981322469554</v>
      </c>
      <c r="E208" s="314">
        <f>VPI!Q208</f>
        <v>76.5</v>
      </c>
      <c r="F208" s="176">
        <f t="shared" si="15"/>
        <v>75.035201867753045</v>
      </c>
      <c r="G208" s="173">
        <f>Effort!I208+Aide!I208/Taux!C208+Effort!K208/Taux!C208</f>
        <v>2.3578123090930703</v>
      </c>
      <c r="H208" s="82">
        <f t="shared" si="16"/>
        <v>77.393014176846123</v>
      </c>
      <c r="I208" s="159">
        <f t="shared" si="17"/>
        <v>0</v>
      </c>
      <c r="J208" s="633">
        <f t="shared" si="18"/>
        <v>0</v>
      </c>
      <c r="K208" s="636">
        <f t="shared" si="19"/>
        <v>0</v>
      </c>
      <c r="L208" s="5"/>
      <c r="M208" s="10"/>
      <c r="N208" s="11"/>
      <c r="S208" s="11"/>
    </row>
    <row r="209" spans="1:19" x14ac:dyDescent="0.25">
      <c r="A209" s="38">
        <f>Données!A209</f>
        <v>5746</v>
      </c>
      <c r="B209" s="142" t="str">
        <f>Données!B209</f>
        <v>Bavois</v>
      </c>
      <c r="C209" s="266">
        <f>VPI!R209</f>
        <v>33851.911712962959</v>
      </c>
      <c r="D209" s="397">
        <f>+Données!AP209</f>
        <v>12.679619991335942</v>
      </c>
      <c r="E209" s="314">
        <f>VPI!Q209</f>
        <v>72</v>
      </c>
      <c r="F209" s="176">
        <f t="shared" si="15"/>
        <v>59.32038000866406</v>
      </c>
      <c r="G209" s="173">
        <f>Effort!I209+Aide!I209/Taux!C209+Effort!K209/Taux!C209</f>
        <v>15.834339223381637</v>
      </c>
      <c r="H209" s="82">
        <f t="shared" si="16"/>
        <v>75.154719232045693</v>
      </c>
      <c r="I209" s="159">
        <f t="shared" si="17"/>
        <v>0</v>
      </c>
      <c r="J209" s="633">
        <f t="shared" si="18"/>
        <v>0</v>
      </c>
      <c r="K209" s="636">
        <f t="shared" si="19"/>
        <v>0</v>
      </c>
      <c r="L209" s="5"/>
      <c r="M209" s="10"/>
      <c r="N209" s="11"/>
      <c r="S209" s="11"/>
    </row>
    <row r="210" spans="1:19" x14ac:dyDescent="0.25">
      <c r="A210" s="38">
        <f>Données!A210</f>
        <v>5747</v>
      </c>
      <c r="B210" s="142" t="str">
        <f>Données!B210</f>
        <v>Bofflens</v>
      </c>
      <c r="C210" s="266">
        <f>VPI!R210</f>
        <v>7065.5449275362316</v>
      </c>
      <c r="D210" s="397">
        <f>+Données!AP210</f>
        <v>12.685451428928053</v>
      </c>
      <c r="E210" s="314">
        <f>VPI!Q210</f>
        <v>69</v>
      </c>
      <c r="F210" s="176">
        <f t="shared" si="15"/>
        <v>56.314548571071946</v>
      </c>
      <c r="G210" s="173">
        <f>Effort!I210+Aide!I210/Taux!C210+Effort!K210/Taux!C210</f>
        <v>20.366471777051501</v>
      </c>
      <c r="H210" s="82">
        <f t="shared" si="16"/>
        <v>76.68102034812344</v>
      </c>
      <c r="I210" s="159">
        <f t="shared" si="17"/>
        <v>0</v>
      </c>
      <c r="J210" s="633">
        <f t="shared" si="18"/>
        <v>0</v>
      </c>
      <c r="K210" s="636">
        <f t="shared" si="19"/>
        <v>0</v>
      </c>
      <c r="L210" s="5"/>
      <c r="M210" s="10"/>
      <c r="N210" s="11"/>
      <c r="S210" s="11"/>
    </row>
    <row r="211" spans="1:19" x14ac:dyDescent="0.25">
      <c r="A211" s="38">
        <f>Données!A211</f>
        <v>5748</v>
      </c>
      <c r="B211" s="142" t="str">
        <f>Données!B211</f>
        <v>Bretonnières</v>
      </c>
      <c r="C211" s="266">
        <f>VPI!R211</f>
        <v>6864.9177304964542</v>
      </c>
      <c r="D211" s="397">
        <f>+Données!AP211</f>
        <v>8.0147235584348948</v>
      </c>
      <c r="E211" s="314">
        <f>VPI!Q211</f>
        <v>70.5</v>
      </c>
      <c r="F211" s="176">
        <f t="shared" si="15"/>
        <v>62.485276441565105</v>
      </c>
      <c r="G211" s="173">
        <f>Effort!I211+Aide!I211/Taux!C211+Effort!K211/Taux!C211</f>
        <v>8.6358929070652302</v>
      </c>
      <c r="H211" s="82">
        <f t="shared" si="16"/>
        <v>71.121169348630332</v>
      </c>
      <c r="I211" s="159">
        <f t="shared" si="17"/>
        <v>0</v>
      </c>
      <c r="J211" s="633">
        <f t="shared" si="18"/>
        <v>0</v>
      </c>
      <c r="K211" s="636">
        <f t="shared" si="19"/>
        <v>0</v>
      </c>
      <c r="L211" s="5"/>
      <c r="M211" s="10"/>
      <c r="N211" s="11"/>
      <c r="S211" s="11"/>
    </row>
    <row r="212" spans="1:19" x14ac:dyDescent="0.25">
      <c r="A212" s="38">
        <f>Données!A212</f>
        <v>5749</v>
      </c>
      <c r="B212" s="142" t="str">
        <f>Données!B212</f>
        <v>Chavornay</v>
      </c>
      <c r="C212" s="266">
        <f>VPI!R212</f>
        <v>149579.8465248227</v>
      </c>
      <c r="D212" s="397">
        <f>+Données!AP212</f>
        <v>-7.9614778857798885E-2</v>
      </c>
      <c r="E212" s="314">
        <f>VPI!Q212</f>
        <v>70.5</v>
      </c>
      <c r="F212" s="176">
        <f t="shared" si="15"/>
        <v>70.579614778857803</v>
      </c>
      <c r="G212" s="173">
        <f>Effort!I212+Aide!I212/Taux!C212+Effort!K212/Taux!C212</f>
        <v>0.44809330602312158</v>
      </c>
      <c r="H212" s="82">
        <f t="shared" si="16"/>
        <v>71.027708084880928</v>
      </c>
      <c r="I212" s="159">
        <f t="shared" si="17"/>
        <v>0</v>
      </c>
      <c r="J212" s="633">
        <f t="shared" si="18"/>
        <v>0</v>
      </c>
      <c r="K212" s="636">
        <f t="shared" si="19"/>
        <v>0</v>
      </c>
      <c r="L212" s="5"/>
      <c r="M212" s="10"/>
      <c r="N212" s="11"/>
      <c r="S212" s="11"/>
    </row>
    <row r="213" spans="1:19" x14ac:dyDescent="0.25">
      <c r="A213" s="38">
        <f>Données!A213</f>
        <v>5750</v>
      </c>
      <c r="B213" s="142" t="str">
        <f>Données!B213</f>
        <v>Les Clées</v>
      </c>
      <c r="C213" s="266">
        <f>VPI!R213</f>
        <v>5320.5294166666672</v>
      </c>
      <c r="D213" s="397">
        <f>+Données!AP213</f>
        <v>9.7273208736037073</v>
      </c>
      <c r="E213" s="314">
        <f>VPI!Q213</f>
        <v>80</v>
      </c>
      <c r="F213" s="176">
        <f t="shared" si="15"/>
        <v>70.272679126396298</v>
      </c>
      <c r="G213" s="173">
        <f>Effort!I213+Aide!I213/Taux!C213+Effort!K213/Taux!C213</f>
        <v>5.9811129926716067</v>
      </c>
      <c r="H213" s="82">
        <f t="shared" si="16"/>
        <v>76.25379211906791</v>
      </c>
      <c r="I213" s="159">
        <f t="shared" si="17"/>
        <v>0</v>
      </c>
      <c r="J213" s="633">
        <f t="shared" si="18"/>
        <v>0</v>
      </c>
      <c r="K213" s="636">
        <f t="shared" si="19"/>
        <v>0</v>
      </c>
      <c r="L213" s="5"/>
      <c r="M213" s="10"/>
      <c r="N213" s="11"/>
      <c r="S213" s="11"/>
    </row>
    <row r="214" spans="1:19" x14ac:dyDescent="0.25">
      <c r="A214" s="38">
        <f>Données!A214</f>
        <v>5752</v>
      </c>
      <c r="B214" s="142" t="str">
        <f>Données!B214</f>
        <v>Croy</v>
      </c>
      <c r="C214" s="266">
        <f>VPI!R214</f>
        <v>9858.3588996138969</v>
      </c>
      <c r="D214" s="397">
        <f>+Données!AP214</f>
        <v>7.6528092081505577</v>
      </c>
      <c r="E214" s="314">
        <f>VPI!Q214</f>
        <v>74</v>
      </c>
      <c r="F214" s="176">
        <f t="shared" si="15"/>
        <v>66.347190791849442</v>
      </c>
      <c r="G214" s="173">
        <f>Effort!I214+Aide!I214/Taux!C214+Effort!K214/Taux!C214</f>
        <v>3.8029986380105782</v>
      </c>
      <c r="H214" s="82">
        <f t="shared" si="16"/>
        <v>70.150189429860021</v>
      </c>
      <c r="I214" s="159">
        <f t="shared" si="17"/>
        <v>0</v>
      </c>
      <c r="J214" s="633">
        <f t="shared" si="18"/>
        <v>0</v>
      </c>
      <c r="K214" s="636">
        <f t="shared" si="19"/>
        <v>0</v>
      </c>
      <c r="L214" s="5"/>
      <c r="M214" s="10"/>
      <c r="N214" s="11"/>
      <c r="S214" s="11"/>
    </row>
    <row r="215" spans="1:19" x14ac:dyDescent="0.25">
      <c r="A215" s="38">
        <f>Données!A215</f>
        <v>5754</v>
      </c>
      <c r="B215" s="142" t="str">
        <f>Données!B215</f>
        <v>Juriens</v>
      </c>
      <c r="C215" s="266">
        <f>VPI!R215</f>
        <v>8812.2215189873423</v>
      </c>
      <c r="D215" s="397">
        <f>+Données!AP215</f>
        <v>2.0933421394315648</v>
      </c>
      <c r="E215" s="314">
        <f>VPI!Q215</f>
        <v>79</v>
      </c>
      <c r="F215" s="176">
        <f t="shared" si="15"/>
        <v>76.90665786056843</v>
      </c>
      <c r="G215" s="173">
        <f>Effort!I215+Aide!I215/Taux!C215+Effort!K215/Taux!C215</f>
        <v>1.3720781456345073</v>
      </c>
      <c r="H215" s="82">
        <f t="shared" si="16"/>
        <v>78.278736006202934</v>
      </c>
      <c r="I215" s="159">
        <f t="shared" si="17"/>
        <v>0</v>
      </c>
      <c r="J215" s="633">
        <f t="shared" si="18"/>
        <v>0</v>
      </c>
      <c r="K215" s="636">
        <f t="shared" si="19"/>
        <v>0</v>
      </c>
      <c r="L215" s="5"/>
      <c r="M215" s="10"/>
      <c r="N215" s="11"/>
      <c r="S215" s="11"/>
    </row>
    <row r="216" spans="1:19" x14ac:dyDescent="0.25">
      <c r="A216" s="38">
        <f>Données!A216</f>
        <v>5755</v>
      </c>
      <c r="B216" s="142" t="str">
        <f>Données!B216</f>
        <v>Lignerolle</v>
      </c>
      <c r="C216" s="266">
        <f>VPI!R216</f>
        <v>11116.576615104641</v>
      </c>
      <c r="D216" s="397">
        <f>+Données!AP216</f>
        <v>1.2617722168717092</v>
      </c>
      <c r="E216" s="314">
        <f>VPI!Q216</f>
        <v>78.5</v>
      </c>
      <c r="F216" s="176">
        <f t="shared" si="15"/>
        <v>77.238227783128295</v>
      </c>
      <c r="G216" s="173">
        <f>Effort!I216+Aide!I216/Taux!C216+Effort!K216/Taux!C216</f>
        <v>-0.65364991815311768</v>
      </c>
      <c r="H216" s="82">
        <f t="shared" si="16"/>
        <v>76.584577864975174</v>
      </c>
      <c r="I216" s="159">
        <f t="shared" si="17"/>
        <v>0</v>
      </c>
      <c r="J216" s="633">
        <f t="shared" si="18"/>
        <v>0</v>
      </c>
      <c r="K216" s="636">
        <f t="shared" si="19"/>
        <v>0</v>
      </c>
      <c r="L216" s="5"/>
      <c r="M216" s="10"/>
      <c r="N216" s="11"/>
      <c r="S216" s="11"/>
    </row>
    <row r="217" spans="1:19" x14ac:dyDescent="0.25">
      <c r="A217" s="38">
        <f>Données!A217</f>
        <v>5756</v>
      </c>
      <c r="B217" s="142" t="str">
        <f>Données!B217</f>
        <v>Montcherand</v>
      </c>
      <c r="C217" s="266">
        <f>VPI!R217</f>
        <v>20941.594027777777</v>
      </c>
      <c r="D217" s="397">
        <f>+Données!AP217</f>
        <v>19.380531248109854</v>
      </c>
      <c r="E217" s="314">
        <f>VPI!Q217</f>
        <v>72</v>
      </c>
      <c r="F217" s="176">
        <f t="shared" si="15"/>
        <v>52.619468751890146</v>
      </c>
      <c r="G217" s="173">
        <f>Effort!I217+Aide!I217/Taux!C217+Effort!K217/Taux!C217</f>
        <v>24.229723575171313</v>
      </c>
      <c r="H217" s="82">
        <f t="shared" si="16"/>
        <v>76.849192327061459</v>
      </c>
      <c r="I217" s="159">
        <f t="shared" si="17"/>
        <v>0</v>
      </c>
      <c r="J217" s="633">
        <f t="shared" si="18"/>
        <v>0</v>
      </c>
      <c r="K217" s="636">
        <f t="shared" si="19"/>
        <v>0</v>
      </c>
      <c r="L217" s="5"/>
      <c r="M217" s="10"/>
      <c r="N217" s="11"/>
      <c r="S217" s="11"/>
    </row>
    <row r="218" spans="1:19" x14ac:dyDescent="0.25">
      <c r="A218" s="38">
        <f>Données!A218</f>
        <v>5757</v>
      </c>
      <c r="B218" s="142" t="str">
        <f>Données!B218</f>
        <v>Orbe</v>
      </c>
      <c r="C218" s="266">
        <f>VPI!R218</f>
        <v>226209.22728476822</v>
      </c>
      <c r="D218" s="397">
        <f>+Données!AP218</f>
        <v>-1.1609778772321704</v>
      </c>
      <c r="E218" s="314">
        <f>VPI!Q218</f>
        <v>75.5</v>
      </c>
      <c r="F218" s="176">
        <f t="shared" si="15"/>
        <v>76.66097787723217</v>
      </c>
      <c r="G218" s="173">
        <f>Effort!I218+Aide!I218/Taux!C218+Effort!K218/Taux!C218</f>
        <v>-1.7525360496862383</v>
      </c>
      <c r="H218" s="82">
        <f t="shared" si="16"/>
        <v>74.908441827545929</v>
      </c>
      <c r="I218" s="159">
        <f t="shared" si="17"/>
        <v>0</v>
      </c>
      <c r="J218" s="633">
        <f t="shared" si="18"/>
        <v>0</v>
      </c>
      <c r="K218" s="636">
        <f t="shared" si="19"/>
        <v>0</v>
      </c>
      <c r="L218" s="5"/>
      <c r="M218" s="10"/>
      <c r="N218" s="11"/>
      <c r="S218" s="11"/>
    </row>
    <row r="219" spans="1:19" x14ac:dyDescent="0.25">
      <c r="A219" s="38">
        <f>Données!A219</f>
        <v>5758</v>
      </c>
      <c r="B219" s="142" t="str">
        <f>Données!B219</f>
        <v>La Praz</v>
      </c>
      <c r="C219" s="266">
        <f>VPI!R219</f>
        <v>5593.0973493975916</v>
      </c>
      <c r="D219" s="397">
        <f>+Données!AP219</f>
        <v>-1.2002960339400939</v>
      </c>
      <c r="E219" s="314">
        <f>VPI!Q219</f>
        <v>83</v>
      </c>
      <c r="F219" s="176">
        <f t="shared" si="15"/>
        <v>84.200296033940091</v>
      </c>
      <c r="G219" s="173">
        <f>Effort!I219+Aide!I219/Taux!C219+Effort!K219/Taux!C219</f>
        <v>3.3375257216025531</v>
      </c>
      <c r="H219" s="82">
        <f t="shared" si="16"/>
        <v>87.537821755542637</v>
      </c>
      <c r="I219" s="159">
        <f t="shared" si="17"/>
        <v>0</v>
      </c>
      <c r="J219" s="633">
        <f t="shared" si="18"/>
        <v>0</v>
      </c>
      <c r="K219" s="636">
        <f t="shared" si="19"/>
        <v>0</v>
      </c>
      <c r="L219" s="5"/>
      <c r="M219" s="10"/>
      <c r="N219" s="11"/>
      <c r="S219" s="11"/>
    </row>
    <row r="220" spans="1:19" x14ac:dyDescent="0.25">
      <c r="A220" s="38">
        <f>Données!A220</f>
        <v>5759</v>
      </c>
      <c r="B220" s="142" t="str">
        <f>Données!B220</f>
        <v>Premier</v>
      </c>
      <c r="C220" s="266">
        <f>VPI!R220</f>
        <v>5351.6616352201272</v>
      </c>
      <c r="D220" s="397">
        <f>+Données!AP220</f>
        <v>-0.32533478563218693</v>
      </c>
      <c r="E220" s="314">
        <f>VPI!Q220</f>
        <v>79.5</v>
      </c>
      <c r="F220" s="176">
        <f t="shared" si="15"/>
        <v>79.825334785632194</v>
      </c>
      <c r="G220" s="173">
        <f>Effort!I220+Aide!I220/Taux!C220+Effort!K220/Taux!C220</f>
        <v>-4.049163730990248</v>
      </c>
      <c r="H220" s="82">
        <f t="shared" si="16"/>
        <v>75.776171054641949</v>
      </c>
      <c r="I220" s="159">
        <f t="shared" si="17"/>
        <v>0</v>
      </c>
      <c r="J220" s="633">
        <f t="shared" si="18"/>
        <v>0</v>
      </c>
      <c r="K220" s="636">
        <f t="shared" si="19"/>
        <v>0</v>
      </c>
      <c r="L220" s="5"/>
      <c r="M220" s="10"/>
      <c r="N220" s="11"/>
      <c r="S220" s="11"/>
    </row>
    <row r="221" spans="1:19" x14ac:dyDescent="0.25">
      <c r="A221" s="38">
        <f>Données!A221</f>
        <v>5760</v>
      </c>
      <c r="B221" s="142" t="str">
        <f>Données!B221</f>
        <v>Rances</v>
      </c>
      <c r="C221" s="266">
        <f>VPI!R221</f>
        <v>16377.081307189543</v>
      </c>
      <c r="D221" s="397">
        <f>+Données!AP221</f>
        <v>13.825984241421205</v>
      </c>
      <c r="E221" s="314">
        <f>VPI!Q221</f>
        <v>76.5</v>
      </c>
      <c r="F221" s="176">
        <f t="shared" si="15"/>
        <v>62.674015758578797</v>
      </c>
      <c r="G221" s="173">
        <f>Effort!I221+Aide!I221/Taux!C221+Effort!K221/Taux!C221</f>
        <v>12.885115920967769</v>
      </c>
      <c r="H221" s="82">
        <f t="shared" si="16"/>
        <v>75.559131679546567</v>
      </c>
      <c r="I221" s="159">
        <f t="shared" si="17"/>
        <v>0</v>
      </c>
      <c r="J221" s="633">
        <f t="shared" si="18"/>
        <v>0</v>
      </c>
      <c r="K221" s="636">
        <f t="shared" si="19"/>
        <v>0</v>
      </c>
      <c r="L221" s="5"/>
      <c r="M221" s="10"/>
      <c r="N221" s="11"/>
      <c r="S221" s="11"/>
    </row>
    <row r="222" spans="1:19" x14ac:dyDescent="0.25">
      <c r="A222" s="38">
        <f>Données!A222</f>
        <v>5761</v>
      </c>
      <c r="B222" s="142" t="str">
        <f>Données!B222</f>
        <v>Romainmôtier-Envy</v>
      </c>
      <c r="C222" s="266">
        <f>VPI!R222</f>
        <v>13471.82785634119</v>
      </c>
      <c r="D222" s="397">
        <f>+Données!AP222</f>
        <v>2.6786572858518292</v>
      </c>
      <c r="E222" s="314">
        <f>VPI!Q222</f>
        <v>81</v>
      </c>
      <c r="F222" s="176">
        <f t="shared" si="15"/>
        <v>78.321342714148173</v>
      </c>
      <c r="G222" s="173">
        <f>Effort!I222+Aide!I222/Taux!C222+Effort!K222/Taux!C222</f>
        <v>-3.9361618684773809</v>
      </c>
      <c r="H222" s="82">
        <f t="shared" si="16"/>
        <v>74.385180845670789</v>
      </c>
      <c r="I222" s="159">
        <f t="shared" si="17"/>
        <v>0</v>
      </c>
      <c r="J222" s="633">
        <f t="shared" si="18"/>
        <v>0</v>
      </c>
      <c r="K222" s="636">
        <f t="shared" si="19"/>
        <v>0</v>
      </c>
      <c r="L222" s="5"/>
      <c r="M222" s="10"/>
      <c r="N222" s="11"/>
      <c r="S222" s="11"/>
    </row>
    <row r="223" spans="1:19" x14ac:dyDescent="0.25">
      <c r="A223" s="38">
        <f>Données!A223</f>
        <v>5762</v>
      </c>
      <c r="B223" s="142" t="str">
        <f>Données!B223</f>
        <v>Sergey</v>
      </c>
      <c r="C223" s="266">
        <f>VPI!R223</f>
        <v>3564.2302564102565</v>
      </c>
      <c r="D223" s="397">
        <f>+Données!AP223</f>
        <v>6.1617996221373934</v>
      </c>
      <c r="E223" s="314">
        <f>VPI!Q223</f>
        <v>78</v>
      </c>
      <c r="F223" s="176">
        <f t="shared" si="15"/>
        <v>71.838200377862606</v>
      </c>
      <c r="G223" s="173">
        <f>Effort!I223+Aide!I223/Taux!C223+Effort!K223/Taux!C223</f>
        <v>3.8379716707142819</v>
      </c>
      <c r="H223" s="82">
        <f t="shared" si="16"/>
        <v>75.676172048576888</v>
      </c>
      <c r="I223" s="159">
        <f t="shared" si="17"/>
        <v>0</v>
      </c>
      <c r="J223" s="633">
        <f t="shared" si="18"/>
        <v>0</v>
      </c>
      <c r="K223" s="636">
        <f t="shared" si="19"/>
        <v>0</v>
      </c>
      <c r="L223" s="5"/>
      <c r="M223" s="10"/>
      <c r="N223" s="11"/>
      <c r="S223" s="11"/>
    </row>
    <row r="224" spans="1:19" x14ac:dyDescent="0.25">
      <c r="A224" s="38">
        <f>Données!A224</f>
        <v>5763</v>
      </c>
      <c r="B224" s="142" t="str">
        <f>Données!B224</f>
        <v>Valeyres-sous-Rances</v>
      </c>
      <c r="C224" s="266">
        <f>VPI!R224</f>
        <v>21279.080140845068</v>
      </c>
      <c r="D224" s="397">
        <f>+Données!AP224</f>
        <v>20.875439393379075</v>
      </c>
      <c r="E224" s="314">
        <f>VPI!Q224</f>
        <v>71</v>
      </c>
      <c r="F224" s="176">
        <f t="shared" si="15"/>
        <v>50.124560606620925</v>
      </c>
      <c r="G224" s="173">
        <f>Effort!I224+Aide!I224/Taux!C224+Effort!K224/Taux!C224</f>
        <v>20.033024735549773</v>
      </c>
      <c r="H224" s="82">
        <f t="shared" si="16"/>
        <v>70.157585342170705</v>
      </c>
      <c r="I224" s="159">
        <f t="shared" si="17"/>
        <v>0</v>
      </c>
      <c r="J224" s="633">
        <f t="shared" si="18"/>
        <v>0</v>
      </c>
      <c r="K224" s="636">
        <f t="shared" si="19"/>
        <v>0</v>
      </c>
      <c r="L224" s="5"/>
      <c r="M224" s="10"/>
      <c r="N224" s="11"/>
      <c r="S224" s="11"/>
    </row>
    <row r="225" spans="1:19" x14ac:dyDescent="0.25">
      <c r="A225" s="38">
        <f>Données!A225</f>
        <v>5764</v>
      </c>
      <c r="B225" s="142" t="str">
        <f>Données!B225</f>
        <v>Vallorbe</v>
      </c>
      <c r="C225" s="266">
        <f>VPI!R225</f>
        <v>94417.86909090908</v>
      </c>
      <c r="D225" s="397">
        <f>+Données!AP225</f>
        <v>-12.214212943612356</v>
      </c>
      <c r="E225" s="314">
        <f>VPI!Q225</f>
        <v>71.5</v>
      </c>
      <c r="F225" s="176">
        <f t="shared" si="15"/>
        <v>83.714212943612353</v>
      </c>
      <c r="G225" s="173">
        <f>Effort!I225+Aide!I225/Taux!C225+Effort!K225/Taux!C225</f>
        <v>-8.2810841672068101</v>
      </c>
      <c r="H225" s="82">
        <f t="shared" si="16"/>
        <v>75.433128776405539</v>
      </c>
      <c r="I225" s="159">
        <f t="shared" si="17"/>
        <v>0</v>
      </c>
      <c r="J225" s="633">
        <f t="shared" si="18"/>
        <v>0</v>
      </c>
      <c r="K225" s="636">
        <f t="shared" si="19"/>
        <v>0</v>
      </c>
      <c r="L225" s="5"/>
      <c r="M225" s="10"/>
      <c r="N225" s="11"/>
      <c r="S225" s="11"/>
    </row>
    <row r="226" spans="1:19" x14ac:dyDescent="0.25">
      <c r="A226" s="38">
        <f>Données!A226</f>
        <v>5765</v>
      </c>
      <c r="B226" s="142" t="str">
        <f>Données!B226</f>
        <v>Vaulion</v>
      </c>
      <c r="C226" s="266">
        <f>VPI!R226</f>
        <v>11559.011234567901</v>
      </c>
      <c r="D226" s="397">
        <f>+Données!AP226</f>
        <v>-9.6088236149084469</v>
      </c>
      <c r="E226" s="314">
        <f>VPI!Q226</f>
        <v>81</v>
      </c>
      <c r="F226" s="176">
        <f t="shared" si="15"/>
        <v>90.608823614908445</v>
      </c>
      <c r="G226" s="173">
        <f>Effort!I226+Aide!I226/Taux!C226+Effort!K226/Taux!C226</f>
        <v>-3.0276698614387385</v>
      </c>
      <c r="H226" s="82">
        <f t="shared" si="16"/>
        <v>87.581153753469707</v>
      </c>
      <c r="I226" s="159">
        <f t="shared" si="17"/>
        <v>0</v>
      </c>
      <c r="J226" s="633">
        <f t="shared" si="18"/>
        <v>0</v>
      </c>
      <c r="K226" s="636">
        <f t="shared" si="19"/>
        <v>0</v>
      </c>
      <c r="L226" s="5"/>
      <c r="M226" s="10"/>
      <c r="N226" s="11"/>
      <c r="S226" s="11"/>
    </row>
    <row r="227" spans="1:19" x14ac:dyDescent="0.25">
      <c r="A227" s="38">
        <f>Données!A227</f>
        <v>5766</v>
      </c>
      <c r="B227" s="142" t="str">
        <f>Données!B227</f>
        <v>Vuiteboeuf</v>
      </c>
      <c r="C227" s="266">
        <f>VPI!R227</f>
        <v>14621.166361904759</v>
      </c>
      <c r="D227" s="397">
        <f>+Données!AP227</f>
        <v>6.4770369822512288</v>
      </c>
      <c r="E227" s="314">
        <f>VPI!Q227</f>
        <v>75</v>
      </c>
      <c r="F227" s="176">
        <f t="shared" si="15"/>
        <v>68.522963017748765</v>
      </c>
      <c r="G227" s="173">
        <f>Effort!I227+Aide!I227/Taux!C227+Effort!K227/Taux!C227</f>
        <v>3.4507246894582728</v>
      </c>
      <c r="H227" s="82">
        <f t="shared" si="16"/>
        <v>71.973687707207034</v>
      </c>
      <c r="I227" s="159">
        <f t="shared" si="17"/>
        <v>0</v>
      </c>
      <c r="J227" s="633">
        <f t="shared" si="18"/>
        <v>0</v>
      </c>
      <c r="K227" s="636">
        <f t="shared" si="19"/>
        <v>0</v>
      </c>
      <c r="L227" s="5"/>
      <c r="M227" s="10"/>
      <c r="N227" s="11"/>
      <c r="S227" s="11"/>
    </row>
    <row r="228" spans="1:19" x14ac:dyDescent="0.25">
      <c r="A228" s="38">
        <f>Données!A228</f>
        <v>5785</v>
      </c>
      <c r="B228" s="142" t="str">
        <f>Données!B228</f>
        <v>Corcelles-le-Jorat</v>
      </c>
      <c r="C228" s="266">
        <f>VPI!R228</f>
        <v>17967.826266666671</v>
      </c>
      <c r="D228" s="397">
        <f>+Données!AP228</f>
        <v>15.029496844266568</v>
      </c>
      <c r="E228" s="314">
        <f>VPI!Q228</f>
        <v>75</v>
      </c>
      <c r="F228" s="176">
        <f t="shared" si="15"/>
        <v>59.970503155733432</v>
      </c>
      <c r="G228" s="173">
        <f>Effort!I228+Aide!I228/Taux!C228+Effort!K228/Taux!C228</f>
        <v>18.670958210898732</v>
      </c>
      <c r="H228" s="82">
        <f t="shared" si="16"/>
        <v>78.641461366632171</v>
      </c>
      <c r="I228" s="159">
        <f t="shared" si="17"/>
        <v>0</v>
      </c>
      <c r="J228" s="633">
        <f t="shared" si="18"/>
        <v>0</v>
      </c>
      <c r="K228" s="636">
        <f t="shared" si="19"/>
        <v>0</v>
      </c>
      <c r="L228" s="5"/>
      <c r="M228" s="10"/>
      <c r="N228" s="11"/>
      <c r="S228" s="11"/>
    </row>
    <row r="229" spans="1:19" x14ac:dyDescent="0.25">
      <c r="A229" s="38">
        <f>Données!A229</f>
        <v>5790</v>
      </c>
      <c r="B229" s="142" t="str">
        <f>Données!B229</f>
        <v>Maracon</v>
      </c>
      <c r="C229" s="266">
        <f>VPI!R229</f>
        <v>17556.382281879196</v>
      </c>
      <c r="D229" s="397">
        <f>+Données!AP229</f>
        <v>12.833832541481247</v>
      </c>
      <c r="E229" s="314">
        <f>VPI!Q229</f>
        <v>74.5</v>
      </c>
      <c r="F229" s="176">
        <f t="shared" si="15"/>
        <v>61.666167458518757</v>
      </c>
      <c r="G229" s="173">
        <f>Effort!I229+Aide!I229/Taux!C229+Effort!K229/Taux!C229</f>
        <v>13.298030921129321</v>
      </c>
      <c r="H229" s="82">
        <f t="shared" si="16"/>
        <v>74.964198379648082</v>
      </c>
      <c r="I229" s="159">
        <f t="shared" si="17"/>
        <v>0</v>
      </c>
      <c r="J229" s="633">
        <f t="shared" si="18"/>
        <v>0</v>
      </c>
      <c r="K229" s="636">
        <f t="shared" si="19"/>
        <v>0</v>
      </c>
      <c r="L229" s="5"/>
      <c r="M229" s="10"/>
      <c r="N229" s="11"/>
      <c r="S229" s="11"/>
    </row>
    <row r="230" spans="1:19" x14ac:dyDescent="0.25">
      <c r="A230" s="38">
        <f>Données!A230</f>
        <v>5792</v>
      </c>
      <c r="B230" s="142" t="str">
        <f>Données!B230</f>
        <v>Montpreveyres</v>
      </c>
      <c r="C230" s="266">
        <f>VPI!R230</f>
        <v>19503.116799999996</v>
      </c>
      <c r="D230" s="397">
        <f>+Données!AP230</f>
        <v>11.457103218123972</v>
      </c>
      <c r="E230" s="314">
        <f>VPI!Q230</f>
        <v>75</v>
      </c>
      <c r="F230" s="176">
        <f t="shared" si="15"/>
        <v>63.542896781876024</v>
      </c>
      <c r="G230" s="173">
        <f>Effort!I230+Aide!I230/Taux!C230+Effort!K230/Taux!C230</f>
        <v>12.984120331608707</v>
      </c>
      <c r="H230" s="82">
        <f t="shared" si="16"/>
        <v>76.527017113484732</v>
      </c>
      <c r="I230" s="159">
        <f t="shared" si="17"/>
        <v>0</v>
      </c>
      <c r="J230" s="633">
        <f t="shared" si="18"/>
        <v>0</v>
      </c>
      <c r="K230" s="636">
        <f t="shared" si="19"/>
        <v>0</v>
      </c>
      <c r="L230" s="5"/>
      <c r="M230" s="10"/>
      <c r="N230" s="11"/>
      <c r="S230" s="11"/>
    </row>
    <row r="231" spans="1:19" x14ac:dyDescent="0.25">
      <c r="A231" s="38">
        <f>Données!A231</f>
        <v>5798</v>
      </c>
      <c r="B231" s="142" t="str">
        <f>Données!B231</f>
        <v>Ropraz</v>
      </c>
      <c r="C231" s="266">
        <f>VPI!R231</f>
        <v>16096.874193548387</v>
      </c>
      <c r="D231" s="397">
        <f>+Données!AP231</f>
        <v>12.594687462323872</v>
      </c>
      <c r="E231" s="314">
        <f>VPI!Q231</f>
        <v>77.5</v>
      </c>
      <c r="F231" s="176">
        <f t="shared" si="15"/>
        <v>64.905312537676124</v>
      </c>
      <c r="G231" s="173">
        <f>Effort!I231+Aide!I231/Taux!C231+Effort!K231/Taux!C231</f>
        <v>10.971118679068661</v>
      </c>
      <c r="H231" s="82">
        <f t="shared" si="16"/>
        <v>75.876431216744791</v>
      </c>
      <c r="I231" s="159">
        <f t="shared" si="17"/>
        <v>0</v>
      </c>
      <c r="J231" s="633">
        <f t="shared" si="18"/>
        <v>0</v>
      </c>
      <c r="K231" s="636">
        <f t="shared" si="19"/>
        <v>0</v>
      </c>
      <c r="L231" s="5"/>
      <c r="M231" s="10"/>
      <c r="N231" s="11"/>
      <c r="S231" s="11"/>
    </row>
    <row r="232" spans="1:19" x14ac:dyDescent="0.25">
      <c r="A232" s="38">
        <f>Données!A232</f>
        <v>5799</v>
      </c>
      <c r="B232" s="142" t="str">
        <f>Données!B232</f>
        <v>Servion</v>
      </c>
      <c r="C232" s="266">
        <f>VPI!R232</f>
        <v>78403.185652173925</v>
      </c>
      <c r="D232" s="397">
        <f>+Données!AP232</f>
        <v>15.507836238071521</v>
      </c>
      <c r="E232" s="314">
        <f>VPI!Q232</f>
        <v>69</v>
      </c>
      <c r="F232" s="176">
        <f t="shared" si="15"/>
        <v>53.492163761928481</v>
      </c>
      <c r="G232" s="173">
        <f>Effort!I232+Aide!I232/Taux!C232+Effort!K232/Taux!C232</f>
        <v>16.57390982059551</v>
      </c>
      <c r="H232" s="82">
        <f t="shared" si="16"/>
        <v>70.066073582523984</v>
      </c>
      <c r="I232" s="159">
        <f t="shared" si="17"/>
        <v>0</v>
      </c>
      <c r="J232" s="633">
        <f t="shared" si="18"/>
        <v>0</v>
      </c>
      <c r="K232" s="636">
        <f t="shared" si="19"/>
        <v>0</v>
      </c>
      <c r="L232" s="5"/>
      <c r="M232" s="10"/>
      <c r="N232" s="11"/>
      <c r="S232" s="11"/>
    </row>
    <row r="233" spans="1:19" x14ac:dyDescent="0.25">
      <c r="A233" s="38">
        <f>Données!A233</f>
        <v>5803</v>
      </c>
      <c r="B233" s="142" t="str">
        <f>Données!B233</f>
        <v>Vulliens</v>
      </c>
      <c r="C233" s="266">
        <f>VPI!R233</f>
        <v>18504.850945945949</v>
      </c>
      <c r="D233" s="397">
        <f>+Données!AP233</f>
        <v>7.3000963563533494</v>
      </c>
      <c r="E233" s="314">
        <f>VPI!Q233</f>
        <v>74</v>
      </c>
      <c r="F233" s="176">
        <f t="shared" si="15"/>
        <v>66.69990364364665</v>
      </c>
      <c r="G233" s="173">
        <f>Effort!I233+Aide!I233/Taux!C233+Effort!K233/Taux!C233</f>
        <v>10.304884728738681</v>
      </c>
      <c r="H233" s="82">
        <f t="shared" si="16"/>
        <v>77.004788372385335</v>
      </c>
      <c r="I233" s="159">
        <f t="shared" si="17"/>
        <v>0</v>
      </c>
      <c r="J233" s="633">
        <f t="shared" si="18"/>
        <v>0</v>
      </c>
      <c r="K233" s="636">
        <f t="shared" si="19"/>
        <v>0</v>
      </c>
      <c r="L233" s="5"/>
      <c r="M233" s="10"/>
      <c r="N233" s="11"/>
      <c r="S233" s="11"/>
    </row>
    <row r="234" spans="1:19" x14ac:dyDescent="0.25">
      <c r="A234" s="38">
        <f>Données!A234</f>
        <v>5804</v>
      </c>
      <c r="B234" s="142" t="str">
        <f>Données!B234</f>
        <v>Jorat-Menthue</v>
      </c>
      <c r="C234" s="266">
        <f>VPI!R234</f>
        <v>49008.353617021276</v>
      </c>
      <c r="D234" s="397">
        <f>+Données!AP234</f>
        <v>9.8650719509587859</v>
      </c>
      <c r="E234" s="314">
        <f>VPI!Q234</f>
        <v>70.5</v>
      </c>
      <c r="F234" s="176">
        <f t="shared" si="15"/>
        <v>60.634928049041214</v>
      </c>
      <c r="G234" s="173">
        <f>Effort!I234+Aide!I234/Taux!C234+Effort!K234/Taux!C234</f>
        <v>12.583766389576631</v>
      </c>
      <c r="H234" s="82">
        <f t="shared" si="16"/>
        <v>73.218694438617845</v>
      </c>
      <c r="I234" s="159">
        <f t="shared" si="17"/>
        <v>0</v>
      </c>
      <c r="J234" s="633">
        <f t="shared" si="18"/>
        <v>0</v>
      </c>
      <c r="K234" s="636">
        <f t="shared" si="19"/>
        <v>0</v>
      </c>
      <c r="L234" s="5"/>
      <c r="M234" s="10"/>
      <c r="N234" s="11"/>
      <c r="S234" s="11"/>
    </row>
    <row r="235" spans="1:19" x14ac:dyDescent="0.25">
      <c r="A235" s="38">
        <f>Données!A235</f>
        <v>5805</v>
      </c>
      <c r="B235" s="142" t="str">
        <f>Données!B235</f>
        <v>Oron</v>
      </c>
      <c r="C235" s="266">
        <f>VPI!R235</f>
        <v>177337.10588932806</v>
      </c>
      <c r="D235" s="397">
        <f>+Données!AP235</f>
        <v>2.6984147829346883</v>
      </c>
      <c r="E235" s="314">
        <f>VPI!Q235</f>
        <v>69</v>
      </c>
      <c r="F235" s="176">
        <f t="shared" si="15"/>
        <v>66.301585217065309</v>
      </c>
      <c r="G235" s="173">
        <f>Effort!I235+Aide!I235/Taux!C235+Effort!K235/Taux!C235</f>
        <v>2.0903058340272729</v>
      </c>
      <c r="H235" s="82">
        <f t="shared" si="16"/>
        <v>68.391891051092585</v>
      </c>
      <c r="I235" s="159">
        <f t="shared" si="17"/>
        <v>0</v>
      </c>
      <c r="J235" s="633">
        <f t="shared" si="18"/>
        <v>0</v>
      </c>
      <c r="K235" s="636">
        <f t="shared" si="19"/>
        <v>0</v>
      </c>
      <c r="L235" s="5"/>
      <c r="M235" s="10"/>
      <c r="N235" s="11"/>
      <c r="S235" s="11"/>
    </row>
    <row r="236" spans="1:19" x14ac:dyDescent="0.25">
      <c r="A236" s="38">
        <f>Données!A236</f>
        <v>5806</v>
      </c>
      <c r="B236" s="142" t="str">
        <f>Données!B236</f>
        <v>Jorat-Mézières</v>
      </c>
      <c r="C236" s="266">
        <f>VPI!R236</f>
        <v>98520.834794520561</v>
      </c>
      <c r="D236" s="397">
        <f>+Données!AP236</f>
        <v>12.076018193988254</v>
      </c>
      <c r="E236" s="314">
        <f>VPI!Q236</f>
        <v>73</v>
      </c>
      <c r="F236" s="176">
        <f t="shared" si="15"/>
        <v>60.923981806011746</v>
      </c>
      <c r="G236" s="173">
        <f>Effort!I236+Aide!I236/Taux!C236+Effort!K236/Taux!C236</f>
        <v>8.3841943747374525</v>
      </c>
      <c r="H236" s="82">
        <f t="shared" si="16"/>
        <v>69.3081761807492</v>
      </c>
      <c r="I236" s="159">
        <f t="shared" si="17"/>
        <v>0</v>
      </c>
      <c r="J236" s="633">
        <f t="shared" si="18"/>
        <v>0</v>
      </c>
      <c r="K236" s="636">
        <f t="shared" si="19"/>
        <v>0</v>
      </c>
      <c r="L236" s="5"/>
      <c r="M236" s="10"/>
      <c r="N236" s="11"/>
      <c r="S236" s="11"/>
    </row>
    <row r="237" spans="1:19" x14ac:dyDescent="0.25">
      <c r="A237" s="38">
        <f>Données!A237</f>
        <v>5812</v>
      </c>
      <c r="B237" s="142" t="str">
        <f>Données!B237</f>
        <v>Champtauroz</v>
      </c>
      <c r="C237" s="266">
        <f>VPI!R237</f>
        <v>3559.4911688311695</v>
      </c>
      <c r="D237" s="397">
        <f>+Données!AP237</f>
        <v>-4.5326150173281228</v>
      </c>
      <c r="E237" s="314">
        <f>VPI!Q237</f>
        <v>77</v>
      </c>
      <c r="F237" s="176">
        <f t="shared" si="15"/>
        <v>81.532615017328126</v>
      </c>
      <c r="G237" s="173">
        <f>Effort!I237+Aide!I237/Taux!C237+Effort!K237/Taux!C237</f>
        <v>-14.331226966447193</v>
      </c>
      <c r="H237" s="82">
        <f t="shared" si="16"/>
        <v>67.201388050880936</v>
      </c>
      <c r="I237" s="159">
        <f t="shared" si="17"/>
        <v>0</v>
      </c>
      <c r="J237" s="633">
        <f t="shared" si="18"/>
        <v>0</v>
      </c>
      <c r="K237" s="636">
        <f t="shared" si="19"/>
        <v>0</v>
      </c>
      <c r="L237" s="5"/>
      <c r="M237" s="10"/>
      <c r="N237" s="11"/>
      <c r="S237" s="11"/>
    </row>
    <row r="238" spans="1:19" x14ac:dyDescent="0.25">
      <c r="A238" s="38">
        <f>Données!A238</f>
        <v>5813</v>
      </c>
      <c r="B238" s="142" t="str">
        <f>Données!B238</f>
        <v>Chevroux</v>
      </c>
      <c r="C238" s="266">
        <f>VPI!R238</f>
        <v>19217.847664233581</v>
      </c>
      <c r="D238" s="397">
        <f>+Données!AP238</f>
        <v>18.56462217069711</v>
      </c>
      <c r="E238" s="314">
        <f>VPI!Q238</f>
        <v>68.5</v>
      </c>
      <c r="F238" s="176">
        <f t="shared" si="15"/>
        <v>49.935377829302894</v>
      </c>
      <c r="G238" s="173">
        <f>Effort!I238+Aide!I238/Taux!C238+Effort!K238/Taux!C238</f>
        <v>20.666730317245278</v>
      </c>
      <c r="H238" s="82">
        <f t="shared" si="16"/>
        <v>70.602108146548176</v>
      </c>
      <c r="I238" s="159">
        <f t="shared" si="17"/>
        <v>0</v>
      </c>
      <c r="J238" s="633">
        <f t="shared" si="18"/>
        <v>0</v>
      </c>
      <c r="K238" s="636">
        <f t="shared" si="19"/>
        <v>0</v>
      </c>
      <c r="L238" s="5"/>
      <c r="M238" s="10"/>
      <c r="N238" s="11"/>
      <c r="S238" s="11"/>
    </row>
    <row r="239" spans="1:19" x14ac:dyDescent="0.25">
      <c r="A239" s="38">
        <f>Données!A239</f>
        <v>5816</v>
      </c>
      <c r="B239" s="142" t="str">
        <f>Données!B239</f>
        <v>Corcelles-près-Payerne</v>
      </c>
      <c r="C239" s="266">
        <f>VPI!R239</f>
        <v>70362.963604395612</v>
      </c>
      <c r="D239" s="397">
        <f>+Données!AP239</f>
        <v>-2.153204409201765</v>
      </c>
      <c r="E239" s="314">
        <f>VPI!Q239</f>
        <v>65</v>
      </c>
      <c r="F239" s="176">
        <f t="shared" si="15"/>
        <v>67.153204409201763</v>
      </c>
      <c r="G239" s="173">
        <f>Effort!I239+Aide!I239/Taux!C239+Effort!K239/Taux!C239</f>
        <v>1.2147642709532356</v>
      </c>
      <c r="H239" s="82">
        <f t="shared" si="16"/>
        <v>68.367968680155002</v>
      </c>
      <c r="I239" s="159">
        <f t="shared" si="17"/>
        <v>0</v>
      </c>
      <c r="J239" s="633">
        <f t="shared" si="18"/>
        <v>0</v>
      </c>
      <c r="K239" s="636">
        <f t="shared" si="19"/>
        <v>0</v>
      </c>
      <c r="L239" s="5"/>
      <c r="M239" s="10"/>
      <c r="N239" s="11"/>
      <c r="S239" s="11"/>
    </row>
    <row r="240" spans="1:19" x14ac:dyDescent="0.25">
      <c r="A240" s="38">
        <f>Données!A240</f>
        <v>5817</v>
      </c>
      <c r="B240" s="142" t="str">
        <f>Données!B240</f>
        <v>Grandcour</v>
      </c>
      <c r="C240" s="266">
        <f>VPI!R240</f>
        <v>25032.364353741497</v>
      </c>
      <c r="D240" s="397">
        <f>+Données!AP240</f>
        <v>6.9536742735297787</v>
      </c>
      <c r="E240" s="314">
        <f>VPI!Q240</f>
        <v>73.5</v>
      </c>
      <c r="F240" s="176">
        <f t="shared" si="15"/>
        <v>66.546325726470215</v>
      </c>
      <c r="G240" s="173">
        <f>Effort!I240+Aide!I240/Taux!C240+Effort!K240/Taux!C240</f>
        <v>4.1373037517545228</v>
      </c>
      <c r="H240" s="82">
        <f t="shared" si="16"/>
        <v>70.683629478224731</v>
      </c>
      <c r="I240" s="159">
        <f t="shared" si="17"/>
        <v>0</v>
      </c>
      <c r="J240" s="633">
        <f t="shared" si="18"/>
        <v>0</v>
      </c>
      <c r="K240" s="636">
        <f t="shared" si="19"/>
        <v>0</v>
      </c>
      <c r="L240" s="5"/>
      <c r="M240" s="10"/>
      <c r="N240" s="11"/>
      <c r="S240" s="11"/>
    </row>
    <row r="241" spans="1:19" x14ac:dyDescent="0.25">
      <c r="A241" s="38">
        <f>Données!A241</f>
        <v>5819</v>
      </c>
      <c r="B241" s="142" t="str">
        <f>Données!B241</f>
        <v>Henniez</v>
      </c>
      <c r="C241" s="266">
        <f>VPI!R241</f>
        <v>17871.328115942026</v>
      </c>
      <c r="D241" s="397">
        <f>+Données!AP241</f>
        <v>7.4466867809553667</v>
      </c>
      <c r="E241" s="314">
        <f>VPI!Q241</f>
        <v>69</v>
      </c>
      <c r="F241" s="176">
        <f t="shared" si="15"/>
        <v>61.553313219044632</v>
      </c>
      <c r="G241" s="173">
        <f>Effort!I241+Aide!I241/Taux!C241+Effort!K241/Taux!C241</f>
        <v>22.566973306223161</v>
      </c>
      <c r="H241" s="82">
        <f t="shared" si="16"/>
        <v>84.120286525267801</v>
      </c>
      <c r="I241" s="159">
        <f t="shared" si="17"/>
        <v>0</v>
      </c>
      <c r="J241" s="633">
        <f t="shared" si="18"/>
        <v>0</v>
      </c>
      <c r="K241" s="636">
        <f t="shared" si="19"/>
        <v>0</v>
      </c>
      <c r="L241" s="5"/>
      <c r="M241" s="10"/>
      <c r="N241" s="11"/>
      <c r="S241" s="11"/>
    </row>
    <row r="242" spans="1:19" x14ac:dyDescent="0.25">
      <c r="A242" s="38">
        <f>Données!A242</f>
        <v>5821</v>
      </c>
      <c r="B242" s="142" t="str">
        <f>Données!B242</f>
        <v>Missy</v>
      </c>
      <c r="C242" s="266">
        <f>VPI!R242</f>
        <v>8690.2762499999972</v>
      </c>
      <c r="D242" s="397">
        <f>+Données!AP242</f>
        <v>-0.86720409057034298</v>
      </c>
      <c r="E242" s="314">
        <f>VPI!Q242</f>
        <v>72</v>
      </c>
      <c r="F242" s="176">
        <f t="shared" si="15"/>
        <v>72.86720409057034</v>
      </c>
      <c r="G242" s="173">
        <f>Effort!I242+Aide!I242/Taux!C242+Effort!K242/Taux!C242</f>
        <v>1.3652603986397054</v>
      </c>
      <c r="H242" s="82">
        <f t="shared" si="16"/>
        <v>74.232464489210045</v>
      </c>
      <c r="I242" s="159">
        <f t="shared" si="17"/>
        <v>0</v>
      </c>
      <c r="J242" s="633">
        <f t="shared" si="18"/>
        <v>0</v>
      </c>
      <c r="K242" s="636">
        <f t="shared" si="19"/>
        <v>0</v>
      </c>
      <c r="L242" s="5"/>
      <c r="M242" s="10"/>
      <c r="N242" s="11"/>
      <c r="S242" s="11"/>
    </row>
    <row r="243" spans="1:19" x14ac:dyDescent="0.25">
      <c r="A243" s="38">
        <f>Données!A243</f>
        <v>5822</v>
      </c>
      <c r="B243" s="142" t="str">
        <f>Données!B243</f>
        <v>Payerne</v>
      </c>
      <c r="C243" s="266">
        <f>VPI!R243</f>
        <v>264097.39385714289</v>
      </c>
      <c r="D243" s="397">
        <f>+Données!AP243</f>
        <v>-12.508503271733169</v>
      </c>
      <c r="E243" s="314">
        <f>VPI!Q243</f>
        <v>70</v>
      </c>
      <c r="F243" s="176">
        <f t="shared" si="15"/>
        <v>82.508503271733161</v>
      </c>
      <c r="G243" s="173">
        <f>Effort!I243+Aide!I243/Taux!C243+Effort!K243/Taux!C243</f>
        <v>-10.532105419167774</v>
      </c>
      <c r="H243" s="82">
        <f t="shared" si="16"/>
        <v>71.976397852565384</v>
      </c>
      <c r="I243" s="159">
        <f t="shared" si="17"/>
        <v>0</v>
      </c>
      <c r="J243" s="633">
        <f t="shared" si="18"/>
        <v>0</v>
      </c>
      <c r="K243" s="636">
        <f t="shared" si="19"/>
        <v>0</v>
      </c>
      <c r="L243" s="5"/>
      <c r="M243" s="10"/>
      <c r="N243" s="11"/>
      <c r="S243" s="11"/>
    </row>
    <row r="244" spans="1:19" x14ac:dyDescent="0.25">
      <c r="A244" s="38">
        <f>Données!A244</f>
        <v>5827</v>
      </c>
      <c r="B244" s="142" t="str">
        <f>Données!B244</f>
        <v>Trey</v>
      </c>
      <c r="C244" s="266">
        <f>VPI!R244</f>
        <v>7673.6615384615379</v>
      </c>
      <c r="D244" s="397">
        <f>+Données!AP244</f>
        <v>3.9066568805828772</v>
      </c>
      <c r="E244" s="314">
        <f>VPI!Q244</f>
        <v>78</v>
      </c>
      <c r="F244" s="176">
        <f t="shared" si="15"/>
        <v>74.093343119417128</v>
      </c>
      <c r="G244" s="173">
        <f>Effort!I244+Aide!I244/Taux!C244+Effort!K244/Taux!C244</f>
        <v>0.3561302642501083</v>
      </c>
      <c r="H244" s="82">
        <f t="shared" si="16"/>
        <v>74.44947338366724</v>
      </c>
      <c r="I244" s="159">
        <f t="shared" si="17"/>
        <v>0</v>
      </c>
      <c r="J244" s="633">
        <f t="shared" si="18"/>
        <v>0</v>
      </c>
      <c r="K244" s="636">
        <f t="shared" si="19"/>
        <v>0</v>
      </c>
      <c r="L244" s="5"/>
      <c r="M244" s="10"/>
      <c r="N244" s="11"/>
      <c r="S244" s="11"/>
    </row>
    <row r="245" spans="1:19" x14ac:dyDescent="0.25">
      <c r="A245" s="38">
        <f>Données!A245</f>
        <v>5828</v>
      </c>
      <c r="B245" s="142" t="str">
        <f>Données!B245</f>
        <v>Treytorrens (Payerne)</v>
      </c>
      <c r="C245" s="266">
        <f>VPI!R245</f>
        <v>2724.637709611452</v>
      </c>
      <c r="D245" s="397">
        <f>+Données!AP245</f>
        <v>5.4321156157121084</v>
      </c>
      <c r="E245" s="314">
        <f>VPI!Q245</f>
        <v>81.5</v>
      </c>
      <c r="F245" s="176">
        <f t="shared" si="15"/>
        <v>76.067884384287893</v>
      </c>
      <c r="G245" s="173">
        <f>Effort!I245+Aide!I245/Taux!C245+Effort!K245/Taux!C245</f>
        <v>-0.43399046651654416</v>
      </c>
      <c r="H245" s="82">
        <f t="shared" si="16"/>
        <v>75.633893917771346</v>
      </c>
      <c r="I245" s="159">
        <f t="shared" si="17"/>
        <v>0</v>
      </c>
      <c r="J245" s="633">
        <f t="shared" si="18"/>
        <v>0</v>
      </c>
      <c r="K245" s="636">
        <f t="shared" si="19"/>
        <v>0</v>
      </c>
      <c r="L245" s="5"/>
      <c r="M245" s="10"/>
      <c r="N245" s="11"/>
      <c r="S245" s="11"/>
    </row>
    <row r="246" spans="1:19" x14ac:dyDescent="0.25">
      <c r="A246" s="38">
        <f>Données!A246</f>
        <v>5830</v>
      </c>
      <c r="B246" s="142" t="str">
        <f>Données!B246</f>
        <v>Villarzel</v>
      </c>
      <c r="C246" s="266">
        <f>VPI!R246</f>
        <v>12684.394533333332</v>
      </c>
      <c r="D246" s="397">
        <f>+Données!AP246</f>
        <v>5.7754811804305692</v>
      </c>
      <c r="E246" s="314">
        <f>VPI!Q246</f>
        <v>75</v>
      </c>
      <c r="F246" s="176">
        <f t="shared" si="15"/>
        <v>69.224518819569425</v>
      </c>
      <c r="G246" s="173">
        <f>Effort!I246+Aide!I246/Taux!C246+Effort!K246/Taux!C246</f>
        <v>1.8225781619633388</v>
      </c>
      <c r="H246" s="82">
        <f t="shared" si="16"/>
        <v>71.047096981532761</v>
      </c>
      <c r="I246" s="159">
        <f t="shared" si="17"/>
        <v>0</v>
      </c>
      <c r="J246" s="633">
        <f t="shared" si="18"/>
        <v>0</v>
      </c>
      <c r="K246" s="636">
        <f t="shared" si="19"/>
        <v>0</v>
      </c>
      <c r="L246" s="5"/>
      <c r="M246" s="10"/>
      <c r="N246" s="11"/>
      <c r="S246" s="11"/>
    </row>
    <row r="247" spans="1:19" x14ac:dyDescent="0.25">
      <c r="A247" s="38">
        <f>Données!A247</f>
        <v>5831</v>
      </c>
      <c r="B247" s="142" t="str">
        <f>Données!B247</f>
        <v>Valbroye</v>
      </c>
      <c r="C247" s="266">
        <f>VPI!R247</f>
        <v>90997.957399527193</v>
      </c>
      <c r="D247" s="397">
        <f>+Données!AP247</f>
        <v>1.7780971445216356</v>
      </c>
      <c r="E247" s="314">
        <f>VPI!Q247</f>
        <v>70.5</v>
      </c>
      <c r="F247" s="176">
        <f t="shared" si="15"/>
        <v>68.721902855478362</v>
      </c>
      <c r="G247" s="173">
        <f>Effort!I247+Aide!I247/Taux!C247+Effort!K247/Taux!C247</f>
        <v>2.0237473153543952</v>
      </c>
      <c r="H247" s="82">
        <f t="shared" si="16"/>
        <v>70.745650170832761</v>
      </c>
      <c r="I247" s="159">
        <f t="shared" si="17"/>
        <v>0</v>
      </c>
      <c r="J247" s="633">
        <f t="shared" si="18"/>
        <v>0</v>
      </c>
      <c r="K247" s="636">
        <f t="shared" si="19"/>
        <v>0</v>
      </c>
      <c r="L247" s="5"/>
      <c r="M247" s="10"/>
      <c r="N247" s="11"/>
      <c r="S247" s="11"/>
    </row>
    <row r="248" spans="1:19" x14ac:dyDescent="0.25">
      <c r="A248" s="38">
        <f>Données!A248</f>
        <v>5841</v>
      </c>
      <c r="B248" s="142" t="str">
        <f>Données!B248</f>
        <v>Château-d'Oex</v>
      </c>
      <c r="C248" s="266">
        <f>VPI!R248</f>
        <v>131854.94253578733</v>
      </c>
      <c r="D248" s="397">
        <f>+Données!AP248</f>
        <v>11.002227117089458</v>
      </c>
      <c r="E248" s="314">
        <f>VPI!Q248</f>
        <v>81.5</v>
      </c>
      <c r="F248" s="176">
        <f t="shared" si="15"/>
        <v>70.497772882910539</v>
      </c>
      <c r="G248" s="173">
        <f>Effort!I248+Aide!I248/Taux!C248+Effort!K248/Taux!C248</f>
        <v>12.179502798550308</v>
      </c>
      <c r="H248" s="82">
        <f t="shared" si="16"/>
        <v>82.677275681460841</v>
      </c>
      <c r="I248" s="159">
        <f t="shared" si="17"/>
        <v>0</v>
      </c>
      <c r="J248" s="633">
        <f t="shared" si="18"/>
        <v>0</v>
      </c>
      <c r="K248" s="636">
        <f t="shared" si="19"/>
        <v>0</v>
      </c>
      <c r="L248" s="5"/>
      <c r="M248" s="10"/>
      <c r="N248" s="11"/>
      <c r="S248" s="11"/>
    </row>
    <row r="249" spans="1:19" x14ac:dyDescent="0.25">
      <c r="A249" s="38">
        <f>Données!A249</f>
        <v>5842</v>
      </c>
      <c r="B249" s="142" t="str">
        <f>Données!B249</f>
        <v>Rossinière</v>
      </c>
      <c r="C249" s="266">
        <f>VPI!R249</f>
        <v>19719.391028806585</v>
      </c>
      <c r="D249" s="397">
        <f>+Données!AP249</f>
        <v>11.616873209992526</v>
      </c>
      <c r="E249" s="314">
        <f>VPI!Q249</f>
        <v>81</v>
      </c>
      <c r="F249" s="176">
        <f t="shared" si="15"/>
        <v>69.383126790007481</v>
      </c>
      <c r="G249" s="173">
        <f>Effort!I249+Aide!I249/Taux!C249+Effort!K249/Taux!C249</f>
        <v>18.692930970967069</v>
      </c>
      <c r="H249" s="82">
        <f t="shared" si="16"/>
        <v>88.07605776097455</v>
      </c>
      <c r="I249" s="159">
        <f t="shared" si="17"/>
        <v>0</v>
      </c>
      <c r="J249" s="633">
        <f t="shared" si="18"/>
        <v>0</v>
      </c>
      <c r="K249" s="636">
        <f t="shared" si="19"/>
        <v>0</v>
      </c>
      <c r="L249" s="5"/>
      <c r="M249" s="10"/>
      <c r="N249" s="11"/>
      <c r="S249" s="11"/>
    </row>
    <row r="250" spans="1:19" x14ac:dyDescent="0.25">
      <c r="A250" s="38">
        <f>Données!A250</f>
        <v>5843</v>
      </c>
      <c r="B250" s="142" t="str">
        <f>Données!B250</f>
        <v>Rougemont</v>
      </c>
      <c r="C250" s="266">
        <f>VPI!R250</f>
        <v>88722.552616033761</v>
      </c>
      <c r="D250" s="397">
        <f>+Données!AP250</f>
        <v>45.473191324239167</v>
      </c>
      <c r="E250" s="314">
        <f>VPI!Q250</f>
        <v>79</v>
      </c>
      <c r="F250" s="176">
        <f t="shared" si="15"/>
        <v>33.526808675760833</v>
      </c>
      <c r="G250" s="173">
        <f>Effort!I250+Aide!I250/Taux!C250+Effort!K250/Taux!C250</f>
        <v>45.611773149881472</v>
      </c>
      <c r="H250" s="82">
        <f t="shared" si="16"/>
        <v>79.138581825642305</v>
      </c>
      <c r="I250" s="159">
        <f t="shared" si="17"/>
        <v>0</v>
      </c>
      <c r="J250" s="633">
        <f t="shared" si="18"/>
        <v>0</v>
      </c>
      <c r="K250" s="636">
        <f t="shared" si="19"/>
        <v>0</v>
      </c>
      <c r="L250" s="5"/>
      <c r="M250" s="10"/>
      <c r="N250" s="11"/>
      <c r="S250" s="11"/>
    </row>
    <row r="251" spans="1:19" x14ac:dyDescent="0.25">
      <c r="A251" s="38">
        <f>Données!A251</f>
        <v>5851</v>
      </c>
      <c r="B251" s="142" t="str">
        <f>Données!B251</f>
        <v>Allaman</v>
      </c>
      <c r="C251" s="266">
        <f>VPI!R251</f>
        <v>22070.113025641029</v>
      </c>
      <c r="D251" s="397">
        <f>+Données!AP251</f>
        <v>30.900877647945439</v>
      </c>
      <c r="E251" s="314">
        <f>VPI!Q251</f>
        <v>65</v>
      </c>
      <c r="F251" s="176">
        <f t="shared" si="15"/>
        <v>34.099122352054565</v>
      </c>
      <c r="G251" s="173">
        <f>Effort!I251+Aide!I251/Taux!C251+Effort!K251/Taux!C251</f>
        <v>28.657822764463937</v>
      </c>
      <c r="H251" s="82">
        <f t="shared" si="16"/>
        <v>62.756945116518501</v>
      </c>
      <c r="I251" s="159">
        <f t="shared" si="17"/>
        <v>0</v>
      </c>
      <c r="J251" s="633">
        <f t="shared" si="18"/>
        <v>0</v>
      </c>
      <c r="K251" s="636">
        <f t="shared" si="19"/>
        <v>0</v>
      </c>
      <c r="L251" s="5"/>
      <c r="M251" s="10"/>
      <c r="N251" s="11"/>
      <c r="S251" s="11"/>
    </row>
    <row r="252" spans="1:19" x14ac:dyDescent="0.25">
      <c r="A252" s="38">
        <f>Données!A252</f>
        <v>5852</v>
      </c>
      <c r="B252" s="142" t="str">
        <f>Données!B252</f>
        <v>Bursinel</v>
      </c>
      <c r="C252" s="266">
        <f>VPI!R252</f>
        <v>36549.131935483871</v>
      </c>
      <c r="D252" s="397">
        <f>+Données!AP252</f>
        <v>33.986920752741163</v>
      </c>
      <c r="E252" s="314">
        <f>VPI!Q252</f>
        <v>62</v>
      </c>
      <c r="F252" s="176">
        <f t="shared" si="15"/>
        <v>28.013079247258837</v>
      </c>
      <c r="G252" s="173">
        <f>Effort!I252+Aide!I252/Taux!C252+Effort!K252/Taux!C252</f>
        <v>33.51809511666653</v>
      </c>
      <c r="H252" s="82">
        <f t="shared" si="16"/>
        <v>61.531174363925366</v>
      </c>
      <c r="I252" s="159">
        <f t="shared" si="17"/>
        <v>0</v>
      </c>
      <c r="J252" s="633">
        <f t="shared" si="18"/>
        <v>0</v>
      </c>
      <c r="K252" s="636">
        <f t="shared" si="19"/>
        <v>0</v>
      </c>
      <c r="L252" s="5"/>
      <c r="M252" s="10"/>
      <c r="N252" s="11"/>
      <c r="S252" s="11"/>
    </row>
    <row r="253" spans="1:19" x14ac:dyDescent="0.25">
      <c r="A253" s="38">
        <f>Données!A253</f>
        <v>5853</v>
      </c>
      <c r="B253" s="142" t="str">
        <f>Données!B253</f>
        <v>Bursins</v>
      </c>
      <c r="C253" s="266">
        <f>VPI!R253</f>
        <v>43710.813239436618</v>
      </c>
      <c r="D253" s="397">
        <f>+Données!AP253</f>
        <v>32.251230600408569</v>
      </c>
      <c r="E253" s="314">
        <f>VPI!Q253</f>
        <v>71</v>
      </c>
      <c r="F253" s="176">
        <f t="shared" si="15"/>
        <v>38.748769399591431</v>
      </c>
      <c r="G253" s="173">
        <f>Effort!I253+Aide!I253/Taux!C253+Effort!K253/Taux!C253</f>
        <v>29.797367909409651</v>
      </c>
      <c r="H253" s="82">
        <f t="shared" si="16"/>
        <v>68.546137309001082</v>
      </c>
      <c r="I253" s="159">
        <f t="shared" si="17"/>
        <v>0</v>
      </c>
      <c r="J253" s="633">
        <f t="shared" si="18"/>
        <v>0</v>
      </c>
      <c r="K253" s="636">
        <f t="shared" si="19"/>
        <v>0</v>
      </c>
      <c r="L253" s="5"/>
      <c r="M253" s="10"/>
      <c r="N253" s="11"/>
      <c r="S253" s="11"/>
    </row>
    <row r="254" spans="1:19" x14ac:dyDescent="0.25">
      <c r="A254" s="38">
        <f>Données!A254</f>
        <v>5854</v>
      </c>
      <c r="B254" s="142" t="str">
        <f>Données!B254</f>
        <v>Burtigny</v>
      </c>
      <c r="C254" s="266">
        <f>VPI!R254</f>
        <v>16984.704925690025</v>
      </c>
      <c r="D254" s="397">
        <f>+Données!AP254</f>
        <v>19.519585976641139</v>
      </c>
      <c r="E254" s="314">
        <f>VPI!Q254</f>
        <v>78.5</v>
      </c>
      <c r="F254" s="176">
        <f t="shared" si="15"/>
        <v>58.980414023358861</v>
      </c>
      <c r="G254" s="173">
        <f>Effort!I254+Aide!I254/Taux!C254+Effort!K254/Taux!C254</f>
        <v>22.677971001713075</v>
      </c>
      <c r="H254" s="82">
        <f t="shared" si="16"/>
        <v>81.658385025071937</v>
      </c>
      <c r="I254" s="159">
        <f t="shared" si="17"/>
        <v>0</v>
      </c>
      <c r="J254" s="633">
        <f t="shared" si="18"/>
        <v>0</v>
      </c>
      <c r="K254" s="636">
        <f t="shared" si="19"/>
        <v>0</v>
      </c>
      <c r="L254" s="5"/>
      <c r="M254" s="10"/>
      <c r="N254" s="11"/>
      <c r="S254" s="11"/>
    </row>
    <row r="255" spans="1:19" x14ac:dyDescent="0.25">
      <c r="A255" s="38">
        <f>Données!A255</f>
        <v>5855</v>
      </c>
      <c r="B255" s="142" t="str">
        <f>Données!B255</f>
        <v>Dully</v>
      </c>
      <c r="C255" s="266">
        <f>VPI!R255</f>
        <v>80639.677735849051</v>
      </c>
      <c r="D255" s="397">
        <f>+Données!AP255</f>
        <v>43.136924225992765</v>
      </c>
      <c r="E255" s="314">
        <f>VPI!Q255</f>
        <v>53</v>
      </c>
      <c r="F255" s="176">
        <f t="shared" si="15"/>
        <v>9.8630757740072355</v>
      </c>
      <c r="G255" s="173">
        <f>Effort!I255+Aide!I255/Taux!C255+Effort!K255/Taux!C255</f>
        <v>42.482943285511325</v>
      </c>
      <c r="H255" s="82">
        <f t="shared" si="16"/>
        <v>52.346019059518561</v>
      </c>
      <c r="I255" s="159">
        <f t="shared" si="17"/>
        <v>0</v>
      </c>
      <c r="J255" s="633">
        <f t="shared" si="18"/>
        <v>0</v>
      </c>
      <c r="K255" s="636">
        <f t="shared" si="19"/>
        <v>0</v>
      </c>
      <c r="L255" s="5"/>
      <c r="M255" s="10"/>
      <c r="N255" s="11"/>
      <c r="S255" s="11"/>
    </row>
    <row r="256" spans="1:19" x14ac:dyDescent="0.25">
      <c r="A256" s="38">
        <f>Données!A256</f>
        <v>5856</v>
      </c>
      <c r="B256" s="142" t="str">
        <f>Données!B256</f>
        <v>Essertines-sur-Rolle</v>
      </c>
      <c r="C256" s="266">
        <f>VPI!R256</f>
        <v>40086.564661654142</v>
      </c>
      <c r="D256" s="397">
        <f>+Données!AP256</f>
        <v>28.182480444297124</v>
      </c>
      <c r="E256" s="314">
        <f>VPI!Q256</f>
        <v>66.5</v>
      </c>
      <c r="F256" s="176">
        <f t="shared" si="15"/>
        <v>38.317519555702873</v>
      </c>
      <c r="G256" s="173">
        <f>Effort!I256+Aide!I256/Taux!C256+Effort!K256/Taux!C256</f>
        <v>28.960084788021703</v>
      </c>
      <c r="H256" s="82">
        <f t="shared" si="16"/>
        <v>67.277604343724576</v>
      </c>
      <c r="I256" s="159">
        <f t="shared" si="17"/>
        <v>0</v>
      </c>
      <c r="J256" s="633">
        <f t="shared" si="18"/>
        <v>0</v>
      </c>
      <c r="K256" s="636">
        <f t="shared" si="19"/>
        <v>0</v>
      </c>
      <c r="L256" s="5"/>
      <c r="M256" s="10"/>
      <c r="N256" s="11"/>
      <c r="S256" s="11"/>
    </row>
    <row r="257" spans="1:19" x14ac:dyDescent="0.25">
      <c r="A257" s="38">
        <f>Données!A257</f>
        <v>5857</v>
      </c>
      <c r="B257" s="142" t="str">
        <f>Données!B257</f>
        <v>Gilly</v>
      </c>
      <c r="C257" s="266">
        <f>VPI!R257</f>
        <v>92966.463565891449</v>
      </c>
      <c r="D257" s="397">
        <f>+Données!AP257</f>
        <v>30.123606941159188</v>
      </c>
      <c r="E257" s="314">
        <f>VPI!Q257</f>
        <v>64.5</v>
      </c>
      <c r="F257" s="176">
        <f t="shared" si="15"/>
        <v>34.376393058840812</v>
      </c>
      <c r="G257" s="173">
        <f>Effort!I257+Aide!I257/Taux!C257+Effort!K257/Taux!C257</f>
        <v>30.641739547200345</v>
      </c>
      <c r="H257" s="82">
        <f t="shared" si="16"/>
        <v>65.018132606041149</v>
      </c>
      <c r="I257" s="159">
        <f t="shared" si="17"/>
        <v>0</v>
      </c>
      <c r="J257" s="633">
        <f t="shared" si="18"/>
        <v>0</v>
      </c>
      <c r="K257" s="636">
        <f t="shared" si="19"/>
        <v>0</v>
      </c>
      <c r="L257" s="5"/>
      <c r="M257" s="10"/>
      <c r="N257" s="11"/>
      <c r="S257" s="11"/>
    </row>
    <row r="258" spans="1:19" x14ac:dyDescent="0.25">
      <c r="A258" s="38">
        <f>Données!A258</f>
        <v>5858</v>
      </c>
      <c r="B258" s="142" t="str">
        <f>Données!B258</f>
        <v>Luins</v>
      </c>
      <c r="C258" s="266">
        <f>VPI!R258</f>
        <v>34472.230883190881</v>
      </c>
      <c r="D258" s="397">
        <f>+Données!AP258</f>
        <v>32.765416248007988</v>
      </c>
      <c r="E258" s="314">
        <f>VPI!Q258</f>
        <v>58.5</v>
      </c>
      <c r="F258" s="176">
        <f t="shared" si="15"/>
        <v>25.734583751992012</v>
      </c>
      <c r="G258" s="173">
        <f>Effort!I258+Aide!I258/Taux!C258+Effort!K258/Taux!C258</f>
        <v>29.523542047092505</v>
      </c>
      <c r="H258" s="82">
        <f t="shared" si="16"/>
        <v>55.258125799084517</v>
      </c>
      <c r="I258" s="159">
        <f t="shared" si="17"/>
        <v>0</v>
      </c>
      <c r="J258" s="633">
        <f t="shared" si="18"/>
        <v>0</v>
      </c>
      <c r="K258" s="636">
        <f t="shared" si="19"/>
        <v>0</v>
      </c>
      <c r="L258" s="5"/>
      <c r="M258" s="10"/>
      <c r="N258" s="11"/>
      <c r="S258" s="11"/>
    </row>
    <row r="259" spans="1:19" x14ac:dyDescent="0.25">
      <c r="A259" s="38">
        <f>Données!A259</f>
        <v>5859</v>
      </c>
      <c r="B259" s="142" t="str">
        <f>Données!B259</f>
        <v>Mont-sur-Rolle</v>
      </c>
      <c r="C259" s="266">
        <f>VPI!R259</f>
        <v>184009.52141732289</v>
      </c>
      <c r="D259" s="397">
        <f>+Données!AP259</f>
        <v>27.931107023644987</v>
      </c>
      <c r="E259" s="314">
        <f>VPI!Q259</f>
        <v>63.5</v>
      </c>
      <c r="F259" s="176">
        <f t="shared" si="15"/>
        <v>35.568892976355016</v>
      </c>
      <c r="G259" s="173">
        <f>Effort!I259+Aide!I259/Taux!C259+Effort!K259/Taux!C259</f>
        <v>30.346733776532581</v>
      </c>
      <c r="H259" s="82">
        <f t="shared" si="16"/>
        <v>65.91562675288759</v>
      </c>
      <c r="I259" s="159">
        <f t="shared" si="17"/>
        <v>0</v>
      </c>
      <c r="J259" s="633">
        <f t="shared" si="18"/>
        <v>0</v>
      </c>
      <c r="K259" s="636">
        <f t="shared" si="19"/>
        <v>0</v>
      </c>
      <c r="L259" s="5"/>
      <c r="M259" s="10"/>
      <c r="N259" s="11"/>
      <c r="S259" s="11"/>
    </row>
    <row r="260" spans="1:19" x14ac:dyDescent="0.25">
      <c r="A260" s="38">
        <f>Données!A260</f>
        <v>5860</v>
      </c>
      <c r="B260" s="142" t="str">
        <f>Données!B260</f>
        <v>Perroy</v>
      </c>
      <c r="C260" s="266">
        <f>VPI!R260</f>
        <v>115014.47146614069</v>
      </c>
      <c r="D260" s="397">
        <f>+Données!AP260</f>
        <v>36.197819184760021</v>
      </c>
      <c r="E260" s="314">
        <f>VPI!Q260</f>
        <v>58.5</v>
      </c>
      <c r="F260" s="176">
        <f t="shared" si="15"/>
        <v>22.302180815239979</v>
      </c>
      <c r="G260" s="173">
        <f>Effort!I260+Aide!I260/Taux!C260+Effort!K260/Taux!C260</f>
        <v>32.389188586613557</v>
      </c>
      <c r="H260" s="82">
        <f t="shared" si="16"/>
        <v>54.691369401853535</v>
      </c>
      <c r="I260" s="159">
        <f t="shared" si="17"/>
        <v>0</v>
      </c>
      <c r="J260" s="633">
        <f t="shared" si="18"/>
        <v>0</v>
      </c>
      <c r="K260" s="636">
        <f t="shared" si="19"/>
        <v>0</v>
      </c>
      <c r="L260" s="5"/>
      <c r="M260" s="10"/>
      <c r="N260" s="11"/>
      <c r="S260" s="11"/>
    </row>
    <row r="261" spans="1:19" x14ac:dyDescent="0.25">
      <c r="A261" s="38">
        <f>Données!A261</f>
        <v>5861</v>
      </c>
      <c r="B261" s="142" t="str">
        <f>Données!B261</f>
        <v>Rolle</v>
      </c>
      <c r="C261" s="266">
        <f>VPI!R261</f>
        <v>1018783.8085714284</v>
      </c>
      <c r="D261" s="397">
        <f>+Données!AP261</f>
        <v>43.906909104975782</v>
      </c>
      <c r="E261" s="314">
        <f>VPI!Q261</f>
        <v>59.5</v>
      </c>
      <c r="F261" s="176">
        <f t="shared" si="15"/>
        <v>15.593090895024218</v>
      </c>
      <c r="G261" s="173">
        <f>Effort!I261+Aide!I261/Taux!C261+Effort!K261/Taux!C261</f>
        <v>45.617295194037865</v>
      </c>
      <c r="H261" s="82">
        <f t="shared" si="16"/>
        <v>61.210386089062084</v>
      </c>
      <c r="I261" s="159">
        <f t="shared" si="17"/>
        <v>0</v>
      </c>
      <c r="J261" s="633">
        <f t="shared" si="18"/>
        <v>0</v>
      </c>
      <c r="K261" s="636">
        <f t="shared" si="19"/>
        <v>0</v>
      </c>
      <c r="L261" s="5"/>
      <c r="M261" s="10"/>
      <c r="N261" s="11"/>
      <c r="S261" s="11"/>
    </row>
    <row r="262" spans="1:19" x14ac:dyDescent="0.25">
      <c r="A262" s="38">
        <f>Données!A262</f>
        <v>5862</v>
      </c>
      <c r="B262" s="142" t="str">
        <f>Données!B262</f>
        <v>Tartegnin</v>
      </c>
      <c r="C262" s="266">
        <f>VPI!R262</f>
        <v>11391.445316455696</v>
      </c>
      <c r="D262" s="397">
        <f>+Données!AP262</f>
        <v>23.595315356740539</v>
      </c>
      <c r="E262" s="314">
        <f>VPI!Q262</f>
        <v>79</v>
      </c>
      <c r="F262" s="176">
        <f t="shared" si="15"/>
        <v>55.404684643259458</v>
      </c>
      <c r="G262" s="173">
        <f>Effort!I262+Aide!I262/Taux!C262+Effort!K262/Taux!C262</f>
        <v>25.767146879724883</v>
      </c>
      <c r="H262" s="82">
        <f t="shared" si="16"/>
        <v>81.171831522984348</v>
      </c>
      <c r="I262" s="159">
        <f t="shared" si="17"/>
        <v>0</v>
      </c>
      <c r="J262" s="633">
        <f t="shared" si="18"/>
        <v>0</v>
      </c>
      <c r="K262" s="636">
        <f t="shared" si="19"/>
        <v>0</v>
      </c>
      <c r="L262" s="5"/>
      <c r="M262" s="10"/>
      <c r="N262" s="11"/>
      <c r="S262" s="11"/>
    </row>
    <row r="263" spans="1:19" x14ac:dyDescent="0.25">
      <c r="A263" s="38">
        <f>Données!A263</f>
        <v>5863</v>
      </c>
      <c r="B263" s="142" t="str">
        <f>Données!B263</f>
        <v>Vinzel</v>
      </c>
      <c r="C263" s="266">
        <f>VPI!R263</f>
        <v>22595.272461538461</v>
      </c>
      <c r="D263" s="397">
        <f>+Données!AP263</f>
        <v>32.213366104440581</v>
      </c>
      <c r="E263" s="314">
        <f>VPI!Q263</f>
        <v>65</v>
      </c>
      <c r="F263" s="176">
        <f t="shared" ref="F263:F305" si="20">E263-D263</f>
        <v>32.786633895559419</v>
      </c>
      <c r="G263" s="173">
        <f>Effort!I263+Aide!I263/Taux!C263+Effort!K263/Taux!C263</f>
        <v>30.72223307729071</v>
      </c>
      <c r="H263" s="82">
        <f t="shared" ref="H263:H305" si="21">F263+G263</f>
        <v>63.508866972850129</v>
      </c>
      <c r="I263" s="159">
        <f t="shared" ref="I263:I305" si="22">IF(H263&gt;$I$5,H263-$I$5,0)</f>
        <v>0</v>
      </c>
      <c r="J263" s="633">
        <f t="shared" ref="J263:J305" si="23">-I263*C263</f>
        <v>0</v>
      </c>
      <c r="K263" s="636">
        <f t="shared" ref="K263:K305" si="24">J263</f>
        <v>0</v>
      </c>
      <c r="L263" s="5"/>
      <c r="M263" s="10"/>
      <c r="N263" s="11"/>
      <c r="S263" s="11"/>
    </row>
    <row r="264" spans="1:19" x14ac:dyDescent="0.25">
      <c r="A264" s="38">
        <f>Données!A264</f>
        <v>5871</v>
      </c>
      <c r="B264" s="142" t="str">
        <f>Données!B264</f>
        <v>L'Abbaye</v>
      </c>
      <c r="C264" s="266">
        <f>VPI!R264</f>
        <v>50382.809788942126</v>
      </c>
      <c r="D264" s="397">
        <f>+Données!AP264</f>
        <v>12.902342053778311</v>
      </c>
      <c r="E264" s="314">
        <f>VPI!Q264</f>
        <v>77.23</v>
      </c>
      <c r="F264" s="176">
        <f t="shared" si="20"/>
        <v>64.327657946221692</v>
      </c>
      <c r="G264" s="173">
        <f>Effort!I264+Aide!I264/Taux!C264+Effort!K264/Taux!C264</f>
        <v>12.228626192531022</v>
      </c>
      <c r="H264" s="82">
        <f t="shared" si="21"/>
        <v>76.556284138752716</v>
      </c>
      <c r="I264" s="159">
        <f t="shared" si="22"/>
        <v>0</v>
      </c>
      <c r="J264" s="633">
        <f t="shared" si="23"/>
        <v>0</v>
      </c>
      <c r="K264" s="636">
        <f t="shared" si="24"/>
        <v>0</v>
      </c>
      <c r="L264" s="5"/>
      <c r="M264" s="10"/>
      <c r="N264" s="11"/>
      <c r="S264" s="11"/>
    </row>
    <row r="265" spans="1:19" x14ac:dyDescent="0.25">
      <c r="A265" s="38">
        <f>Données!A265</f>
        <v>5872</v>
      </c>
      <c r="B265" s="142" t="str">
        <f>Données!B265</f>
        <v>Le Chenit</v>
      </c>
      <c r="C265" s="266">
        <f>VPI!R265</f>
        <v>317388.40065632458</v>
      </c>
      <c r="D265" s="397">
        <f>+Données!AP265</f>
        <v>30.432443050378872</v>
      </c>
      <c r="E265" s="314">
        <f>VPI!Q265</f>
        <v>67.040000000000006</v>
      </c>
      <c r="F265" s="176">
        <f t="shared" si="20"/>
        <v>36.607556949621134</v>
      </c>
      <c r="G265" s="173">
        <f>Effort!I265+Aide!I265/Taux!C265+Effort!K265/Taux!C265</f>
        <v>29.577790490566123</v>
      </c>
      <c r="H265" s="82">
        <f t="shared" si="21"/>
        <v>66.185347440187257</v>
      </c>
      <c r="I265" s="159">
        <f t="shared" si="22"/>
        <v>0</v>
      </c>
      <c r="J265" s="633">
        <f t="shared" si="23"/>
        <v>0</v>
      </c>
      <c r="K265" s="636">
        <f t="shared" si="24"/>
        <v>0</v>
      </c>
      <c r="L265" s="5"/>
      <c r="M265" s="10"/>
      <c r="N265" s="11"/>
      <c r="S265" s="11"/>
    </row>
    <row r="266" spans="1:19" x14ac:dyDescent="0.25">
      <c r="A266" s="38">
        <f>Données!A266</f>
        <v>5873</v>
      </c>
      <c r="B266" s="142" t="str">
        <f>Données!B266</f>
        <v>Le Lieu</v>
      </c>
      <c r="C266" s="266">
        <f>VPI!R266</f>
        <v>32064.674107142859</v>
      </c>
      <c r="D266" s="397">
        <f>+Données!AP266</f>
        <v>23.224720952676577</v>
      </c>
      <c r="E266" s="314">
        <f>VPI!Q266</f>
        <v>70</v>
      </c>
      <c r="F266" s="176">
        <f t="shared" si="20"/>
        <v>46.775279047323423</v>
      </c>
      <c r="G266" s="173">
        <f>Effort!I266+Aide!I266/Taux!C266+Effort!K266/Taux!C266</f>
        <v>19.153284743089102</v>
      </c>
      <c r="H266" s="82">
        <f t="shared" si="21"/>
        <v>65.928563790412525</v>
      </c>
      <c r="I266" s="159">
        <f t="shared" si="22"/>
        <v>0</v>
      </c>
      <c r="J266" s="633">
        <f t="shared" si="23"/>
        <v>0</v>
      </c>
      <c r="K266" s="636">
        <f t="shared" si="24"/>
        <v>0</v>
      </c>
      <c r="L266" s="5"/>
      <c r="M266" s="10"/>
      <c r="N266" s="11"/>
      <c r="S266" s="11"/>
    </row>
    <row r="267" spans="1:19" x14ac:dyDescent="0.25">
      <c r="A267" s="38">
        <f>Données!A267</f>
        <v>5882</v>
      </c>
      <c r="B267" s="142" t="str">
        <f>Données!B267</f>
        <v>Chardonne</v>
      </c>
      <c r="C267" s="266">
        <f>VPI!R267</f>
        <v>191105.75352941177</v>
      </c>
      <c r="D267" s="397">
        <f>+Données!AP267</f>
        <v>29.777327630574398</v>
      </c>
      <c r="E267" s="314">
        <f>VPI!Q267</f>
        <v>68</v>
      </c>
      <c r="F267" s="176">
        <f t="shared" si="20"/>
        <v>38.222672369425602</v>
      </c>
      <c r="G267" s="173">
        <f>Effort!I267+Aide!I267/Taux!C267+Effort!K267/Taux!C267</f>
        <v>27.764122112229508</v>
      </c>
      <c r="H267" s="82">
        <f t="shared" si="21"/>
        <v>65.98679448165511</v>
      </c>
      <c r="I267" s="159">
        <f t="shared" si="22"/>
        <v>0</v>
      </c>
      <c r="J267" s="633">
        <f t="shared" si="23"/>
        <v>0</v>
      </c>
      <c r="K267" s="636">
        <f t="shared" si="24"/>
        <v>0</v>
      </c>
      <c r="L267" s="5"/>
      <c r="M267" s="10"/>
      <c r="N267" s="11"/>
      <c r="S267" s="11"/>
    </row>
    <row r="268" spans="1:19" x14ac:dyDescent="0.25">
      <c r="A268" s="38">
        <f>Données!A268</f>
        <v>5883</v>
      </c>
      <c r="B268" s="142" t="str">
        <f>Données!B268</f>
        <v>Corseaux</v>
      </c>
      <c r="C268" s="266">
        <f>VPI!R268</f>
        <v>170880.8057777778</v>
      </c>
      <c r="D268" s="397">
        <f>+Données!AP268</f>
        <v>34.841543964465373</v>
      </c>
      <c r="E268" s="314">
        <f>VPI!Q268</f>
        <v>67.5</v>
      </c>
      <c r="F268" s="176">
        <f t="shared" si="20"/>
        <v>32.658456035534627</v>
      </c>
      <c r="G268" s="173">
        <f>Effort!I268+Aide!I268/Taux!C268+Effort!K268/Taux!C268</f>
        <v>32.757219958559787</v>
      </c>
      <c r="H268" s="82">
        <f t="shared" si="21"/>
        <v>65.415675994094414</v>
      </c>
      <c r="I268" s="159">
        <f t="shared" si="22"/>
        <v>0</v>
      </c>
      <c r="J268" s="633">
        <f t="shared" si="23"/>
        <v>0</v>
      </c>
      <c r="K268" s="636">
        <f t="shared" si="24"/>
        <v>0</v>
      </c>
      <c r="L268" s="5"/>
      <c r="M268" s="10"/>
      <c r="N268" s="11"/>
      <c r="S268" s="11"/>
    </row>
    <row r="269" spans="1:19" x14ac:dyDescent="0.25">
      <c r="A269" s="38">
        <f>Données!A269</f>
        <v>5884</v>
      </c>
      <c r="B269" s="142" t="str">
        <f>Données!B269</f>
        <v>Corsier-sur-Vevey</v>
      </c>
      <c r="C269" s="266">
        <f>VPI!R269</f>
        <v>147926.61447028426</v>
      </c>
      <c r="D269" s="397">
        <f>+Données!AP269</f>
        <v>18.092831777068284</v>
      </c>
      <c r="E269" s="314">
        <f>VPI!Q269</f>
        <v>64.5</v>
      </c>
      <c r="F269" s="176">
        <f t="shared" si="20"/>
        <v>46.407168222931716</v>
      </c>
      <c r="G269" s="173">
        <f>Effort!I269+Aide!I269/Taux!C269+Effort!K269/Taux!C269</f>
        <v>20.968027047290189</v>
      </c>
      <c r="H269" s="82">
        <f t="shared" si="21"/>
        <v>67.375195270221909</v>
      </c>
      <c r="I269" s="159">
        <f t="shared" si="22"/>
        <v>0</v>
      </c>
      <c r="J269" s="633">
        <f t="shared" si="23"/>
        <v>0</v>
      </c>
      <c r="K269" s="636">
        <f t="shared" si="24"/>
        <v>0</v>
      </c>
      <c r="L269" s="5"/>
      <c r="M269" s="10"/>
      <c r="N269" s="11"/>
      <c r="S269" s="11"/>
    </row>
    <row r="270" spans="1:19" x14ac:dyDescent="0.25">
      <c r="A270" s="38">
        <f>Données!A270</f>
        <v>5885</v>
      </c>
      <c r="B270" s="142" t="str">
        <f>Données!B270</f>
        <v>Jongny</v>
      </c>
      <c r="C270" s="266">
        <f>VPI!R270</f>
        <v>97976.001630695435</v>
      </c>
      <c r="D270" s="397">
        <f>+Données!AP270</f>
        <v>28.591589561962302</v>
      </c>
      <c r="E270" s="314">
        <f>VPI!Q270</f>
        <v>69.5</v>
      </c>
      <c r="F270" s="176">
        <f t="shared" si="20"/>
        <v>40.908410438037698</v>
      </c>
      <c r="G270" s="173">
        <f>Effort!I270+Aide!I270/Taux!C270+Effort!K270/Taux!C270</f>
        <v>26.437515197427423</v>
      </c>
      <c r="H270" s="82">
        <f t="shared" si="21"/>
        <v>67.345925635465122</v>
      </c>
      <c r="I270" s="159">
        <f t="shared" si="22"/>
        <v>0</v>
      </c>
      <c r="J270" s="633">
        <f t="shared" si="23"/>
        <v>0</v>
      </c>
      <c r="K270" s="636">
        <f t="shared" si="24"/>
        <v>0</v>
      </c>
      <c r="L270" s="5"/>
      <c r="M270" s="10"/>
      <c r="N270" s="11"/>
      <c r="S270" s="11"/>
    </row>
    <row r="271" spans="1:19" x14ac:dyDescent="0.25">
      <c r="A271" s="38">
        <f>Données!A271</f>
        <v>5886</v>
      </c>
      <c r="B271" s="142" t="str">
        <f>Données!B271</f>
        <v>Montreux</v>
      </c>
      <c r="C271" s="266">
        <f>VPI!R271</f>
        <v>1169621.0326666667</v>
      </c>
      <c r="D271" s="397">
        <f>+Données!AP271</f>
        <v>9.9848097376144516</v>
      </c>
      <c r="E271" s="314">
        <f>VPI!Q271</f>
        <v>65</v>
      </c>
      <c r="F271" s="176">
        <f t="shared" si="20"/>
        <v>55.015190262385545</v>
      </c>
      <c r="G271" s="173">
        <f>Effort!I271+Aide!I271/Taux!C271+Effort!K271/Taux!C271</f>
        <v>8.5805106922190255</v>
      </c>
      <c r="H271" s="82">
        <f t="shared" si="21"/>
        <v>63.595700954604567</v>
      </c>
      <c r="I271" s="159">
        <f t="shared" si="22"/>
        <v>0</v>
      </c>
      <c r="J271" s="633">
        <f t="shared" si="23"/>
        <v>0</v>
      </c>
      <c r="K271" s="636">
        <f t="shared" si="24"/>
        <v>0</v>
      </c>
      <c r="L271" s="5"/>
      <c r="M271" s="10"/>
      <c r="N271" s="11"/>
      <c r="S271" s="11"/>
    </row>
    <row r="272" spans="1:19" x14ac:dyDescent="0.25">
      <c r="A272" s="38">
        <f>Données!A272</f>
        <v>5889</v>
      </c>
      <c r="B272" s="142" t="str">
        <f>Données!B272</f>
        <v>La Tour-de-Peilz</v>
      </c>
      <c r="C272" s="266">
        <f>VPI!R272</f>
        <v>779203.88627604162</v>
      </c>
      <c r="D272" s="397">
        <f>+Données!AP272</f>
        <v>22.284810495012724</v>
      </c>
      <c r="E272" s="314">
        <f>VPI!Q272</f>
        <v>64</v>
      </c>
      <c r="F272" s="176">
        <f t="shared" si="20"/>
        <v>41.715189504987279</v>
      </c>
      <c r="G272" s="173">
        <f>Effort!I272+Aide!I272/Taux!C272+Effort!K272/Taux!C272</f>
        <v>23.65163614644208</v>
      </c>
      <c r="H272" s="82">
        <f t="shared" si="21"/>
        <v>65.366825651429366</v>
      </c>
      <c r="I272" s="159">
        <f t="shared" si="22"/>
        <v>0</v>
      </c>
      <c r="J272" s="633">
        <f t="shared" si="23"/>
        <v>0</v>
      </c>
      <c r="K272" s="636">
        <f t="shared" si="24"/>
        <v>0</v>
      </c>
      <c r="L272" s="5"/>
      <c r="M272" s="10"/>
      <c r="N272" s="11"/>
      <c r="S272" s="11"/>
    </row>
    <row r="273" spans="1:19" x14ac:dyDescent="0.25">
      <c r="A273" s="38">
        <f>Données!A273</f>
        <v>5890</v>
      </c>
      <c r="B273" s="142" t="str">
        <f>Données!B273</f>
        <v>Vevey</v>
      </c>
      <c r="C273" s="266">
        <f>VPI!R273</f>
        <v>1034326.0486800894</v>
      </c>
      <c r="D273" s="397">
        <f>+Données!AP273</f>
        <v>14.382286240251416</v>
      </c>
      <c r="E273" s="314">
        <f>VPI!Q273</f>
        <v>74.5</v>
      </c>
      <c r="F273" s="176">
        <f t="shared" si="20"/>
        <v>60.117713759748582</v>
      </c>
      <c r="G273" s="173">
        <f>Effort!I273+Aide!I273/Taux!C273+Effort!K273/Taux!C273</f>
        <v>15.907877794193801</v>
      </c>
      <c r="H273" s="82">
        <f t="shared" si="21"/>
        <v>76.025591553942377</v>
      </c>
      <c r="I273" s="159">
        <f t="shared" si="22"/>
        <v>0</v>
      </c>
      <c r="J273" s="633">
        <f t="shared" si="23"/>
        <v>0</v>
      </c>
      <c r="K273" s="636">
        <f t="shared" si="24"/>
        <v>0</v>
      </c>
      <c r="L273" s="5"/>
      <c r="M273" s="10"/>
      <c r="N273" s="11"/>
      <c r="S273" s="11"/>
    </row>
    <row r="274" spans="1:19" x14ac:dyDescent="0.25">
      <c r="A274" s="38">
        <f>Données!A274</f>
        <v>5891</v>
      </c>
      <c r="B274" s="142" t="str">
        <f>Données!B274</f>
        <v>Veytaux</v>
      </c>
      <c r="C274" s="266">
        <f>VPI!R274</f>
        <v>45647.230320987655</v>
      </c>
      <c r="D274" s="397">
        <f>+Données!AP274</f>
        <v>24.959908439820438</v>
      </c>
      <c r="E274" s="314">
        <f>VPI!Q274</f>
        <v>67.5</v>
      </c>
      <c r="F274" s="176">
        <f t="shared" si="20"/>
        <v>42.540091560179562</v>
      </c>
      <c r="G274" s="173">
        <f>Effort!I274+Aide!I274/Taux!C274+Effort!K274/Taux!C274</f>
        <v>26.450277965086634</v>
      </c>
      <c r="H274" s="82">
        <f t="shared" si="21"/>
        <v>68.990369525266203</v>
      </c>
      <c r="I274" s="159">
        <f t="shared" si="22"/>
        <v>0</v>
      </c>
      <c r="J274" s="633">
        <f t="shared" si="23"/>
        <v>0</v>
      </c>
      <c r="K274" s="636">
        <f t="shared" si="24"/>
        <v>0</v>
      </c>
      <c r="L274" s="5"/>
      <c r="M274" s="10"/>
      <c r="N274" s="11"/>
      <c r="S274" s="11"/>
    </row>
    <row r="275" spans="1:19" x14ac:dyDescent="0.25">
      <c r="A275" s="38">
        <f>Données!A275</f>
        <v>5892</v>
      </c>
      <c r="B275" s="142" t="str">
        <f>Données!B275</f>
        <v>Blonay - Saint-Légier</v>
      </c>
      <c r="C275" s="266">
        <f>VPI!R275</f>
        <v>720090.13459854003</v>
      </c>
      <c r="D275" s="397">
        <f>+Données!AP275</f>
        <v>24.649215255187155</v>
      </c>
      <c r="E275" s="314">
        <f>VPI!Q275</f>
        <v>68.5</v>
      </c>
      <c r="F275" s="176">
        <f t="shared" si="20"/>
        <v>43.850784744812842</v>
      </c>
      <c r="G275" s="173">
        <f>Effort!I275+Aide!I275/Taux!C275+Effort!K275/Taux!C275</f>
        <v>22.496098255231423</v>
      </c>
      <c r="H275" s="82">
        <f t="shared" si="21"/>
        <v>66.346883000044272</v>
      </c>
      <c r="I275" s="159">
        <f t="shared" si="22"/>
        <v>0</v>
      </c>
      <c r="J275" s="633">
        <f t="shared" si="23"/>
        <v>0</v>
      </c>
      <c r="K275" s="636">
        <f t="shared" si="24"/>
        <v>0</v>
      </c>
      <c r="L275" s="5"/>
      <c r="M275" s="10"/>
      <c r="N275" s="11"/>
      <c r="S275" s="11"/>
    </row>
    <row r="276" spans="1:19" x14ac:dyDescent="0.25">
      <c r="A276" s="38">
        <f>Données!A276</f>
        <v>5902</v>
      </c>
      <c r="B276" s="142" t="str">
        <f>Données!B276</f>
        <v>Belmont-sur-Yverdon</v>
      </c>
      <c r="C276" s="266">
        <f>VPI!R276</f>
        <v>13428.751285714286</v>
      </c>
      <c r="D276" s="397">
        <f>+Données!AP276</f>
        <v>11.094075137627488</v>
      </c>
      <c r="E276" s="314">
        <f>VPI!Q276</f>
        <v>70</v>
      </c>
      <c r="F276" s="176">
        <f t="shared" si="20"/>
        <v>58.905924862372515</v>
      </c>
      <c r="G276" s="173">
        <f>Effort!I276+Aide!I276/Taux!C276+Effort!K276/Taux!C276</f>
        <v>14.087719228597638</v>
      </c>
      <c r="H276" s="82">
        <f t="shared" si="21"/>
        <v>72.99364409097015</v>
      </c>
      <c r="I276" s="159">
        <f t="shared" si="22"/>
        <v>0</v>
      </c>
      <c r="J276" s="633">
        <f t="shared" si="23"/>
        <v>0</v>
      </c>
      <c r="K276" s="636">
        <f t="shared" si="24"/>
        <v>0</v>
      </c>
      <c r="L276" s="5"/>
      <c r="M276" s="10"/>
      <c r="N276" s="11"/>
      <c r="S276" s="11"/>
    </row>
    <row r="277" spans="1:19" x14ac:dyDescent="0.25">
      <c r="A277" s="38">
        <f>Données!A277</f>
        <v>5903</v>
      </c>
      <c r="B277" s="142" t="str">
        <f>Données!B277</f>
        <v>Bioley-Magnoux</v>
      </c>
      <c r="C277" s="266">
        <f>VPI!R277</f>
        <v>6278.7138690476195</v>
      </c>
      <c r="D277" s="397">
        <f>+Données!AP277</f>
        <v>6.8888137899968065</v>
      </c>
      <c r="E277" s="314">
        <f>VPI!Q277</f>
        <v>72</v>
      </c>
      <c r="F277" s="176">
        <f t="shared" si="20"/>
        <v>65.111186210003197</v>
      </c>
      <c r="G277" s="173">
        <f>Effort!I277+Aide!I277/Taux!C277+Effort!K277/Taux!C277</f>
        <v>4.9313411149803077</v>
      </c>
      <c r="H277" s="82">
        <f t="shared" si="21"/>
        <v>70.04252732498351</v>
      </c>
      <c r="I277" s="159">
        <f t="shared" si="22"/>
        <v>0</v>
      </c>
      <c r="J277" s="633">
        <f t="shared" si="23"/>
        <v>0</v>
      </c>
      <c r="K277" s="636">
        <f t="shared" si="24"/>
        <v>0</v>
      </c>
      <c r="L277" s="5"/>
      <c r="M277" s="10"/>
      <c r="N277" s="11"/>
      <c r="S277" s="11"/>
    </row>
    <row r="278" spans="1:19" x14ac:dyDescent="0.25">
      <c r="A278" s="38">
        <f>Données!A278</f>
        <v>5904</v>
      </c>
      <c r="B278" s="142" t="str">
        <f>Données!B278</f>
        <v>Chamblon</v>
      </c>
      <c r="C278" s="266">
        <f>VPI!R278</f>
        <v>18164.59121212121</v>
      </c>
      <c r="D278" s="397">
        <f>+Données!AP278</f>
        <v>18.984025305530889</v>
      </c>
      <c r="E278" s="314">
        <f>VPI!Q278</f>
        <v>66</v>
      </c>
      <c r="F278" s="176">
        <f t="shared" si="20"/>
        <v>47.015974694469108</v>
      </c>
      <c r="G278" s="173">
        <f>Effort!I278+Aide!I278/Taux!C278+Effort!K278/Taux!C278</f>
        <v>17.547127275977058</v>
      </c>
      <c r="H278" s="82">
        <f t="shared" si="21"/>
        <v>64.563101970446169</v>
      </c>
      <c r="I278" s="159">
        <f t="shared" si="22"/>
        <v>0</v>
      </c>
      <c r="J278" s="633">
        <f t="shared" si="23"/>
        <v>0</v>
      </c>
      <c r="K278" s="636">
        <f t="shared" si="24"/>
        <v>0</v>
      </c>
      <c r="L278" s="5"/>
      <c r="M278" s="10"/>
      <c r="N278" s="11"/>
      <c r="S278" s="11"/>
    </row>
    <row r="279" spans="1:19" x14ac:dyDescent="0.25">
      <c r="A279" s="38">
        <f>Données!A279</f>
        <v>5905</v>
      </c>
      <c r="B279" s="142" t="str">
        <f>Données!B279</f>
        <v>Champvent</v>
      </c>
      <c r="C279" s="266">
        <f>VPI!R279</f>
        <v>22259.587285714286</v>
      </c>
      <c r="D279" s="397">
        <f>+Données!AP279</f>
        <v>13.606591328390705</v>
      </c>
      <c r="E279" s="314">
        <f>VPI!Q279</f>
        <v>70</v>
      </c>
      <c r="F279" s="176">
        <f t="shared" si="20"/>
        <v>56.393408671609293</v>
      </c>
      <c r="G279" s="173">
        <f>Effort!I279+Aide!I279/Taux!C279+Effort!K279/Taux!C279</f>
        <v>14.25163821376983</v>
      </c>
      <c r="H279" s="82">
        <f t="shared" si="21"/>
        <v>70.645046885379116</v>
      </c>
      <c r="I279" s="159">
        <f t="shared" si="22"/>
        <v>0</v>
      </c>
      <c r="J279" s="633">
        <f t="shared" si="23"/>
        <v>0</v>
      </c>
      <c r="K279" s="636">
        <f t="shared" si="24"/>
        <v>0</v>
      </c>
      <c r="L279" s="5"/>
      <c r="M279" s="10"/>
      <c r="N279" s="11"/>
      <c r="S279" s="11"/>
    </row>
    <row r="280" spans="1:19" x14ac:dyDescent="0.25">
      <c r="A280" s="38">
        <f>Données!A280</f>
        <v>5907</v>
      </c>
      <c r="B280" s="142" t="str">
        <f>Données!B280</f>
        <v>Chavannes-le-Chêne</v>
      </c>
      <c r="C280" s="266">
        <f>VPI!R280</f>
        <v>8797.9254666666657</v>
      </c>
      <c r="D280" s="397">
        <f>+Données!AP280</f>
        <v>7.7003214115592735</v>
      </c>
      <c r="E280" s="314">
        <f>VPI!Q280</f>
        <v>75</v>
      </c>
      <c r="F280" s="176">
        <f t="shared" si="20"/>
        <v>67.299678588440727</v>
      </c>
      <c r="G280" s="173">
        <f>Effort!I280+Aide!I280/Taux!C280+Effort!K280/Taux!C280</f>
        <v>8.4792534927641938</v>
      </c>
      <c r="H280" s="82">
        <f t="shared" si="21"/>
        <v>75.778932081204914</v>
      </c>
      <c r="I280" s="159">
        <f t="shared" si="22"/>
        <v>0</v>
      </c>
      <c r="J280" s="633">
        <f t="shared" si="23"/>
        <v>0</v>
      </c>
      <c r="K280" s="636">
        <f t="shared" si="24"/>
        <v>0</v>
      </c>
      <c r="L280" s="5"/>
      <c r="M280" s="10"/>
      <c r="N280" s="11"/>
      <c r="S280" s="11"/>
    </row>
    <row r="281" spans="1:19" x14ac:dyDescent="0.25">
      <c r="A281" s="38">
        <f>Données!A281</f>
        <v>5908</v>
      </c>
      <c r="B281" s="142" t="str">
        <f>Données!B281</f>
        <v>Chêne-Pâquier</v>
      </c>
      <c r="C281" s="266">
        <f>VPI!R281</f>
        <v>5848.7089333333342</v>
      </c>
      <c r="D281" s="397">
        <f>+Données!AP281</f>
        <v>12.864192402382256</v>
      </c>
      <c r="E281" s="314">
        <f>VPI!Q281</f>
        <v>75</v>
      </c>
      <c r="F281" s="176">
        <f t="shared" si="20"/>
        <v>62.135807597617742</v>
      </c>
      <c r="G281" s="173">
        <f>Effort!I281+Aide!I281/Taux!C281+Effort!K281/Taux!C281</f>
        <v>16.069997110119303</v>
      </c>
      <c r="H281" s="82">
        <f t="shared" si="21"/>
        <v>78.205804707737045</v>
      </c>
      <c r="I281" s="159">
        <f t="shared" si="22"/>
        <v>0</v>
      </c>
      <c r="J281" s="633">
        <f t="shared" si="23"/>
        <v>0</v>
      </c>
      <c r="K281" s="636">
        <f t="shared" si="24"/>
        <v>0</v>
      </c>
      <c r="L281" s="5"/>
      <c r="M281" s="10"/>
      <c r="N281" s="11"/>
      <c r="S281" s="11"/>
    </row>
    <row r="282" spans="1:19" x14ac:dyDescent="0.25">
      <c r="A282" s="38">
        <f>Données!A282</f>
        <v>5909</v>
      </c>
      <c r="B282" s="142" t="str">
        <f>Données!B282</f>
        <v>Cheseaux-Noréaz</v>
      </c>
      <c r="C282" s="266">
        <f>VPI!R282</f>
        <v>38683.585223880604</v>
      </c>
      <c r="D282" s="397">
        <f>+Données!AP282</f>
        <v>27.271456391994224</v>
      </c>
      <c r="E282" s="314">
        <f>VPI!Q282</f>
        <v>67</v>
      </c>
      <c r="F282" s="176">
        <f t="shared" si="20"/>
        <v>39.728543608005779</v>
      </c>
      <c r="G282" s="173">
        <f>Effort!I282+Aide!I282/Taux!C282+Effort!K282/Taux!C282</f>
        <v>29.00885724513731</v>
      </c>
      <c r="H282" s="82">
        <f t="shared" si="21"/>
        <v>68.737400853143086</v>
      </c>
      <c r="I282" s="159">
        <f t="shared" si="22"/>
        <v>0</v>
      </c>
      <c r="J282" s="633">
        <f t="shared" si="23"/>
        <v>0</v>
      </c>
      <c r="K282" s="636">
        <f t="shared" si="24"/>
        <v>0</v>
      </c>
      <c r="L282" s="5"/>
      <c r="M282" s="10"/>
      <c r="N282" s="11"/>
      <c r="S282" s="11"/>
    </row>
    <row r="283" spans="1:19" x14ac:dyDescent="0.25">
      <c r="A283" s="38">
        <f>Données!A283</f>
        <v>5910</v>
      </c>
      <c r="B283" s="142" t="str">
        <f>Données!B283</f>
        <v>Cronay</v>
      </c>
      <c r="C283" s="266">
        <f>VPI!R283</f>
        <v>12977.456233766234</v>
      </c>
      <c r="D283" s="397">
        <f>+Données!AP283</f>
        <v>5.1484930161466336</v>
      </c>
      <c r="E283" s="314">
        <f>VPI!Q283</f>
        <v>77</v>
      </c>
      <c r="F283" s="176">
        <f t="shared" si="20"/>
        <v>71.851506983853369</v>
      </c>
      <c r="G283" s="173">
        <f>Effort!I283+Aide!I283/Taux!C283+Effort!K283/Taux!C283</f>
        <v>12.105318146890387</v>
      </c>
      <c r="H283" s="82">
        <f t="shared" si="21"/>
        <v>83.956825130743752</v>
      </c>
      <c r="I283" s="159">
        <f t="shared" si="22"/>
        <v>0</v>
      </c>
      <c r="J283" s="633">
        <f t="shared" si="23"/>
        <v>0</v>
      </c>
      <c r="K283" s="636">
        <f t="shared" si="24"/>
        <v>0</v>
      </c>
      <c r="L283" s="5"/>
      <c r="M283" s="10"/>
      <c r="N283" s="11"/>
      <c r="S283" s="11"/>
    </row>
    <row r="284" spans="1:19" x14ac:dyDescent="0.25">
      <c r="A284" s="38">
        <f>Données!A284</f>
        <v>5911</v>
      </c>
      <c r="B284" s="142" t="str">
        <f>Données!B284</f>
        <v>Cuarny</v>
      </c>
      <c r="C284" s="266">
        <f>VPI!R284</f>
        <v>7819.0719480519483</v>
      </c>
      <c r="D284" s="397">
        <f>+Données!AP284</f>
        <v>14.958965108730792</v>
      </c>
      <c r="E284" s="314">
        <f>VPI!Q284</f>
        <v>77</v>
      </c>
      <c r="F284" s="176">
        <f t="shared" si="20"/>
        <v>62.041034891269206</v>
      </c>
      <c r="G284" s="173">
        <f>Effort!I284+Aide!I284/Taux!C284+Effort!K284/Taux!C284</f>
        <v>14.147406893901007</v>
      </c>
      <c r="H284" s="82">
        <f t="shared" si="21"/>
        <v>76.188441785170212</v>
      </c>
      <c r="I284" s="159">
        <f t="shared" si="22"/>
        <v>0</v>
      </c>
      <c r="J284" s="633">
        <f t="shared" si="23"/>
        <v>0</v>
      </c>
      <c r="K284" s="636">
        <f t="shared" si="24"/>
        <v>0</v>
      </c>
      <c r="L284" s="5"/>
      <c r="M284" s="10"/>
      <c r="N284" s="11"/>
      <c r="S284" s="11"/>
    </row>
    <row r="285" spans="1:19" s="156" customFormat="1" x14ac:dyDescent="0.25">
      <c r="A285" s="38">
        <f>Données!A285</f>
        <v>5912</v>
      </c>
      <c r="B285" s="142" t="str">
        <f>Données!B285</f>
        <v>Démoret</v>
      </c>
      <c r="C285" s="266">
        <f>VPI!R285</f>
        <v>3810.8220512820521</v>
      </c>
      <c r="D285" s="397">
        <f>+Données!AP285</f>
        <v>-14.833164285211094</v>
      </c>
      <c r="E285" s="314">
        <f>VPI!Q285</f>
        <v>78</v>
      </c>
      <c r="F285" s="176">
        <f t="shared" si="20"/>
        <v>92.833164285211097</v>
      </c>
      <c r="G285" s="173">
        <f>Effort!I285+Aide!I285/Taux!C285+Effort!K285/Taux!C285</f>
        <v>-0.89180891928495143</v>
      </c>
      <c r="H285" s="82">
        <f t="shared" si="21"/>
        <v>91.941355365926142</v>
      </c>
      <c r="I285" s="159">
        <f t="shared" si="22"/>
        <v>0</v>
      </c>
      <c r="J285" s="633">
        <f t="shared" si="23"/>
        <v>0</v>
      </c>
      <c r="K285" s="636">
        <f t="shared" si="24"/>
        <v>0</v>
      </c>
      <c r="L285" s="5"/>
      <c r="M285" s="10"/>
    </row>
    <row r="286" spans="1:19" s="156" customFormat="1" x14ac:dyDescent="0.25">
      <c r="A286" s="38">
        <f>Données!A286</f>
        <v>5913</v>
      </c>
      <c r="B286" s="142" t="str">
        <f>Données!B286</f>
        <v>Donneloye</v>
      </c>
      <c r="C286" s="266">
        <f>VPI!R286</f>
        <v>21287.768493150685</v>
      </c>
      <c r="D286" s="397">
        <f>+Données!AP286</f>
        <v>4.0114813128131956</v>
      </c>
      <c r="E286" s="314">
        <f>VPI!Q286</f>
        <v>73</v>
      </c>
      <c r="F286" s="176">
        <f t="shared" si="20"/>
        <v>68.988518687186797</v>
      </c>
      <c r="G286" s="173">
        <f>Effort!I286+Aide!I286/Taux!C286+Effort!K286/Taux!C286</f>
        <v>0.95216070693868105</v>
      </c>
      <c r="H286" s="82">
        <f t="shared" si="21"/>
        <v>69.940679394125482</v>
      </c>
      <c r="I286" s="159">
        <f t="shared" si="22"/>
        <v>0</v>
      </c>
      <c r="J286" s="633">
        <f t="shared" si="23"/>
        <v>0</v>
      </c>
      <c r="K286" s="636">
        <f t="shared" si="24"/>
        <v>0</v>
      </c>
      <c r="L286" s="5"/>
      <c r="M286" s="10"/>
    </row>
    <row r="287" spans="1:19" s="156" customFormat="1" x14ac:dyDescent="0.25">
      <c r="A287" s="38">
        <f>Données!A287</f>
        <v>5914</v>
      </c>
      <c r="B287" s="142" t="str">
        <f>Données!B287</f>
        <v>Ependes</v>
      </c>
      <c r="C287" s="266">
        <f>VPI!R287</f>
        <v>11289.461224489796</v>
      </c>
      <c r="D287" s="397">
        <f>+Données!AP287</f>
        <v>7.8622575744520944</v>
      </c>
      <c r="E287" s="314">
        <f>VPI!Q287</f>
        <v>73.5</v>
      </c>
      <c r="F287" s="176">
        <f t="shared" si="20"/>
        <v>65.637742425547913</v>
      </c>
      <c r="G287" s="173">
        <f>Effort!I287+Aide!I287/Taux!C287+Effort!K287/Taux!C287</f>
        <v>11.167723588126091</v>
      </c>
      <c r="H287" s="82">
        <f t="shared" si="21"/>
        <v>76.805466013674007</v>
      </c>
      <c r="I287" s="159">
        <f t="shared" si="22"/>
        <v>0</v>
      </c>
      <c r="J287" s="633">
        <f t="shared" si="23"/>
        <v>0</v>
      </c>
      <c r="K287" s="636">
        <f t="shared" si="24"/>
        <v>0</v>
      </c>
      <c r="L287" s="5"/>
      <c r="M287" s="10"/>
    </row>
    <row r="288" spans="1:19" s="156" customFormat="1" x14ac:dyDescent="0.25">
      <c r="A288" s="38">
        <f>Données!A288</f>
        <v>5919</v>
      </c>
      <c r="B288" s="142" t="str">
        <f>Données!B288</f>
        <v>Mathod</v>
      </c>
      <c r="C288" s="266">
        <f>VPI!R288</f>
        <v>20397.872569444444</v>
      </c>
      <c r="D288" s="397">
        <f>+Données!AP288</f>
        <v>14.324334073831503</v>
      </c>
      <c r="E288" s="314">
        <f>VPI!Q288</f>
        <v>72</v>
      </c>
      <c r="F288" s="176">
        <f t="shared" si="20"/>
        <v>57.675665926168499</v>
      </c>
      <c r="G288" s="173">
        <f>Effort!I288+Aide!I288/Taux!C288+Effort!K288/Taux!C288</f>
        <v>11.327010519548512</v>
      </c>
      <c r="H288" s="82">
        <f t="shared" si="21"/>
        <v>69.002676445717015</v>
      </c>
      <c r="I288" s="159">
        <f t="shared" si="22"/>
        <v>0</v>
      </c>
      <c r="J288" s="633">
        <f t="shared" si="23"/>
        <v>0</v>
      </c>
      <c r="K288" s="636">
        <f t="shared" si="24"/>
        <v>0</v>
      </c>
      <c r="L288" s="5"/>
      <c r="M288" s="10"/>
    </row>
    <row r="289" spans="1:19" s="156" customFormat="1" x14ac:dyDescent="0.25">
      <c r="A289" s="38">
        <f>Données!A289</f>
        <v>5921</v>
      </c>
      <c r="B289" s="142" t="str">
        <f>Données!B289</f>
        <v>Molondin</v>
      </c>
      <c r="C289" s="266">
        <f>VPI!R289</f>
        <v>5454.6739506172835</v>
      </c>
      <c r="D289" s="397">
        <f>+Données!AP289</f>
        <v>-11.113771577582442</v>
      </c>
      <c r="E289" s="314">
        <f>VPI!Q289</f>
        <v>81</v>
      </c>
      <c r="F289" s="176">
        <f t="shared" si="20"/>
        <v>92.11377157758244</v>
      </c>
      <c r="G289" s="173">
        <f>Effort!I289+Aide!I289/Taux!C289+Effort!K289/Taux!C289</f>
        <v>-8.901602010408606</v>
      </c>
      <c r="H289" s="82">
        <f t="shared" si="21"/>
        <v>83.212169567173831</v>
      </c>
      <c r="I289" s="159">
        <f t="shared" si="22"/>
        <v>0</v>
      </c>
      <c r="J289" s="633">
        <f t="shared" si="23"/>
        <v>0</v>
      </c>
      <c r="K289" s="636">
        <f t="shared" si="24"/>
        <v>0</v>
      </c>
      <c r="L289" s="5"/>
      <c r="M289" s="10"/>
    </row>
    <row r="290" spans="1:19" s="156" customFormat="1" x14ac:dyDescent="0.25">
      <c r="A290" s="38">
        <f>Données!A290</f>
        <v>5922</v>
      </c>
      <c r="B290" s="142" t="str">
        <f>Données!B290</f>
        <v>Montagny-près-Yverdon</v>
      </c>
      <c r="C290" s="266">
        <f>VPI!R290</f>
        <v>39914.464612403099</v>
      </c>
      <c r="D290" s="397">
        <f>+Données!AP290</f>
        <v>29.082806120713965</v>
      </c>
      <c r="E290" s="314">
        <f>VPI!Q290</f>
        <v>64.5</v>
      </c>
      <c r="F290" s="176">
        <f t="shared" si="20"/>
        <v>35.417193879286032</v>
      </c>
      <c r="G290" s="173">
        <f>Effort!I290+Aide!I290/Taux!C290+Effort!K290/Taux!C290</f>
        <v>28.702134442810415</v>
      </c>
      <c r="H290" s="82">
        <f t="shared" si="21"/>
        <v>64.11932832209645</v>
      </c>
      <c r="I290" s="159">
        <f t="shared" si="22"/>
        <v>0</v>
      </c>
      <c r="J290" s="633">
        <f t="shared" si="23"/>
        <v>0</v>
      </c>
      <c r="K290" s="636">
        <f t="shared" si="24"/>
        <v>0</v>
      </c>
      <c r="L290" s="5"/>
      <c r="M290" s="10"/>
    </row>
    <row r="291" spans="1:19" s="156" customFormat="1" x14ac:dyDescent="0.25">
      <c r="A291" s="38">
        <f>Données!A291</f>
        <v>5923</v>
      </c>
      <c r="B291" s="142" t="str">
        <f>Données!B291</f>
        <v>Oppens</v>
      </c>
      <c r="C291" s="266">
        <f>VPI!R291</f>
        <v>6126.7193827160499</v>
      </c>
      <c r="D291" s="397">
        <f>+Données!AP291</f>
        <v>-6.4202715049808958</v>
      </c>
      <c r="E291" s="314">
        <f>VPI!Q291</f>
        <v>81</v>
      </c>
      <c r="F291" s="176">
        <f t="shared" si="20"/>
        <v>87.420271504980889</v>
      </c>
      <c r="G291" s="173">
        <f>Effort!I291+Aide!I291/Taux!C291+Effort!K291/Taux!C291</f>
        <v>9.9241131840183705</v>
      </c>
      <c r="H291" s="82">
        <v>81</v>
      </c>
      <c r="I291" s="159">
        <f t="shared" si="22"/>
        <v>0</v>
      </c>
      <c r="J291" s="633">
        <f t="shared" si="23"/>
        <v>0</v>
      </c>
      <c r="K291" s="636">
        <f t="shared" si="24"/>
        <v>0</v>
      </c>
      <c r="L291" s="5"/>
      <c r="M291" s="10"/>
    </row>
    <row r="292" spans="1:19" s="156" customFormat="1" x14ac:dyDescent="0.25">
      <c r="A292" s="38">
        <f>Données!A292</f>
        <v>5924</v>
      </c>
      <c r="B292" s="142" t="str">
        <f>Données!B292</f>
        <v>Orges</v>
      </c>
      <c r="C292" s="266">
        <f>VPI!R292</f>
        <v>12401.843648648648</v>
      </c>
      <c r="D292" s="397">
        <f>+Données!AP292</f>
        <v>11.049255570100419</v>
      </c>
      <c r="E292" s="314">
        <f>VPI!Q292</f>
        <v>74</v>
      </c>
      <c r="F292" s="176">
        <f t="shared" si="20"/>
        <v>62.950744429899579</v>
      </c>
      <c r="G292" s="173">
        <f>Effort!I292+Aide!I292/Taux!C292+Effort!K292/Taux!C292</f>
        <v>11.962143831645163</v>
      </c>
      <c r="H292" s="82">
        <f t="shared" si="21"/>
        <v>74.912888261544737</v>
      </c>
      <c r="I292" s="159">
        <f t="shared" si="22"/>
        <v>0</v>
      </c>
      <c r="J292" s="633">
        <f t="shared" si="23"/>
        <v>0</v>
      </c>
      <c r="K292" s="636">
        <f t="shared" si="24"/>
        <v>0</v>
      </c>
      <c r="L292" s="5"/>
      <c r="M292" s="10"/>
    </row>
    <row r="293" spans="1:19" x14ac:dyDescent="0.25">
      <c r="A293" s="38">
        <f>Données!A293</f>
        <v>5925</v>
      </c>
      <c r="B293" s="142" t="str">
        <f>Données!B293</f>
        <v>Orzens</v>
      </c>
      <c r="C293" s="266">
        <f>VPI!R293</f>
        <v>5858.6327848101273</v>
      </c>
      <c r="D293" s="397">
        <f>+Données!AP293</f>
        <v>1.7464281791295091</v>
      </c>
      <c r="E293" s="314">
        <f>VPI!Q293</f>
        <v>79</v>
      </c>
      <c r="F293" s="176">
        <f t="shared" si="20"/>
        <v>77.253571820870491</v>
      </c>
      <c r="G293" s="173">
        <f>Effort!I293+Aide!I293/Taux!C293+Effort!K293/Taux!C293</f>
        <v>5.878445437757355</v>
      </c>
      <c r="H293" s="82">
        <f t="shared" si="21"/>
        <v>83.13201725862784</v>
      </c>
      <c r="I293" s="159">
        <f t="shared" si="22"/>
        <v>0</v>
      </c>
      <c r="J293" s="633">
        <f t="shared" si="23"/>
        <v>0</v>
      </c>
      <c r="K293" s="636">
        <f t="shared" si="24"/>
        <v>0</v>
      </c>
      <c r="L293" s="5"/>
      <c r="M293" s="10"/>
      <c r="N293" s="11"/>
      <c r="S293" s="11"/>
    </row>
    <row r="294" spans="1:19" x14ac:dyDescent="0.25">
      <c r="A294" s="38">
        <f>Données!A294</f>
        <v>5926</v>
      </c>
      <c r="B294" s="142" t="str">
        <f>Données!B294</f>
        <v>Pomy</v>
      </c>
      <c r="C294" s="266">
        <f>VPI!R294</f>
        <v>27254.567042253519</v>
      </c>
      <c r="D294" s="397">
        <f>+Données!AP294</f>
        <v>15.092435726579506</v>
      </c>
      <c r="E294" s="314">
        <f>VPI!Q294</f>
        <v>71</v>
      </c>
      <c r="F294" s="176">
        <f t="shared" si="20"/>
        <v>55.907564273420491</v>
      </c>
      <c r="G294" s="173">
        <f>Effort!I294+Aide!I294/Taux!C294+Effort!K294/Taux!C294</f>
        <v>14.728498035731256</v>
      </c>
      <c r="H294" s="82">
        <f t="shared" si="21"/>
        <v>70.636062309151754</v>
      </c>
      <c r="I294" s="159">
        <f t="shared" si="22"/>
        <v>0</v>
      </c>
      <c r="J294" s="633">
        <f t="shared" si="23"/>
        <v>0</v>
      </c>
      <c r="K294" s="636">
        <f t="shared" si="24"/>
        <v>0</v>
      </c>
      <c r="L294" s="5"/>
      <c r="M294" s="10"/>
      <c r="N294" s="11"/>
      <c r="S294" s="11"/>
    </row>
    <row r="295" spans="1:19" x14ac:dyDescent="0.25">
      <c r="A295" s="38">
        <f>Données!A295</f>
        <v>5928</v>
      </c>
      <c r="B295" s="142" t="str">
        <f>Données!B295</f>
        <v>Rovray</v>
      </c>
      <c r="C295" s="266">
        <f>VPI!R295</f>
        <v>5477.1420547945208</v>
      </c>
      <c r="D295" s="397">
        <f>+Données!AP295</f>
        <v>7.9309567394395257</v>
      </c>
      <c r="E295" s="314">
        <f>VPI!Q295</f>
        <v>73</v>
      </c>
      <c r="F295" s="176">
        <f t="shared" si="20"/>
        <v>65.069043260560477</v>
      </c>
      <c r="G295" s="173">
        <f>Effort!I295+Aide!I295/Taux!C295+Effort!K295/Taux!C295</f>
        <v>9.0468026554589045</v>
      </c>
      <c r="H295" s="82">
        <f t="shared" si="21"/>
        <v>74.115845916019381</v>
      </c>
      <c r="I295" s="159">
        <f t="shared" si="22"/>
        <v>0</v>
      </c>
      <c r="J295" s="633">
        <f t="shared" si="23"/>
        <v>0</v>
      </c>
      <c r="K295" s="636">
        <f t="shared" si="24"/>
        <v>0</v>
      </c>
      <c r="L295" s="5"/>
      <c r="M295" s="10"/>
      <c r="N295" s="11"/>
      <c r="S295" s="11"/>
    </row>
    <row r="296" spans="1:19" x14ac:dyDescent="0.25">
      <c r="A296" s="38">
        <f>Données!A296</f>
        <v>5929</v>
      </c>
      <c r="B296" s="142" t="str">
        <f>Données!B296</f>
        <v>Suchy</v>
      </c>
      <c r="C296" s="266">
        <f>VPI!R296</f>
        <v>22233.767642857143</v>
      </c>
      <c r="D296" s="397">
        <f>+Données!AP296</f>
        <v>16.868324030037929</v>
      </c>
      <c r="E296" s="314">
        <f>VPI!Q296</f>
        <v>70</v>
      </c>
      <c r="F296" s="176">
        <f t="shared" si="20"/>
        <v>53.131675969962075</v>
      </c>
      <c r="G296" s="173">
        <f>Effort!I296+Aide!I296/Taux!C296+Effort!K296/Taux!C296</f>
        <v>17.472391268266151</v>
      </c>
      <c r="H296" s="82">
        <f t="shared" si="21"/>
        <v>70.604067238228225</v>
      </c>
      <c r="I296" s="159">
        <f t="shared" si="22"/>
        <v>0</v>
      </c>
      <c r="J296" s="633">
        <f t="shared" si="23"/>
        <v>0</v>
      </c>
      <c r="K296" s="636">
        <f t="shared" si="24"/>
        <v>0</v>
      </c>
      <c r="L296" s="5"/>
      <c r="M296" s="10"/>
      <c r="N296" s="11"/>
      <c r="S296" s="11"/>
    </row>
    <row r="297" spans="1:19" x14ac:dyDescent="0.25">
      <c r="A297" s="38">
        <f>Données!A297</f>
        <v>5930</v>
      </c>
      <c r="B297" s="142" t="str">
        <f>Données!B297</f>
        <v>Suscévaz</v>
      </c>
      <c r="C297" s="266">
        <f>VPI!R297</f>
        <v>6011.7318055555552</v>
      </c>
      <c r="D297" s="397">
        <f>+Données!AP297</f>
        <v>8.1279778372893094</v>
      </c>
      <c r="E297" s="314">
        <f>VPI!Q297</f>
        <v>72</v>
      </c>
      <c r="F297" s="176">
        <f t="shared" si="20"/>
        <v>63.872022162710692</v>
      </c>
      <c r="G297" s="173">
        <f>Effort!I297+Aide!I297/Taux!C297+Effort!K297/Taux!C297</f>
        <v>9.781840963080132</v>
      </c>
      <c r="H297" s="82">
        <f t="shared" si="21"/>
        <v>73.653863125790821</v>
      </c>
      <c r="I297" s="159">
        <f t="shared" si="22"/>
        <v>0</v>
      </c>
      <c r="J297" s="633">
        <f t="shared" si="23"/>
        <v>0</v>
      </c>
      <c r="K297" s="636">
        <f t="shared" si="24"/>
        <v>0</v>
      </c>
      <c r="L297" s="5"/>
      <c r="M297" s="10"/>
      <c r="N297" s="11"/>
      <c r="S297" s="11"/>
    </row>
    <row r="298" spans="1:19" x14ac:dyDescent="0.25">
      <c r="A298" s="38">
        <f>Données!A298</f>
        <v>5931</v>
      </c>
      <c r="B298" s="142" t="str">
        <f>Données!B298</f>
        <v>Treycovagnes</v>
      </c>
      <c r="C298" s="266">
        <f>VPI!R298</f>
        <v>16173.396575342462</v>
      </c>
      <c r="D298" s="397">
        <f>+Données!AP298</f>
        <v>14.394099534982741</v>
      </c>
      <c r="E298" s="314">
        <f>VPI!Q298</f>
        <v>73</v>
      </c>
      <c r="F298" s="176">
        <f t="shared" si="20"/>
        <v>58.605900465017257</v>
      </c>
      <c r="G298" s="173">
        <f>Effort!I298+Aide!I298/Taux!C298+Effort!K298/Taux!C298</f>
        <v>13.850414609538108</v>
      </c>
      <c r="H298" s="82">
        <f t="shared" si="21"/>
        <v>72.456315074555363</v>
      </c>
      <c r="I298" s="159">
        <f t="shared" si="22"/>
        <v>0</v>
      </c>
      <c r="J298" s="633">
        <f t="shared" si="23"/>
        <v>0</v>
      </c>
      <c r="K298" s="636">
        <f t="shared" si="24"/>
        <v>0</v>
      </c>
      <c r="L298" s="5"/>
      <c r="M298" s="10"/>
      <c r="N298" s="11"/>
      <c r="S298" s="11"/>
    </row>
    <row r="299" spans="1:19" x14ac:dyDescent="0.25">
      <c r="A299" s="38">
        <f>Données!A299</f>
        <v>5932</v>
      </c>
      <c r="B299" s="142" t="str">
        <f>Données!B299</f>
        <v>Ursins</v>
      </c>
      <c r="C299" s="266">
        <f>VPI!R299</f>
        <v>8679.1289333333334</v>
      </c>
      <c r="D299" s="397">
        <f>+Données!AP299</f>
        <v>17.979509672850256</v>
      </c>
      <c r="E299" s="314">
        <f>VPI!Q299</f>
        <v>75</v>
      </c>
      <c r="F299" s="176">
        <f t="shared" si="20"/>
        <v>57.020490327149744</v>
      </c>
      <c r="G299" s="173">
        <f>Effort!I299+Aide!I299/Taux!C299+Effort!K299/Taux!C299</f>
        <v>19.747171650438261</v>
      </c>
      <c r="H299" s="82">
        <f t="shared" si="21"/>
        <v>76.767661977588006</v>
      </c>
      <c r="I299" s="159">
        <f t="shared" si="22"/>
        <v>0</v>
      </c>
      <c r="J299" s="633">
        <f t="shared" si="23"/>
        <v>0</v>
      </c>
      <c r="K299" s="636">
        <f t="shared" si="24"/>
        <v>0</v>
      </c>
      <c r="L299" s="5"/>
      <c r="M299" s="10"/>
      <c r="N299" s="11"/>
      <c r="S299" s="11"/>
    </row>
    <row r="300" spans="1:19" x14ac:dyDescent="0.25">
      <c r="A300" s="38">
        <f>Données!A300</f>
        <v>5933</v>
      </c>
      <c r="B300" s="142" t="str">
        <f>Données!B300</f>
        <v>Valeyres-sous-Montagny</v>
      </c>
      <c r="C300" s="266">
        <f>VPI!R300</f>
        <v>22762.97602836879</v>
      </c>
      <c r="D300" s="397">
        <f>+Données!AP300</f>
        <v>17.946977403471148</v>
      </c>
      <c r="E300" s="314">
        <f>VPI!Q300</f>
        <v>70.5</v>
      </c>
      <c r="F300" s="176">
        <f t="shared" si="20"/>
        <v>52.553022596528848</v>
      </c>
      <c r="G300" s="173">
        <f>Effort!I300+Aide!I300/Taux!C300+Effort!K300/Taux!C300</f>
        <v>16.253831597629556</v>
      </c>
      <c r="H300" s="82">
        <f t="shared" si="21"/>
        <v>68.806854194158404</v>
      </c>
      <c r="I300" s="159">
        <f t="shared" si="22"/>
        <v>0</v>
      </c>
      <c r="J300" s="633">
        <f t="shared" si="23"/>
        <v>0</v>
      </c>
      <c r="K300" s="636">
        <f t="shared" si="24"/>
        <v>0</v>
      </c>
      <c r="L300" s="5"/>
      <c r="M300" s="10"/>
      <c r="N300" s="11"/>
      <c r="S300" s="11"/>
    </row>
    <row r="301" spans="1:19" x14ac:dyDescent="0.25">
      <c r="A301" s="38">
        <f>Données!A301</f>
        <v>5934</v>
      </c>
      <c r="B301" s="142" t="str">
        <f>Données!B301</f>
        <v>Valeyres-sous-Ursins</v>
      </c>
      <c r="C301" s="266">
        <f>VPI!R301</f>
        <v>7483.0151948051935</v>
      </c>
      <c r="D301" s="397">
        <f>+Données!AP301</f>
        <v>34.878271139280486</v>
      </c>
      <c r="E301" s="314">
        <f>VPI!Q301</f>
        <v>77</v>
      </c>
      <c r="F301" s="176">
        <f t="shared" si="20"/>
        <v>42.121728860719514</v>
      </c>
      <c r="G301" s="173">
        <f>Effort!I301+Aide!I301/Taux!C301+Effort!K301/Taux!C301</f>
        <v>13.207398958600589</v>
      </c>
      <c r="H301" s="82">
        <f t="shared" si="21"/>
        <v>55.329127819320107</v>
      </c>
      <c r="I301" s="159">
        <f t="shared" si="22"/>
        <v>0</v>
      </c>
      <c r="J301" s="633">
        <f t="shared" si="23"/>
        <v>0</v>
      </c>
      <c r="K301" s="636">
        <f t="shared" si="24"/>
        <v>0</v>
      </c>
      <c r="L301" s="5"/>
      <c r="M301" s="10"/>
      <c r="N301" s="11"/>
      <c r="S301" s="11"/>
    </row>
    <row r="302" spans="1:19" x14ac:dyDescent="0.25">
      <c r="A302" s="38">
        <f>Données!A302</f>
        <v>5935</v>
      </c>
      <c r="B302" s="142" t="str">
        <f>Données!B302</f>
        <v>Villars-Epeney</v>
      </c>
      <c r="C302" s="266">
        <f>VPI!R302</f>
        <v>4091.4220588235289</v>
      </c>
      <c r="D302" s="397">
        <f>+Données!AP302</f>
        <v>35.016401778100551</v>
      </c>
      <c r="E302" s="314">
        <f>VPI!Q302</f>
        <v>68</v>
      </c>
      <c r="F302" s="176">
        <f t="shared" si="20"/>
        <v>32.983598221899449</v>
      </c>
      <c r="G302" s="173">
        <f>Effort!I302+Aide!I302/Taux!C302+Effort!K302/Taux!C302</f>
        <v>23.457344596086795</v>
      </c>
      <c r="H302" s="82">
        <f t="shared" si="21"/>
        <v>56.44094281798624</v>
      </c>
      <c r="I302" s="159">
        <f t="shared" si="22"/>
        <v>0</v>
      </c>
      <c r="J302" s="633">
        <f t="shared" si="23"/>
        <v>0</v>
      </c>
      <c r="K302" s="636">
        <f t="shared" si="24"/>
        <v>0</v>
      </c>
      <c r="L302" s="5"/>
      <c r="M302" s="10"/>
      <c r="N302" s="11"/>
      <c r="S302" s="11"/>
    </row>
    <row r="303" spans="1:19" x14ac:dyDescent="0.25">
      <c r="A303" s="38">
        <f>Données!A303</f>
        <v>5937</v>
      </c>
      <c r="B303" s="142" t="str">
        <f>Données!B303</f>
        <v>Vugelles-La Mothe</v>
      </c>
      <c r="C303" s="266">
        <f>VPI!R303</f>
        <v>3794.0157959183671</v>
      </c>
      <c r="D303" s="397">
        <f>+Données!AP303</f>
        <v>6.1828313144721152</v>
      </c>
      <c r="E303" s="314">
        <f>VPI!Q303</f>
        <v>70</v>
      </c>
      <c r="F303" s="176">
        <f t="shared" si="20"/>
        <v>63.817168685527882</v>
      </c>
      <c r="G303" s="173">
        <f>Effort!I303+Aide!I303/Taux!C303+Effort!K303/Taux!C303</f>
        <v>6.6021056579394966</v>
      </c>
      <c r="H303" s="82">
        <f t="shared" si="21"/>
        <v>70.419274343467379</v>
      </c>
      <c r="I303" s="159">
        <f t="shared" si="22"/>
        <v>0</v>
      </c>
      <c r="J303" s="633">
        <f t="shared" si="23"/>
        <v>0</v>
      </c>
      <c r="K303" s="636">
        <f t="shared" si="24"/>
        <v>0</v>
      </c>
      <c r="L303" s="5"/>
      <c r="M303" s="10"/>
      <c r="N303" s="11"/>
      <c r="S303" s="11"/>
    </row>
    <row r="304" spans="1:19" x14ac:dyDescent="0.25">
      <c r="A304" s="38">
        <f>Données!A304</f>
        <v>5938</v>
      </c>
      <c r="B304" s="142" t="str">
        <f>Données!B304</f>
        <v>Yverdon-les-Bains</v>
      </c>
      <c r="C304" s="266">
        <f>VPI!R304</f>
        <v>793682.36159999971</v>
      </c>
      <c r="D304" s="397">
        <f>+Données!AP304</f>
        <v>-13.463050899415064</v>
      </c>
      <c r="E304" s="314">
        <f>VPI!Q304</f>
        <v>75</v>
      </c>
      <c r="F304" s="176">
        <f t="shared" si="20"/>
        <v>88.463050899415066</v>
      </c>
      <c r="G304" s="173">
        <f>Effort!I304+Aide!I304/Taux!C304+Effort!K304/Taux!C304</f>
        <v>-14.64789749058221</v>
      </c>
      <c r="H304" s="82">
        <f t="shared" si="21"/>
        <v>73.815153408832856</v>
      </c>
      <c r="I304" s="159">
        <f t="shared" si="22"/>
        <v>0</v>
      </c>
      <c r="J304" s="633">
        <f t="shared" si="23"/>
        <v>0</v>
      </c>
      <c r="K304" s="636">
        <f t="shared" si="24"/>
        <v>0</v>
      </c>
      <c r="L304" s="5"/>
      <c r="M304" s="10"/>
      <c r="N304" s="11"/>
      <c r="S304" s="11"/>
    </row>
    <row r="305" spans="1:19" x14ac:dyDescent="0.25">
      <c r="A305" s="39">
        <f>Données!A305</f>
        <v>5939</v>
      </c>
      <c r="B305" s="143" t="str">
        <f>Données!B305</f>
        <v>Yvonand</v>
      </c>
      <c r="C305" s="312">
        <f>VPI!R305</f>
        <v>96283.364335664344</v>
      </c>
      <c r="D305" s="398">
        <f>+Données!AP305</f>
        <v>3.7455724826089689</v>
      </c>
      <c r="E305" s="315">
        <f>VPI!Q305</f>
        <v>71.5</v>
      </c>
      <c r="F305" s="178">
        <f t="shared" si="20"/>
        <v>67.754427517391036</v>
      </c>
      <c r="G305" s="174">
        <f>Effort!I305+Aide!I305/Taux!C305+Effort!K305/Taux!C305</f>
        <v>2.1947487997771411</v>
      </c>
      <c r="H305" s="83">
        <f t="shared" si="21"/>
        <v>69.949176317168181</v>
      </c>
      <c r="I305" s="159">
        <f t="shared" si="22"/>
        <v>0</v>
      </c>
      <c r="J305" s="634">
        <f t="shared" si="23"/>
        <v>0</v>
      </c>
      <c r="K305" s="637">
        <f t="shared" si="24"/>
        <v>0</v>
      </c>
      <c r="L305" s="5"/>
      <c r="M305" s="10"/>
      <c r="N305" s="11"/>
      <c r="S305" s="11"/>
    </row>
    <row r="306" spans="1:19" x14ac:dyDescent="0.25">
      <c r="A306" s="25"/>
      <c r="B306" s="73">
        <f>COUNTA(B6:B305)</f>
        <v>300</v>
      </c>
      <c r="C306" s="312">
        <f>SUM(C6:C305)</f>
        <v>41857577.09593945</v>
      </c>
      <c r="D306" s="398"/>
      <c r="E306" s="316">
        <f>VPI!Q306</f>
        <v>67.601275090404883</v>
      </c>
      <c r="F306" s="178">
        <f t="shared" ref="F306" si="25">E306-D306</f>
        <v>67.601275090404883</v>
      </c>
      <c r="G306" s="174">
        <f>Effort!I306+Aide!I306/Taux!C306+Effort!K306/Taux!C306</f>
        <v>14.816579109694375</v>
      </c>
      <c r="H306" s="83">
        <f t="shared" ref="H306" si="26">F306+G306</f>
        <v>82.417854200099256</v>
      </c>
      <c r="I306" s="267"/>
      <c r="J306" s="631">
        <f>SUM(J6:J305)</f>
        <v>0</v>
      </c>
      <c r="K306" s="64">
        <f>SUM(K6:K305)</f>
        <v>0</v>
      </c>
      <c r="L306" s="5"/>
      <c r="M306" s="11"/>
      <c r="N306" s="11"/>
      <c r="S306" s="11"/>
    </row>
    <row r="307" spans="1:19" x14ac:dyDescent="0.25">
      <c r="R307" s="18"/>
    </row>
    <row r="308" spans="1:19" s="5" customFormat="1" x14ac:dyDescent="0.25">
      <c r="N308" s="13"/>
    </row>
    <row r="311" spans="1:19" s="5" customFormat="1" x14ac:dyDescent="0.25">
      <c r="M311" s="124"/>
      <c r="N311" s="13"/>
      <c r="O311" s="124"/>
      <c r="P311" s="124"/>
    </row>
  </sheetData>
  <sheetProtection sheet="1" objects="1" scenarios="1"/>
  <mergeCells count="8">
    <mergeCell ref="B4:B5"/>
    <mergeCell ref="A4:A5"/>
    <mergeCell ref="C4:C5"/>
    <mergeCell ref="K4:K5"/>
    <mergeCell ref="H4:H5"/>
    <mergeCell ref="F4:F5"/>
    <mergeCell ref="E4:E5"/>
    <mergeCell ref="J4:J5"/>
  </mergeCells>
  <phoneticPr fontId="0" type="noConversion"/>
  <conditionalFormatting sqref="K6:K305">
    <cfRule type="cellIs" dxfId="4" priority="2" operator="notEqual">
      <formula>J6</formula>
    </cfRule>
  </conditionalFormatting>
  <conditionalFormatting sqref="K6:K305">
    <cfRule type="expression" dxfId="3" priority="1">
      <formula>"&lt;&gt;J6"</formula>
    </cfRule>
  </conditionalFormatting>
  <hyperlinks>
    <hyperlink ref="C1" location="Aide!A1" display="← Précédent" xr:uid="{00D85FBE-C9A1-4DAD-8388-6665A16184A7}"/>
    <hyperlink ref="E1" location="'Facture policière'!A1" display="Suivant →" xr:uid="{1A29BF59-48EA-4027-B528-0BD68DA04860}"/>
    <hyperlink ref="D1" location="'Table des matières'!A1" display="Table des             matières" xr:uid="{BAADEC0A-8BF6-4BD9-A62A-9F972EA7EC07}"/>
  </hyperlinks>
  <printOptions horizontalCentered="1"/>
  <pageMargins left="0" right="0" top="0" bottom="0" header="0.51181102362204722" footer="0.51181102362204722"/>
  <pageSetup paperSize="9" scale="63" orientation="landscape" horizontalDpi="4294967292" verticalDpi="4294967292"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6">
    <tabColor theme="7" tint="-0.249977111117893"/>
    <pageSetUpPr fitToPage="1"/>
  </sheetPr>
  <dimension ref="A1:T308"/>
  <sheetViews>
    <sheetView workbookViewId="0">
      <pane ySplit="5" topLeftCell="A6" activePane="bottomLeft" state="frozen"/>
      <selection pane="bottomLeft"/>
    </sheetView>
  </sheetViews>
  <sheetFormatPr baseColWidth="10" defaultColWidth="9.375" defaultRowHeight="15" x14ac:dyDescent="0.25"/>
  <cols>
    <col min="1" max="1" width="8.125" style="98" customWidth="1"/>
    <col min="2" max="2" width="22" style="98" customWidth="1"/>
    <col min="3" max="3" width="11.625" style="98" customWidth="1"/>
    <col min="4" max="4" width="11.375" style="98" customWidth="1"/>
    <col min="5" max="5" width="6.625" style="98" customWidth="1"/>
    <col min="6" max="6" width="12" style="98" bestFit="1" customWidth="1"/>
    <col min="7" max="7" width="19.625" style="98" customWidth="1"/>
    <col min="8" max="8" width="14.25" style="98" customWidth="1"/>
    <col min="9" max="9" width="20" style="98" customWidth="1"/>
    <col min="10" max="10" width="16.625" style="98" customWidth="1"/>
    <col min="11" max="11" width="14.5" style="98" customWidth="1"/>
    <col min="12" max="12" width="13" style="98" customWidth="1"/>
    <col min="13" max="13" width="10.75" style="98" bestFit="1" customWidth="1"/>
    <col min="14" max="14" width="13.125" style="100" customWidth="1"/>
    <col min="15" max="15" width="9.375" style="99"/>
    <col min="16" max="16" width="9.875" style="100" customWidth="1"/>
    <col min="17" max="17" width="11.75" style="100" bestFit="1" customWidth="1"/>
    <col min="18" max="20" width="9.375" style="99"/>
    <col min="21" max="247" width="9.375" style="98"/>
    <col min="248" max="248" width="5" style="98" customWidth="1"/>
    <col min="249" max="249" width="17.875" style="98" bestFit="1" customWidth="1"/>
    <col min="250" max="250" width="9.875" style="98" customWidth="1"/>
    <col min="251" max="251" width="8.875" style="98" customWidth="1"/>
    <col min="252" max="252" width="7.375" style="98" bestFit="1" customWidth="1"/>
    <col min="253" max="253" width="10.125" style="98" bestFit="1" customWidth="1"/>
    <col min="254" max="254" width="9.375" style="98"/>
    <col min="255" max="255" width="10.125" style="98" bestFit="1" customWidth="1"/>
    <col min="256" max="256" width="10.75" style="98" customWidth="1"/>
    <col min="257" max="259" width="9.375" style="98"/>
    <col min="260" max="261" width="10.75" style="98" customWidth="1"/>
    <col min="262" max="266" width="9.375" style="98"/>
    <col min="267" max="267" width="1.625" style="98" bestFit="1" customWidth="1"/>
    <col min="268" max="268" width="9.375" style="98"/>
    <col min="269" max="269" width="8.875" style="98" customWidth="1"/>
    <col min="270" max="270" width="13.125" style="98" customWidth="1"/>
    <col min="271" max="271" width="9.375" style="98"/>
    <col min="272" max="272" width="9.875" style="98" customWidth="1"/>
    <col min="273" max="273" width="11.75" style="98" bestFit="1" customWidth="1"/>
    <col min="274" max="503" width="9.375" style="98"/>
    <col min="504" max="504" width="5" style="98" customWidth="1"/>
    <col min="505" max="505" width="17.875" style="98" bestFit="1" customWidth="1"/>
    <col min="506" max="506" width="9.875" style="98" customWidth="1"/>
    <col min="507" max="507" width="8.875" style="98" customWidth="1"/>
    <col min="508" max="508" width="7.375" style="98" bestFit="1" customWidth="1"/>
    <col min="509" max="509" width="10.125" style="98" bestFit="1" customWidth="1"/>
    <col min="510" max="510" width="9.375" style="98"/>
    <col min="511" max="511" width="10.125" style="98" bestFit="1" customWidth="1"/>
    <col min="512" max="512" width="10.75" style="98" customWidth="1"/>
    <col min="513" max="515" width="9.375" style="98"/>
    <col min="516" max="517" width="10.75" style="98" customWidth="1"/>
    <col min="518" max="522" width="9.375" style="98"/>
    <col min="523" max="523" width="1.625" style="98" bestFit="1" customWidth="1"/>
    <col min="524" max="524" width="9.375" style="98"/>
    <col min="525" max="525" width="8.875" style="98" customWidth="1"/>
    <col min="526" max="526" width="13.125" style="98" customWidth="1"/>
    <col min="527" max="527" width="9.375" style="98"/>
    <col min="528" max="528" width="9.875" style="98" customWidth="1"/>
    <col min="529" max="529" width="11.75" style="98" bestFit="1" customWidth="1"/>
    <col min="530" max="759" width="9.375" style="98"/>
    <col min="760" max="760" width="5" style="98" customWidth="1"/>
    <col min="761" max="761" width="17.875" style="98" bestFit="1" customWidth="1"/>
    <col min="762" max="762" width="9.875" style="98" customWidth="1"/>
    <col min="763" max="763" width="8.875" style="98" customWidth="1"/>
    <col min="764" max="764" width="7.375" style="98" bestFit="1" customWidth="1"/>
    <col min="765" max="765" width="10.125" style="98" bestFit="1" customWidth="1"/>
    <col min="766" max="766" width="9.375" style="98"/>
    <col min="767" max="767" width="10.125" style="98" bestFit="1" customWidth="1"/>
    <col min="768" max="768" width="10.75" style="98" customWidth="1"/>
    <col min="769" max="771" width="9.375" style="98"/>
    <col min="772" max="773" width="10.75" style="98" customWidth="1"/>
    <col min="774" max="778" width="9.375" style="98"/>
    <col min="779" max="779" width="1.625" style="98" bestFit="1" customWidth="1"/>
    <col min="780" max="780" width="9.375" style="98"/>
    <col min="781" max="781" width="8.875" style="98" customWidth="1"/>
    <col min="782" max="782" width="13.125" style="98" customWidth="1"/>
    <col min="783" max="783" width="9.375" style="98"/>
    <col min="784" max="784" width="9.875" style="98" customWidth="1"/>
    <col min="785" max="785" width="11.75" style="98" bestFit="1" customWidth="1"/>
    <col min="786" max="1015" width="9.375" style="98"/>
    <col min="1016" max="1016" width="5" style="98" customWidth="1"/>
    <col min="1017" max="1017" width="17.875" style="98" bestFit="1" customWidth="1"/>
    <col min="1018" max="1018" width="9.875" style="98" customWidth="1"/>
    <col min="1019" max="1019" width="8.875" style="98" customWidth="1"/>
    <col min="1020" max="1020" width="7.375" style="98" bestFit="1" customWidth="1"/>
    <col min="1021" max="1021" width="10.125" style="98" bestFit="1" customWidth="1"/>
    <col min="1022" max="1022" width="9.375" style="98"/>
    <col min="1023" max="1023" width="10.125" style="98" bestFit="1" customWidth="1"/>
    <col min="1024" max="1024" width="10.75" style="98" customWidth="1"/>
    <col min="1025" max="1027" width="9.375" style="98"/>
    <col min="1028" max="1029" width="10.75" style="98" customWidth="1"/>
    <col min="1030" max="1034" width="9.375" style="98"/>
    <col min="1035" max="1035" width="1.625" style="98" bestFit="1" customWidth="1"/>
    <col min="1036" max="1036" width="9.375" style="98"/>
    <col min="1037" max="1037" width="8.875" style="98" customWidth="1"/>
    <col min="1038" max="1038" width="13.125" style="98" customWidth="1"/>
    <col min="1039" max="1039" width="9.375" style="98"/>
    <col min="1040" max="1040" width="9.875" style="98" customWidth="1"/>
    <col min="1041" max="1041" width="11.75" style="98" bestFit="1" customWidth="1"/>
    <col min="1042" max="1271" width="9.375" style="98"/>
    <col min="1272" max="1272" width="5" style="98" customWidth="1"/>
    <col min="1273" max="1273" width="17.875" style="98" bestFit="1" customWidth="1"/>
    <col min="1274" max="1274" width="9.875" style="98" customWidth="1"/>
    <col min="1275" max="1275" width="8.875" style="98" customWidth="1"/>
    <col min="1276" max="1276" width="7.375" style="98" bestFit="1" customWidth="1"/>
    <col min="1277" max="1277" width="10.125" style="98" bestFit="1" customWidth="1"/>
    <col min="1278" max="1278" width="9.375" style="98"/>
    <col min="1279" max="1279" width="10.125" style="98" bestFit="1" customWidth="1"/>
    <col min="1280" max="1280" width="10.75" style="98" customWidth="1"/>
    <col min="1281" max="1283" width="9.375" style="98"/>
    <col min="1284" max="1285" width="10.75" style="98" customWidth="1"/>
    <col min="1286" max="1290" width="9.375" style="98"/>
    <col min="1291" max="1291" width="1.625" style="98" bestFit="1" customWidth="1"/>
    <col min="1292" max="1292" width="9.375" style="98"/>
    <col min="1293" max="1293" width="8.875" style="98" customWidth="1"/>
    <col min="1294" max="1294" width="13.125" style="98" customWidth="1"/>
    <col min="1295" max="1295" width="9.375" style="98"/>
    <col min="1296" max="1296" width="9.875" style="98" customWidth="1"/>
    <col min="1297" max="1297" width="11.75" style="98" bestFit="1" customWidth="1"/>
    <col min="1298" max="1527" width="9.375" style="98"/>
    <col min="1528" max="1528" width="5" style="98" customWidth="1"/>
    <col min="1529" max="1529" width="17.875" style="98" bestFit="1" customWidth="1"/>
    <col min="1530" max="1530" width="9.875" style="98" customWidth="1"/>
    <col min="1531" max="1531" width="8.875" style="98" customWidth="1"/>
    <col min="1532" max="1532" width="7.375" style="98" bestFit="1" customWidth="1"/>
    <col min="1533" max="1533" width="10.125" style="98" bestFit="1" customWidth="1"/>
    <col min="1534" max="1534" width="9.375" style="98"/>
    <col min="1535" max="1535" width="10.125" style="98" bestFit="1" customWidth="1"/>
    <col min="1536" max="1536" width="10.75" style="98" customWidth="1"/>
    <col min="1537" max="1539" width="9.375" style="98"/>
    <col min="1540" max="1541" width="10.75" style="98" customWidth="1"/>
    <col min="1542" max="1546" width="9.375" style="98"/>
    <col min="1547" max="1547" width="1.625" style="98" bestFit="1" customWidth="1"/>
    <col min="1548" max="1548" width="9.375" style="98"/>
    <col min="1549" max="1549" width="8.875" style="98" customWidth="1"/>
    <col min="1550" max="1550" width="13.125" style="98" customWidth="1"/>
    <col min="1551" max="1551" width="9.375" style="98"/>
    <col min="1552" max="1552" width="9.875" style="98" customWidth="1"/>
    <col min="1553" max="1553" width="11.75" style="98" bestFit="1" customWidth="1"/>
    <col min="1554" max="1783" width="9.375" style="98"/>
    <col min="1784" max="1784" width="5" style="98" customWidth="1"/>
    <col min="1785" max="1785" width="17.875" style="98" bestFit="1" customWidth="1"/>
    <col min="1786" max="1786" width="9.875" style="98" customWidth="1"/>
    <col min="1787" max="1787" width="8.875" style="98" customWidth="1"/>
    <col min="1788" max="1788" width="7.375" style="98" bestFit="1" customWidth="1"/>
    <col min="1789" max="1789" width="10.125" style="98" bestFit="1" customWidth="1"/>
    <col min="1790" max="1790" width="9.375" style="98"/>
    <col min="1791" max="1791" width="10.125" style="98" bestFit="1" customWidth="1"/>
    <col min="1792" max="1792" width="10.75" style="98" customWidth="1"/>
    <col min="1793" max="1795" width="9.375" style="98"/>
    <col min="1796" max="1797" width="10.75" style="98" customWidth="1"/>
    <col min="1798" max="1802" width="9.375" style="98"/>
    <col min="1803" max="1803" width="1.625" style="98" bestFit="1" customWidth="1"/>
    <col min="1804" max="1804" width="9.375" style="98"/>
    <col min="1805" max="1805" width="8.875" style="98" customWidth="1"/>
    <col min="1806" max="1806" width="13.125" style="98" customWidth="1"/>
    <col min="1807" max="1807" width="9.375" style="98"/>
    <col min="1808" max="1808" width="9.875" style="98" customWidth="1"/>
    <col min="1809" max="1809" width="11.75" style="98" bestFit="1" customWidth="1"/>
    <col min="1810" max="2039" width="9.375" style="98"/>
    <col min="2040" max="2040" width="5" style="98" customWidth="1"/>
    <col min="2041" max="2041" width="17.875" style="98" bestFit="1" customWidth="1"/>
    <col min="2042" max="2042" width="9.875" style="98" customWidth="1"/>
    <col min="2043" max="2043" width="8.875" style="98" customWidth="1"/>
    <col min="2044" max="2044" width="7.375" style="98" bestFit="1" customWidth="1"/>
    <col min="2045" max="2045" width="10.125" style="98" bestFit="1" customWidth="1"/>
    <col min="2046" max="2046" width="9.375" style="98"/>
    <col min="2047" max="2047" width="10.125" style="98" bestFit="1" customWidth="1"/>
    <col min="2048" max="2048" width="10.75" style="98" customWidth="1"/>
    <col min="2049" max="2051" width="9.375" style="98"/>
    <col min="2052" max="2053" width="10.75" style="98" customWidth="1"/>
    <col min="2054" max="2058" width="9.375" style="98"/>
    <col min="2059" max="2059" width="1.625" style="98" bestFit="1" customWidth="1"/>
    <col min="2060" max="2060" width="9.375" style="98"/>
    <col min="2061" max="2061" width="8.875" style="98" customWidth="1"/>
    <col min="2062" max="2062" width="13.125" style="98" customWidth="1"/>
    <col min="2063" max="2063" width="9.375" style="98"/>
    <col min="2064" max="2064" width="9.875" style="98" customWidth="1"/>
    <col min="2065" max="2065" width="11.75" style="98" bestFit="1" customWidth="1"/>
    <col min="2066" max="2295" width="9.375" style="98"/>
    <col min="2296" max="2296" width="5" style="98" customWidth="1"/>
    <col min="2297" max="2297" width="17.875" style="98" bestFit="1" customWidth="1"/>
    <col min="2298" max="2298" width="9.875" style="98" customWidth="1"/>
    <col min="2299" max="2299" width="8.875" style="98" customWidth="1"/>
    <col min="2300" max="2300" width="7.375" style="98" bestFit="1" customWidth="1"/>
    <col min="2301" max="2301" width="10.125" style="98" bestFit="1" customWidth="1"/>
    <col min="2302" max="2302" width="9.375" style="98"/>
    <col min="2303" max="2303" width="10.125" style="98" bestFit="1" customWidth="1"/>
    <col min="2304" max="2304" width="10.75" style="98" customWidth="1"/>
    <col min="2305" max="2307" width="9.375" style="98"/>
    <col min="2308" max="2309" width="10.75" style="98" customWidth="1"/>
    <col min="2310" max="2314" width="9.375" style="98"/>
    <col min="2315" max="2315" width="1.625" style="98" bestFit="1" customWidth="1"/>
    <col min="2316" max="2316" width="9.375" style="98"/>
    <col min="2317" max="2317" width="8.875" style="98" customWidth="1"/>
    <col min="2318" max="2318" width="13.125" style="98" customWidth="1"/>
    <col min="2319" max="2319" width="9.375" style="98"/>
    <col min="2320" max="2320" width="9.875" style="98" customWidth="1"/>
    <col min="2321" max="2321" width="11.75" style="98" bestFit="1" customWidth="1"/>
    <col min="2322" max="2551" width="9.375" style="98"/>
    <col min="2552" max="2552" width="5" style="98" customWidth="1"/>
    <col min="2553" max="2553" width="17.875" style="98" bestFit="1" customWidth="1"/>
    <col min="2554" max="2554" width="9.875" style="98" customWidth="1"/>
    <col min="2555" max="2555" width="8.875" style="98" customWidth="1"/>
    <col min="2556" max="2556" width="7.375" style="98" bestFit="1" customWidth="1"/>
    <col min="2557" max="2557" width="10.125" style="98" bestFit="1" customWidth="1"/>
    <col min="2558" max="2558" width="9.375" style="98"/>
    <col min="2559" max="2559" width="10.125" style="98" bestFit="1" customWidth="1"/>
    <col min="2560" max="2560" width="10.75" style="98" customWidth="1"/>
    <col min="2561" max="2563" width="9.375" style="98"/>
    <col min="2564" max="2565" width="10.75" style="98" customWidth="1"/>
    <col min="2566" max="2570" width="9.375" style="98"/>
    <col min="2571" max="2571" width="1.625" style="98" bestFit="1" customWidth="1"/>
    <col min="2572" max="2572" width="9.375" style="98"/>
    <col min="2573" max="2573" width="8.875" style="98" customWidth="1"/>
    <col min="2574" max="2574" width="13.125" style="98" customWidth="1"/>
    <col min="2575" max="2575" width="9.375" style="98"/>
    <col min="2576" max="2576" width="9.875" style="98" customWidth="1"/>
    <col min="2577" max="2577" width="11.75" style="98" bestFit="1" customWidth="1"/>
    <col min="2578" max="2807" width="9.375" style="98"/>
    <col min="2808" max="2808" width="5" style="98" customWidth="1"/>
    <col min="2809" max="2809" width="17.875" style="98" bestFit="1" customWidth="1"/>
    <col min="2810" max="2810" width="9.875" style="98" customWidth="1"/>
    <col min="2811" max="2811" width="8.875" style="98" customWidth="1"/>
    <col min="2812" max="2812" width="7.375" style="98" bestFit="1" customWidth="1"/>
    <col min="2813" max="2813" width="10.125" style="98" bestFit="1" customWidth="1"/>
    <col min="2814" max="2814" width="9.375" style="98"/>
    <col min="2815" max="2815" width="10.125" style="98" bestFit="1" customWidth="1"/>
    <col min="2816" max="2816" width="10.75" style="98" customWidth="1"/>
    <col min="2817" max="2819" width="9.375" style="98"/>
    <col min="2820" max="2821" width="10.75" style="98" customWidth="1"/>
    <col min="2822" max="2826" width="9.375" style="98"/>
    <col min="2827" max="2827" width="1.625" style="98" bestFit="1" customWidth="1"/>
    <col min="2828" max="2828" width="9.375" style="98"/>
    <col min="2829" max="2829" width="8.875" style="98" customWidth="1"/>
    <col min="2830" max="2830" width="13.125" style="98" customWidth="1"/>
    <col min="2831" max="2831" width="9.375" style="98"/>
    <col min="2832" max="2832" width="9.875" style="98" customWidth="1"/>
    <col min="2833" max="2833" width="11.75" style="98" bestFit="1" customWidth="1"/>
    <col min="2834" max="3063" width="9.375" style="98"/>
    <col min="3064" max="3064" width="5" style="98" customWidth="1"/>
    <col min="3065" max="3065" width="17.875" style="98" bestFit="1" customWidth="1"/>
    <col min="3066" max="3066" width="9.875" style="98" customWidth="1"/>
    <col min="3067" max="3067" width="8.875" style="98" customWidth="1"/>
    <col min="3068" max="3068" width="7.375" style="98" bestFit="1" customWidth="1"/>
    <col min="3069" max="3069" width="10.125" style="98" bestFit="1" customWidth="1"/>
    <col min="3070" max="3070" width="9.375" style="98"/>
    <col min="3071" max="3071" width="10.125" style="98" bestFit="1" customWidth="1"/>
    <col min="3072" max="3072" width="10.75" style="98" customWidth="1"/>
    <col min="3073" max="3075" width="9.375" style="98"/>
    <col min="3076" max="3077" width="10.75" style="98" customWidth="1"/>
    <col min="3078" max="3082" width="9.375" style="98"/>
    <col min="3083" max="3083" width="1.625" style="98" bestFit="1" customWidth="1"/>
    <col min="3084" max="3084" width="9.375" style="98"/>
    <col min="3085" max="3085" width="8.875" style="98" customWidth="1"/>
    <col min="3086" max="3086" width="13.125" style="98" customWidth="1"/>
    <col min="3087" max="3087" width="9.375" style="98"/>
    <col min="3088" max="3088" width="9.875" style="98" customWidth="1"/>
    <col min="3089" max="3089" width="11.75" style="98" bestFit="1" customWidth="1"/>
    <col min="3090" max="3319" width="9.375" style="98"/>
    <col min="3320" max="3320" width="5" style="98" customWidth="1"/>
    <col min="3321" max="3321" width="17.875" style="98" bestFit="1" customWidth="1"/>
    <col min="3322" max="3322" width="9.875" style="98" customWidth="1"/>
    <col min="3323" max="3323" width="8.875" style="98" customWidth="1"/>
    <col min="3324" max="3324" width="7.375" style="98" bestFit="1" customWidth="1"/>
    <col min="3325" max="3325" width="10.125" style="98" bestFit="1" customWidth="1"/>
    <col min="3326" max="3326" width="9.375" style="98"/>
    <col min="3327" max="3327" width="10.125" style="98" bestFit="1" customWidth="1"/>
    <col min="3328" max="3328" width="10.75" style="98" customWidth="1"/>
    <col min="3329" max="3331" width="9.375" style="98"/>
    <col min="3332" max="3333" width="10.75" style="98" customWidth="1"/>
    <col min="3334" max="3338" width="9.375" style="98"/>
    <col min="3339" max="3339" width="1.625" style="98" bestFit="1" customWidth="1"/>
    <col min="3340" max="3340" width="9.375" style="98"/>
    <col min="3341" max="3341" width="8.875" style="98" customWidth="1"/>
    <col min="3342" max="3342" width="13.125" style="98" customWidth="1"/>
    <col min="3343" max="3343" width="9.375" style="98"/>
    <col min="3344" max="3344" width="9.875" style="98" customWidth="1"/>
    <col min="3345" max="3345" width="11.75" style="98" bestFit="1" customWidth="1"/>
    <col min="3346" max="3575" width="9.375" style="98"/>
    <col min="3576" max="3576" width="5" style="98" customWidth="1"/>
    <col min="3577" max="3577" width="17.875" style="98" bestFit="1" customWidth="1"/>
    <col min="3578" max="3578" width="9.875" style="98" customWidth="1"/>
    <col min="3579" max="3579" width="8.875" style="98" customWidth="1"/>
    <col min="3580" max="3580" width="7.375" style="98" bestFit="1" customWidth="1"/>
    <col min="3581" max="3581" width="10.125" style="98" bestFit="1" customWidth="1"/>
    <col min="3582" max="3582" width="9.375" style="98"/>
    <col min="3583" max="3583" width="10.125" style="98" bestFit="1" customWidth="1"/>
    <col min="3584" max="3584" width="10.75" style="98" customWidth="1"/>
    <col min="3585" max="3587" width="9.375" style="98"/>
    <col min="3588" max="3589" width="10.75" style="98" customWidth="1"/>
    <col min="3590" max="3594" width="9.375" style="98"/>
    <col min="3595" max="3595" width="1.625" style="98" bestFit="1" customWidth="1"/>
    <col min="3596" max="3596" width="9.375" style="98"/>
    <col min="3597" max="3597" width="8.875" style="98" customWidth="1"/>
    <col min="3598" max="3598" width="13.125" style="98" customWidth="1"/>
    <col min="3599" max="3599" width="9.375" style="98"/>
    <col min="3600" max="3600" width="9.875" style="98" customWidth="1"/>
    <col min="3601" max="3601" width="11.75" style="98" bestFit="1" customWidth="1"/>
    <col min="3602" max="3831" width="9.375" style="98"/>
    <col min="3832" max="3832" width="5" style="98" customWidth="1"/>
    <col min="3833" max="3833" width="17.875" style="98" bestFit="1" customWidth="1"/>
    <col min="3834" max="3834" width="9.875" style="98" customWidth="1"/>
    <col min="3835" max="3835" width="8.875" style="98" customWidth="1"/>
    <col min="3836" max="3836" width="7.375" style="98" bestFit="1" customWidth="1"/>
    <col min="3837" max="3837" width="10.125" style="98" bestFit="1" customWidth="1"/>
    <col min="3838" max="3838" width="9.375" style="98"/>
    <col min="3839" max="3839" width="10.125" style="98" bestFit="1" customWidth="1"/>
    <col min="3840" max="3840" width="10.75" style="98" customWidth="1"/>
    <col min="3841" max="3843" width="9.375" style="98"/>
    <col min="3844" max="3845" width="10.75" style="98" customWidth="1"/>
    <col min="3846" max="3850" width="9.375" style="98"/>
    <col min="3851" max="3851" width="1.625" style="98" bestFit="1" customWidth="1"/>
    <col min="3852" max="3852" width="9.375" style="98"/>
    <col min="3853" max="3853" width="8.875" style="98" customWidth="1"/>
    <col min="3854" max="3854" width="13.125" style="98" customWidth="1"/>
    <col min="3855" max="3855" width="9.375" style="98"/>
    <col min="3856" max="3856" width="9.875" style="98" customWidth="1"/>
    <col min="3857" max="3857" width="11.75" style="98" bestFit="1" customWidth="1"/>
    <col min="3858" max="4087" width="9.375" style="98"/>
    <col min="4088" max="4088" width="5" style="98" customWidth="1"/>
    <col min="4089" max="4089" width="17.875" style="98" bestFit="1" customWidth="1"/>
    <col min="4090" max="4090" width="9.875" style="98" customWidth="1"/>
    <col min="4091" max="4091" width="8.875" style="98" customWidth="1"/>
    <col min="4092" max="4092" width="7.375" style="98" bestFit="1" customWidth="1"/>
    <col min="4093" max="4093" width="10.125" style="98" bestFit="1" customWidth="1"/>
    <col min="4094" max="4094" width="9.375" style="98"/>
    <col min="4095" max="4095" width="10.125" style="98" bestFit="1" customWidth="1"/>
    <col min="4096" max="4096" width="10.75" style="98" customWidth="1"/>
    <col min="4097" max="4099" width="9.375" style="98"/>
    <col min="4100" max="4101" width="10.75" style="98" customWidth="1"/>
    <col min="4102" max="4106" width="9.375" style="98"/>
    <col min="4107" max="4107" width="1.625" style="98" bestFit="1" customWidth="1"/>
    <col min="4108" max="4108" width="9.375" style="98"/>
    <col min="4109" max="4109" width="8.875" style="98" customWidth="1"/>
    <col min="4110" max="4110" width="13.125" style="98" customWidth="1"/>
    <col min="4111" max="4111" width="9.375" style="98"/>
    <col min="4112" max="4112" width="9.875" style="98" customWidth="1"/>
    <col min="4113" max="4113" width="11.75" style="98" bestFit="1" customWidth="1"/>
    <col min="4114" max="4343" width="9.375" style="98"/>
    <col min="4344" max="4344" width="5" style="98" customWidth="1"/>
    <col min="4345" max="4345" width="17.875" style="98" bestFit="1" customWidth="1"/>
    <col min="4346" max="4346" width="9.875" style="98" customWidth="1"/>
    <col min="4347" max="4347" width="8.875" style="98" customWidth="1"/>
    <col min="4348" max="4348" width="7.375" style="98" bestFit="1" customWidth="1"/>
    <col min="4349" max="4349" width="10.125" style="98" bestFit="1" customWidth="1"/>
    <col min="4350" max="4350" width="9.375" style="98"/>
    <col min="4351" max="4351" width="10.125" style="98" bestFit="1" customWidth="1"/>
    <col min="4352" max="4352" width="10.75" style="98" customWidth="1"/>
    <col min="4353" max="4355" width="9.375" style="98"/>
    <col min="4356" max="4357" width="10.75" style="98" customWidth="1"/>
    <col min="4358" max="4362" width="9.375" style="98"/>
    <col min="4363" max="4363" width="1.625" style="98" bestFit="1" customWidth="1"/>
    <col min="4364" max="4364" width="9.375" style="98"/>
    <col min="4365" max="4365" width="8.875" style="98" customWidth="1"/>
    <col min="4366" max="4366" width="13.125" style="98" customWidth="1"/>
    <col min="4367" max="4367" width="9.375" style="98"/>
    <col min="4368" max="4368" width="9.875" style="98" customWidth="1"/>
    <col min="4369" max="4369" width="11.75" style="98" bestFit="1" customWidth="1"/>
    <col min="4370" max="4599" width="9.375" style="98"/>
    <col min="4600" max="4600" width="5" style="98" customWidth="1"/>
    <col min="4601" max="4601" width="17.875" style="98" bestFit="1" customWidth="1"/>
    <col min="4602" max="4602" width="9.875" style="98" customWidth="1"/>
    <col min="4603" max="4603" width="8.875" style="98" customWidth="1"/>
    <col min="4604" max="4604" width="7.375" style="98" bestFit="1" customWidth="1"/>
    <col min="4605" max="4605" width="10.125" style="98" bestFit="1" customWidth="1"/>
    <col min="4606" max="4606" width="9.375" style="98"/>
    <col min="4607" max="4607" width="10.125" style="98" bestFit="1" customWidth="1"/>
    <col min="4608" max="4608" width="10.75" style="98" customWidth="1"/>
    <col min="4609" max="4611" width="9.375" style="98"/>
    <col min="4612" max="4613" width="10.75" style="98" customWidth="1"/>
    <col min="4614" max="4618" width="9.375" style="98"/>
    <col min="4619" max="4619" width="1.625" style="98" bestFit="1" customWidth="1"/>
    <col min="4620" max="4620" width="9.375" style="98"/>
    <col min="4621" max="4621" width="8.875" style="98" customWidth="1"/>
    <col min="4622" max="4622" width="13.125" style="98" customWidth="1"/>
    <col min="4623" max="4623" width="9.375" style="98"/>
    <col min="4624" max="4624" width="9.875" style="98" customWidth="1"/>
    <col min="4625" max="4625" width="11.75" style="98" bestFit="1" customWidth="1"/>
    <col min="4626" max="4855" width="9.375" style="98"/>
    <col min="4856" max="4856" width="5" style="98" customWidth="1"/>
    <col min="4857" max="4857" width="17.875" style="98" bestFit="1" customWidth="1"/>
    <col min="4858" max="4858" width="9.875" style="98" customWidth="1"/>
    <col min="4859" max="4859" width="8.875" style="98" customWidth="1"/>
    <col min="4860" max="4860" width="7.375" style="98" bestFit="1" customWidth="1"/>
    <col min="4861" max="4861" width="10.125" style="98" bestFit="1" customWidth="1"/>
    <col min="4862" max="4862" width="9.375" style="98"/>
    <col min="4863" max="4863" width="10.125" style="98" bestFit="1" customWidth="1"/>
    <col min="4864" max="4864" width="10.75" style="98" customWidth="1"/>
    <col min="4865" max="4867" width="9.375" style="98"/>
    <col min="4868" max="4869" width="10.75" style="98" customWidth="1"/>
    <col min="4870" max="4874" width="9.375" style="98"/>
    <col min="4875" max="4875" width="1.625" style="98" bestFit="1" customWidth="1"/>
    <col min="4876" max="4876" width="9.375" style="98"/>
    <col min="4877" max="4877" width="8.875" style="98" customWidth="1"/>
    <col min="4878" max="4878" width="13.125" style="98" customWidth="1"/>
    <col min="4879" max="4879" width="9.375" style="98"/>
    <col min="4880" max="4880" width="9.875" style="98" customWidth="1"/>
    <col min="4881" max="4881" width="11.75" style="98" bestFit="1" customWidth="1"/>
    <col min="4882" max="5111" width="9.375" style="98"/>
    <col min="5112" max="5112" width="5" style="98" customWidth="1"/>
    <col min="5113" max="5113" width="17.875" style="98" bestFit="1" customWidth="1"/>
    <col min="5114" max="5114" width="9.875" style="98" customWidth="1"/>
    <col min="5115" max="5115" width="8.875" style="98" customWidth="1"/>
    <col min="5116" max="5116" width="7.375" style="98" bestFit="1" customWidth="1"/>
    <col min="5117" max="5117" width="10.125" style="98" bestFit="1" customWidth="1"/>
    <col min="5118" max="5118" width="9.375" style="98"/>
    <col min="5119" max="5119" width="10.125" style="98" bestFit="1" customWidth="1"/>
    <col min="5120" max="5120" width="10.75" style="98" customWidth="1"/>
    <col min="5121" max="5123" width="9.375" style="98"/>
    <col min="5124" max="5125" width="10.75" style="98" customWidth="1"/>
    <col min="5126" max="5130" width="9.375" style="98"/>
    <col min="5131" max="5131" width="1.625" style="98" bestFit="1" customWidth="1"/>
    <col min="5132" max="5132" width="9.375" style="98"/>
    <col min="5133" max="5133" width="8.875" style="98" customWidth="1"/>
    <col min="5134" max="5134" width="13.125" style="98" customWidth="1"/>
    <col min="5135" max="5135" width="9.375" style="98"/>
    <col min="5136" max="5136" width="9.875" style="98" customWidth="1"/>
    <col min="5137" max="5137" width="11.75" style="98" bestFit="1" customWidth="1"/>
    <col min="5138" max="5367" width="9.375" style="98"/>
    <col min="5368" max="5368" width="5" style="98" customWidth="1"/>
    <col min="5369" max="5369" width="17.875" style="98" bestFit="1" customWidth="1"/>
    <col min="5370" max="5370" width="9.875" style="98" customWidth="1"/>
    <col min="5371" max="5371" width="8.875" style="98" customWidth="1"/>
    <col min="5372" max="5372" width="7.375" style="98" bestFit="1" customWidth="1"/>
    <col min="5373" max="5373" width="10.125" style="98" bestFit="1" customWidth="1"/>
    <col min="5374" max="5374" width="9.375" style="98"/>
    <col min="5375" max="5375" width="10.125" style="98" bestFit="1" customWidth="1"/>
    <col min="5376" max="5376" width="10.75" style="98" customWidth="1"/>
    <col min="5377" max="5379" width="9.375" style="98"/>
    <col min="5380" max="5381" width="10.75" style="98" customWidth="1"/>
    <col min="5382" max="5386" width="9.375" style="98"/>
    <col min="5387" max="5387" width="1.625" style="98" bestFit="1" customWidth="1"/>
    <col min="5388" max="5388" width="9.375" style="98"/>
    <col min="5389" max="5389" width="8.875" style="98" customWidth="1"/>
    <col min="5390" max="5390" width="13.125" style="98" customWidth="1"/>
    <col min="5391" max="5391" width="9.375" style="98"/>
    <col min="5392" max="5392" width="9.875" style="98" customWidth="1"/>
    <col min="5393" max="5393" width="11.75" style="98" bestFit="1" customWidth="1"/>
    <col min="5394" max="5623" width="9.375" style="98"/>
    <col min="5624" max="5624" width="5" style="98" customWidth="1"/>
    <col min="5625" max="5625" width="17.875" style="98" bestFit="1" customWidth="1"/>
    <col min="5626" max="5626" width="9.875" style="98" customWidth="1"/>
    <col min="5627" max="5627" width="8.875" style="98" customWidth="1"/>
    <col min="5628" max="5628" width="7.375" style="98" bestFit="1" customWidth="1"/>
    <col min="5629" max="5629" width="10.125" style="98" bestFit="1" customWidth="1"/>
    <col min="5630" max="5630" width="9.375" style="98"/>
    <col min="5631" max="5631" width="10.125" style="98" bestFit="1" customWidth="1"/>
    <col min="5632" max="5632" width="10.75" style="98" customWidth="1"/>
    <col min="5633" max="5635" width="9.375" style="98"/>
    <col min="5636" max="5637" width="10.75" style="98" customWidth="1"/>
    <col min="5638" max="5642" width="9.375" style="98"/>
    <col min="5643" max="5643" width="1.625" style="98" bestFit="1" customWidth="1"/>
    <col min="5644" max="5644" width="9.375" style="98"/>
    <col min="5645" max="5645" width="8.875" style="98" customWidth="1"/>
    <col min="5646" max="5646" width="13.125" style="98" customWidth="1"/>
    <col min="5647" max="5647" width="9.375" style="98"/>
    <col min="5648" max="5648" width="9.875" style="98" customWidth="1"/>
    <col min="5649" max="5649" width="11.75" style="98" bestFit="1" customWidth="1"/>
    <col min="5650" max="5879" width="9.375" style="98"/>
    <col min="5880" max="5880" width="5" style="98" customWidth="1"/>
    <col min="5881" max="5881" width="17.875" style="98" bestFit="1" customWidth="1"/>
    <col min="5882" max="5882" width="9.875" style="98" customWidth="1"/>
    <col min="5883" max="5883" width="8.875" style="98" customWidth="1"/>
    <col min="5884" max="5884" width="7.375" style="98" bestFit="1" customWidth="1"/>
    <col min="5885" max="5885" width="10.125" style="98" bestFit="1" customWidth="1"/>
    <col min="5886" max="5886" width="9.375" style="98"/>
    <col min="5887" max="5887" width="10.125" style="98" bestFit="1" customWidth="1"/>
    <col min="5888" max="5888" width="10.75" style="98" customWidth="1"/>
    <col min="5889" max="5891" width="9.375" style="98"/>
    <col min="5892" max="5893" width="10.75" style="98" customWidth="1"/>
    <col min="5894" max="5898" width="9.375" style="98"/>
    <col min="5899" max="5899" width="1.625" style="98" bestFit="1" customWidth="1"/>
    <col min="5900" max="5900" width="9.375" style="98"/>
    <col min="5901" max="5901" width="8.875" style="98" customWidth="1"/>
    <col min="5902" max="5902" width="13.125" style="98" customWidth="1"/>
    <col min="5903" max="5903" width="9.375" style="98"/>
    <col min="5904" max="5904" width="9.875" style="98" customWidth="1"/>
    <col min="5905" max="5905" width="11.75" style="98" bestFit="1" customWidth="1"/>
    <col min="5906" max="6135" width="9.375" style="98"/>
    <col min="6136" max="6136" width="5" style="98" customWidth="1"/>
    <col min="6137" max="6137" width="17.875" style="98" bestFit="1" customWidth="1"/>
    <col min="6138" max="6138" width="9.875" style="98" customWidth="1"/>
    <col min="6139" max="6139" width="8.875" style="98" customWidth="1"/>
    <col min="6140" max="6140" width="7.375" style="98" bestFit="1" customWidth="1"/>
    <col min="6141" max="6141" width="10.125" style="98" bestFit="1" customWidth="1"/>
    <col min="6142" max="6142" width="9.375" style="98"/>
    <col min="6143" max="6143" width="10.125" style="98" bestFit="1" customWidth="1"/>
    <col min="6144" max="6144" width="10.75" style="98" customWidth="1"/>
    <col min="6145" max="6147" width="9.375" style="98"/>
    <col min="6148" max="6149" width="10.75" style="98" customWidth="1"/>
    <col min="6150" max="6154" width="9.375" style="98"/>
    <col min="6155" max="6155" width="1.625" style="98" bestFit="1" customWidth="1"/>
    <col min="6156" max="6156" width="9.375" style="98"/>
    <col min="6157" max="6157" width="8.875" style="98" customWidth="1"/>
    <col min="6158" max="6158" width="13.125" style="98" customWidth="1"/>
    <col min="6159" max="6159" width="9.375" style="98"/>
    <col min="6160" max="6160" width="9.875" style="98" customWidth="1"/>
    <col min="6161" max="6161" width="11.75" style="98" bestFit="1" customWidth="1"/>
    <col min="6162" max="6391" width="9.375" style="98"/>
    <col min="6392" max="6392" width="5" style="98" customWidth="1"/>
    <col min="6393" max="6393" width="17.875" style="98" bestFit="1" customWidth="1"/>
    <col min="6394" max="6394" width="9.875" style="98" customWidth="1"/>
    <col min="6395" max="6395" width="8.875" style="98" customWidth="1"/>
    <col min="6396" max="6396" width="7.375" style="98" bestFit="1" customWidth="1"/>
    <col min="6397" max="6397" width="10.125" style="98" bestFit="1" customWidth="1"/>
    <col min="6398" max="6398" width="9.375" style="98"/>
    <col min="6399" max="6399" width="10.125" style="98" bestFit="1" customWidth="1"/>
    <col min="6400" max="6400" width="10.75" style="98" customWidth="1"/>
    <col min="6401" max="6403" width="9.375" style="98"/>
    <col min="6404" max="6405" width="10.75" style="98" customWidth="1"/>
    <col min="6406" max="6410" width="9.375" style="98"/>
    <col min="6411" max="6411" width="1.625" style="98" bestFit="1" customWidth="1"/>
    <col min="6412" max="6412" width="9.375" style="98"/>
    <col min="6413" max="6413" width="8.875" style="98" customWidth="1"/>
    <col min="6414" max="6414" width="13.125" style="98" customWidth="1"/>
    <col min="6415" max="6415" width="9.375" style="98"/>
    <col min="6416" max="6416" width="9.875" style="98" customWidth="1"/>
    <col min="6417" max="6417" width="11.75" style="98" bestFit="1" customWidth="1"/>
    <col min="6418" max="6647" width="9.375" style="98"/>
    <col min="6648" max="6648" width="5" style="98" customWidth="1"/>
    <col min="6649" max="6649" width="17.875" style="98" bestFit="1" customWidth="1"/>
    <col min="6650" max="6650" width="9.875" style="98" customWidth="1"/>
    <col min="6651" max="6651" width="8.875" style="98" customWidth="1"/>
    <col min="6652" max="6652" width="7.375" style="98" bestFit="1" customWidth="1"/>
    <col min="6653" max="6653" width="10.125" style="98" bestFit="1" customWidth="1"/>
    <col min="6654" max="6654" width="9.375" style="98"/>
    <col min="6655" max="6655" width="10.125" style="98" bestFit="1" customWidth="1"/>
    <col min="6656" max="6656" width="10.75" style="98" customWidth="1"/>
    <col min="6657" max="6659" width="9.375" style="98"/>
    <col min="6660" max="6661" width="10.75" style="98" customWidth="1"/>
    <col min="6662" max="6666" width="9.375" style="98"/>
    <col min="6667" max="6667" width="1.625" style="98" bestFit="1" customWidth="1"/>
    <col min="6668" max="6668" width="9.375" style="98"/>
    <col min="6669" max="6669" width="8.875" style="98" customWidth="1"/>
    <col min="6670" max="6670" width="13.125" style="98" customWidth="1"/>
    <col min="6671" max="6671" width="9.375" style="98"/>
    <col min="6672" max="6672" width="9.875" style="98" customWidth="1"/>
    <col min="6673" max="6673" width="11.75" style="98" bestFit="1" customWidth="1"/>
    <col min="6674" max="6903" width="9.375" style="98"/>
    <col min="6904" max="6904" width="5" style="98" customWidth="1"/>
    <col min="6905" max="6905" width="17.875" style="98" bestFit="1" customWidth="1"/>
    <col min="6906" max="6906" width="9.875" style="98" customWidth="1"/>
    <col min="6907" max="6907" width="8.875" style="98" customWidth="1"/>
    <col min="6908" max="6908" width="7.375" style="98" bestFit="1" customWidth="1"/>
    <col min="6909" max="6909" width="10.125" style="98" bestFit="1" customWidth="1"/>
    <col min="6910" max="6910" width="9.375" style="98"/>
    <col min="6911" max="6911" width="10.125" style="98" bestFit="1" customWidth="1"/>
    <col min="6912" max="6912" width="10.75" style="98" customWidth="1"/>
    <col min="6913" max="6915" width="9.375" style="98"/>
    <col min="6916" max="6917" width="10.75" style="98" customWidth="1"/>
    <col min="6918" max="6922" width="9.375" style="98"/>
    <col min="6923" max="6923" width="1.625" style="98" bestFit="1" customWidth="1"/>
    <col min="6924" max="6924" width="9.375" style="98"/>
    <col min="6925" max="6925" width="8.875" style="98" customWidth="1"/>
    <col min="6926" max="6926" width="13.125" style="98" customWidth="1"/>
    <col min="6927" max="6927" width="9.375" style="98"/>
    <col min="6928" max="6928" width="9.875" style="98" customWidth="1"/>
    <col min="6929" max="6929" width="11.75" style="98" bestFit="1" customWidth="1"/>
    <col min="6930" max="7159" width="9.375" style="98"/>
    <col min="7160" max="7160" width="5" style="98" customWidth="1"/>
    <col min="7161" max="7161" width="17.875" style="98" bestFit="1" customWidth="1"/>
    <col min="7162" max="7162" width="9.875" style="98" customWidth="1"/>
    <col min="7163" max="7163" width="8.875" style="98" customWidth="1"/>
    <col min="7164" max="7164" width="7.375" style="98" bestFit="1" customWidth="1"/>
    <col min="7165" max="7165" width="10.125" style="98" bestFit="1" customWidth="1"/>
    <col min="7166" max="7166" width="9.375" style="98"/>
    <col min="7167" max="7167" width="10.125" style="98" bestFit="1" customWidth="1"/>
    <col min="7168" max="7168" width="10.75" style="98" customWidth="1"/>
    <col min="7169" max="7171" width="9.375" style="98"/>
    <col min="7172" max="7173" width="10.75" style="98" customWidth="1"/>
    <col min="7174" max="7178" width="9.375" style="98"/>
    <col min="7179" max="7179" width="1.625" style="98" bestFit="1" customWidth="1"/>
    <col min="7180" max="7180" width="9.375" style="98"/>
    <col min="7181" max="7181" width="8.875" style="98" customWidth="1"/>
    <col min="7182" max="7182" width="13.125" style="98" customWidth="1"/>
    <col min="7183" max="7183" width="9.375" style="98"/>
    <col min="7184" max="7184" width="9.875" style="98" customWidth="1"/>
    <col min="7185" max="7185" width="11.75" style="98" bestFit="1" customWidth="1"/>
    <col min="7186" max="7415" width="9.375" style="98"/>
    <col min="7416" max="7416" width="5" style="98" customWidth="1"/>
    <col min="7417" max="7417" width="17.875" style="98" bestFit="1" customWidth="1"/>
    <col min="7418" max="7418" width="9.875" style="98" customWidth="1"/>
    <col min="7419" max="7419" width="8.875" style="98" customWidth="1"/>
    <col min="7420" max="7420" width="7.375" style="98" bestFit="1" customWidth="1"/>
    <col min="7421" max="7421" width="10.125" style="98" bestFit="1" customWidth="1"/>
    <col min="7422" max="7422" width="9.375" style="98"/>
    <col min="7423" max="7423" width="10.125" style="98" bestFit="1" customWidth="1"/>
    <col min="7424" max="7424" width="10.75" style="98" customWidth="1"/>
    <col min="7425" max="7427" width="9.375" style="98"/>
    <col min="7428" max="7429" width="10.75" style="98" customWidth="1"/>
    <col min="7430" max="7434" width="9.375" style="98"/>
    <col min="7435" max="7435" width="1.625" style="98" bestFit="1" customWidth="1"/>
    <col min="7436" max="7436" width="9.375" style="98"/>
    <col min="7437" max="7437" width="8.875" style="98" customWidth="1"/>
    <col min="7438" max="7438" width="13.125" style="98" customWidth="1"/>
    <col min="7439" max="7439" width="9.375" style="98"/>
    <col min="7440" max="7440" width="9.875" style="98" customWidth="1"/>
    <col min="7441" max="7441" width="11.75" style="98" bestFit="1" customWidth="1"/>
    <col min="7442" max="7671" width="9.375" style="98"/>
    <col min="7672" max="7672" width="5" style="98" customWidth="1"/>
    <col min="7673" max="7673" width="17.875" style="98" bestFit="1" customWidth="1"/>
    <col min="7674" max="7674" width="9.875" style="98" customWidth="1"/>
    <col min="7675" max="7675" width="8.875" style="98" customWidth="1"/>
    <col min="7676" max="7676" width="7.375" style="98" bestFit="1" customWidth="1"/>
    <col min="7677" max="7677" width="10.125" style="98" bestFit="1" customWidth="1"/>
    <col min="7678" max="7678" width="9.375" style="98"/>
    <col min="7679" max="7679" width="10.125" style="98" bestFit="1" customWidth="1"/>
    <col min="7680" max="7680" width="10.75" style="98" customWidth="1"/>
    <col min="7681" max="7683" width="9.375" style="98"/>
    <col min="7684" max="7685" width="10.75" style="98" customWidth="1"/>
    <col min="7686" max="7690" width="9.375" style="98"/>
    <col min="7691" max="7691" width="1.625" style="98" bestFit="1" customWidth="1"/>
    <col min="7692" max="7692" width="9.375" style="98"/>
    <col min="7693" max="7693" width="8.875" style="98" customWidth="1"/>
    <col min="7694" max="7694" width="13.125" style="98" customWidth="1"/>
    <col min="7695" max="7695" width="9.375" style="98"/>
    <col min="7696" max="7696" width="9.875" style="98" customWidth="1"/>
    <col min="7697" max="7697" width="11.75" style="98" bestFit="1" customWidth="1"/>
    <col min="7698" max="7927" width="9.375" style="98"/>
    <col min="7928" max="7928" width="5" style="98" customWidth="1"/>
    <col min="7929" max="7929" width="17.875" style="98" bestFit="1" customWidth="1"/>
    <col min="7930" max="7930" width="9.875" style="98" customWidth="1"/>
    <col min="7931" max="7931" width="8.875" style="98" customWidth="1"/>
    <col min="7932" max="7932" width="7.375" style="98" bestFit="1" customWidth="1"/>
    <col min="7933" max="7933" width="10.125" style="98" bestFit="1" customWidth="1"/>
    <col min="7934" max="7934" width="9.375" style="98"/>
    <col min="7935" max="7935" width="10.125" style="98" bestFit="1" customWidth="1"/>
    <col min="7936" max="7936" width="10.75" style="98" customWidth="1"/>
    <col min="7937" max="7939" width="9.375" style="98"/>
    <col min="7940" max="7941" width="10.75" style="98" customWidth="1"/>
    <col min="7942" max="7946" width="9.375" style="98"/>
    <col min="7947" max="7947" width="1.625" style="98" bestFit="1" customWidth="1"/>
    <col min="7948" max="7948" width="9.375" style="98"/>
    <col min="7949" max="7949" width="8.875" style="98" customWidth="1"/>
    <col min="7950" max="7950" width="13.125" style="98" customWidth="1"/>
    <col min="7951" max="7951" width="9.375" style="98"/>
    <col min="7952" max="7952" width="9.875" style="98" customWidth="1"/>
    <col min="7953" max="7953" width="11.75" style="98" bestFit="1" customWidth="1"/>
    <col min="7954" max="8183" width="9.375" style="98"/>
    <col min="8184" max="8184" width="5" style="98" customWidth="1"/>
    <col min="8185" max="8185" width="17.875" style="98" bestFit="1" customWidth="1"/>
    <col min="8186" max="8186" width="9.875" style="98" customWidth="1"/>
    <col min="8187" max="8187" width="8.875" style="98" customWidth="1"/>
    <col min="8188" max="8188" width="7.375" style="98" bestFit="1" customWidth="1"/>
    <col min="8189" max="8189" width="10.125" style="98" bestFit="1" customWidth="1"/>
    <col min="8190" max="8190" width="9.375" style="98"/>
    <col min="8191" max="8191" width="10.125" style="98" bestFit="1" customWidth="1"/>
    <col min="8192" max="8192" width="10.75" style="98" customWidth="1"/>
    <col min="8193" max="8195" width="9.375" style="98"/>
    <col min="8196" max="8197" width="10.75" style="98" customWidth="1"/>
    <col min="8198" max="8202" width="9.375" style="98"/>
    <col min="8203" max="8203" width="1.625" style="98" bestFit="1" customWidth="1"/>
    <col min="8204" max="8204" width="9.375" style="98"/>
    <col min="8205" max="8205" width="8.875" style="98" customWidth="1"/>
    <col min="8206" max="8206" width="13.125" style="98" customWidth="1"/>
    <col min="8207" max="8207" width="9.375" style="98"/>
    <col min="8208" max="8208" width="9.875" style="98" customWidth="1"/>
    <col min="8209" max="8209" width="11.75" style="98" bestFit="1" customWidth="1"/>
    <col min="8210" max="8439" width="9.375" style="98"/>
    <col min="8440" max="8440" width="5" style="98" customWidth="1"/>
    <col min="8441" max="8441" width="17.875" style="98" bestFit="1" customWidth="1"/>
    <col min="8442" max="8442" width="9.875" style="98" customWidth="1"/>
    <col min="8443" max="8443" width="8.875" style="98" customWidth="1"/>
    <col min="8444" max="8444" width="7.375" style="98" bestFit="1" customWidth="1"/>
    <col min="8445" max="8445" width="10.125" style="98" bestFit="1" customWidth="1"/>
    <col min="8446" max="8446" width="9.375" style="98"/>
    <col min="8447" max="8447" width="10.125" style="98" bestFit="1" customWidth="1"/>
    <col min="8448" max="8448" width="10.75" style="98" customWidth="1"/>
    <col min="8449" max="8451" width="9.375" style="98"/>
    <col min="8452" max="8453" width="10.75" style="98" customWidth="1"/>
    <col min="8454" max="8458" width="9.375" style="98"/>
    <col min="8459" max="8459" width="1.625" style="98" bestFit="1" customWidth="1"/>
    <col min="8460" max="8460" width="9.375" style="98"/>
    <col min="8461" max="8461" width="8.875" style="98" customWidth="1"/>
    <col min="8462" max="8462" width="13.125" style="98" customWidth="1"/>
    <col min="8463" max="8463" width="9.375" style="98"/>
    <col min="8464" max="8464" width="9.875" style="98" customWidth="1"/>
    <col min="8465" max="8465" width="11.75" style="98" bestFit="1" customWidth="1"/>
    <col min="8466" max="8695" width="9.375" style="98"/>
    <col min="8696" max="8696" width="5" style="98" customWidth="1"/>
    <col min="8697" max="8697" width="17.875" style="98" bestFit="1" customWidth="1"/>
    <col min="8698" max="8698" width="9.875" style="98" customWidth="1"/>
    <col min="8699" max="8699" width="8.875" style="98" customWidth="1"/>
    <col min="8700" max="8700" width="7.375" style="98" bestFit="1" customWidth="1"/>
    <col min="8701" max="8701" width="10.125" style="98" bestFit="1" customWidth="1"/>
    <col min="8702" max="8702" width="9.375" style="98"/>
    <col min="8703" max="8703" width="10.125" style="98" bestFit="1" customWidth="1"/>
    <col min="8704" max="8704" width="10.75" style="98" customWidth="1"/>
    <col min="8705" max="8707" width="9.375" style="98"/>
    <col min="8708" max="8709" width="10.75" style="98" customWidth="1"/>
    <col min="8710" max="8714" width="9.375" style="98"/>
    <col min="8715" max="8715" width="1.625" style="98" bestFit="1" customWidth="1"/>
    <col min="8716" max="8716" width="9.375" style="98"/>
    <col min="8717" max="8717" width="8.875" style="98" customWidth="1"/>
    <col min="8718" max="8718" width="13.125" style="98" customWidth="1"/>
    <col min="8719" max="8719" width="9.375" style="98"/>
    <col min="8720" max="8720" width="9.875" style="98" customWidth="1"/>
    <col min="8721" max="8721" width="11.75" style="98" bestFit="1" customWidth="1"/>
    <col min="8722" max="8951" width="9.375" style="98"/>
    <col min="8952" max="8952" width="5" style="98" customWidth="1"/>
    <col min="8953" max="8953" width="17.875" style="98" bestFit="1" customWidth="1"/>
    <col min="8954" max="8954" width="9.875" style="98" customWidth="1"/>
    <col min="8955" max="8955" width="8.875" style="98" customWidth="1"/>
    <col min="8956" max="8956" width="7.375" style="98" bestFit="1" customWidth="1"/>
    <col min="8957" max="8957" width="10.125" style="98" bestFit="1" customWidth="1"/>
    <col min="8958" max="8958" width="9.375" style="98"/>
    <col min="8959" max="8959" width="10.125" style="98" bestFit="1" customWidth="1"/>
    <col min="8960" max="8960" width="10.75" style="98" customWidth="1"/>
    <col min="8961" max="8963" width="9.375" style="98"/>
    <col min="8964" max="8965" width="10.75" style="98" customWidth="1"/>
    <col min="8966" max="8970" width="9.375" style="98"/>
    <col min="8971" max="8971" width="1.625" style="98" bestFit="1" customWidth="1"/>
    <col min="8972" max="8972" width="9.375" style="98"/>
    <col min="8973" max="8973" width="8.875" style="98" customWidth="1"/>
    <col min="8974" max="8974" width="13.125" style="98" customWidth="1"/>
    <col min="8975" max="8975" width="9.375" style="98"/>
    <col min="8976" max="8976" width="9.875" style="98" customWidth="1"/>
    <col min="8977" max="8977" width="11.75" style="98" bestFit="1" customWidth="1"/>
    <col min="8978" max="9207" width="9.375" style="98"/>
    <col min="9208" max="9208" width="5" style="98" customWidth="1"/>
    <col min="9209" max="9209" width="17.875" style="98" bestFit="1" customWidth="1"/>
    <col min="9210" max="9210" width="9.875" style="98" customWidth="1"/>
    <col min="9211" max="9211" width="8.875" style="98" customWidth="1"/>
    <col min="9212" max="9212" width="7.375" style="98" bestFit="1" customWidth="1"/>
    <col min="9213" max="9213" width="10.125" style="98" bestFit="1" customWidth="1"/>
    <col min="9214" max="9214" width="9.375" style="98"/>
    <col min="9215" max="9215" width="10.125" style="98" bestFit="1" customWidth="1"/>
    <col min="9216" max="9216" width="10.75" style="98" customWidth="1"/>
    <col min="9217" max="9219" width="9.375" style="98"/>
    <col min="9220" max="9221" width="10.75" style="98" customWidth="1"/>
    <col min="9222" max="9226" width="9.375" style="98"/>
    <col min="9227" max="9227" width="1.625" style="98" bestFit="1" customWidth="1"/>
    <col min="9228" max="9228" width="9.375" style="98"/>
    <col min="9229" max="9229" width="8.875" style="98" customWidth="1"/>
    <col min="9230" max="9230" width="13.125" style="98" customWidth="1"/>
    <col min="9231" max="9231" width="9.375" style="98"/>
    <col min="9232" max="9232" width="9.875" style="98" customWidth="1"/>
    <col min="9233" max="9233" width="11.75" style="98" bestFit="1" customWidth="1"/>
    <col min="9234" max="9463" width="9.375" style="98"/>
    <col min="9464" max="9464" width="5" style="98" customWidth="1"/>
    <col min="9465" max="9465" width="17.875" style="98" bestFit="1" customWidth="1"/>
    <col min="9466" max="9466" width="9.875" style="98" customWidth="1"/>
    <col min="9467" max="9467" width="8.875" style="98" customWidth="1"/>
    <col min="9468" max="9468" width="7.375" style="98" bestFit="1" customWidth="1"/>
    <col min="9469" max="9469" width="10.125" style="98" bestFit="1" customWidth="1"/>
    <col min="9470" max="9470" width="9.375" style="98"/>
    <col min="9471" max="9471" width="10.125" style="98" bestFit="1" customWidth="1"/>
    <col min="9472" max="9472" width="10.75" style="98" customWidth="1"/>
    <col min="9473" max="9475" width="9.375" style="98"/>
    <col min="9476" max="9477" width="10.75" style="98" customWidth="1"/>
    <col min="9478" max="9482" width="9.375" style="98"/>
    <col min="9483" max="9483" width="1.625" style="98" bestFit="1" customWidth="1"/>
    <col min="9484" max="9484" width="9.375" style="98"/>
    <col min="9485" max="9485" width="8.875" style="98" customWidth="1"/>
    <col min="9486" max="9486" width="13.125" style="98" customWidth="1"/>
    <col min="9487" max="9487" width="9.375" style="98"/>
    <col min="9488" max="9488" width="9.875" style="98" customWidth="1"/>
    <col min="9489" max="9489" width="11.75" style="98" bestFit="1" customWidth="1"/>
    <col min="9490" max="9719" width="9.375" style="98"/>
    <col min="9720" max="9720" width="5" style="98" customWidth="1"/>
    <col min="9721" max="9721" width="17.875" style="98" bestFit="1" customWidth="1"/>
    <col min="9722" max="9722" width="9.875" style="98" customWidth="1"/>
    <col min="9723" max="9723" width="8.875" style="98" customWidth="1"/>
    <col min="9724" max="9724" width="7.375" style="98" bestFit="1" customWidth="1"/>
    <col min="9725" max="9725" width="10.125" style="98" bestFit="1" customWidth="1"/>
    <col min="9726" max="9726" width="9.375" style="98"/>
    <col min="9727" max="9727" width="10.125" style="98" bestFit="1" customWidth="1"/>
    <col min="9728" max="9728" width="10.75" style="98" customWidth="1"/>
    <col min="9729" max="9731" width="9.375" style="98"/>
    <col min="9732" max="9733" width="10.75" style="98" customWidth="1"/>
    <col min="9734" max="9738" width="9.375" style="98"/>
    <col min="9739" max="9739" width="1.625" style="98" bestFit="1" customWidth="1"/>
    <col min="9740" max="9740" width="9.375" style="98"/>
    <col min="9741" max="9741" width="8.875" style="98" customWidth="1"/>
    <col min="9742" max="9742" width="13.125" style="98" customWidth="1"/>
    <col min="9743" max="9743" width="9.375" style="98"/>
    <col min="9744" max="9744" width="9.875" style="98" customWidth="1"/>
    <col min="9745" max="9745" width="11.75" style="98" bestFit="1" customWidth="1"/>
    <col min="9746" max="9975" width="9.375" style="98"/>
    <col min="9976" max="9976" width="5" style="98" customWidth="1"/>
    <col min="9977" max="9977" width="17.875" style="98" bestFit="1" customWidth="1"/>
    <col min="9978" max="9978" width="9.875" style="98" customWidth="1"/>
    <col min="9979" max="9979" width="8.875" style="98" customWidth="1"/>
    <col min="9980" max="9980" width="7.375" style="98" bestFit="1" customWidth="1"/>
    <col min="9981" max="9981" width="10.125" style="98" bestFit="1" customWidth="1"/>
    <col min="9982" max="9982" width="9.375" style="98"/>
    <col min="9983" max="9983" width="10.125" style="98" bestFit="1" customWidth="1"/>
    <col min="9984" max="9984" width="10.75" style="98" customWidth="1"/>
    <col min="9985" max="9987" width="9.375" style="98"/>
    <col min="9988" max="9989" width="10.75" style="98" customWidth="1"/>
    <col min="9990" max="9994" width="9.375" style="98"/>
    <col min="9995" max="9995" width="1.625" style="98" bestFit="1" customWidth="1"/>
    <col min="9996" max="9996" width="9.375" style="98"/>
    <col min="9997" max="9997" width="8.875" style="98" customWidth="1"/>
    <col min="9998" max="9998" width="13.125" style="98" customWidth="1"/>
    <col min="9999" max="9999" width="9.375" style="98"/>
    <col min="10000" max="10000" width="9.875" style="98" customWidth="1"/>
    <col min="10001" max="10001" width="11.75" style="98" bestFit="1" customWidth="1"/>
    <col min="10002" max="10231" width="9.375" style="98"/>
    <col min="10232" max="10232" width="5" style="98" customWidth="1"/>
    <col min="10233" max="10233" width="17.875" style="98" bestFit="1" customWidth="1"/>
    <col min="10234" max="10234" width="9.875" style="98" customWidth="1"/>
    <col min="10235" max="10235" width="8.875" style="98" customWidth="1"/>
    <col min="10236" max="10236" width="7.375" style="98" bestFit="1" customWidth="1"/>
    <col min="10237" max="10237" width="10.125" style="98" bestFit="1" customWidth="1"/>
    <col min="10238" max="10238" width="9.375" style="98"/>
    <col min="10239" max="10239" width="10.125" style="98" bestFit="1" customWidth="1"/>
    <col min="10240" max="10240" width="10.75" style="98" customWidth="1"/>
    <col min="10241" max="10243" width="9.375" style="98"/>
    <col min="10244" max="10245" width="10.75" style="98" customWidth="1"/>
    <col min="10246" max="10250" width="9.375" style="98"/>
    <col min="10251" max="10251" width="1.625" style="98" bestFit="1" customWidth="1"/>
    <col min="10252" max="10252" width="9.375" style="98"/>
    <col min="10253" max="10253" width="8.875" style="98" customWidth="1"/>
    <col min="10254" max="10254" width="13.125" style="98" customWidth="1"/>
    <col min="10255" max="10255" width="9.375" style="98"/>
    <col min="10256" max="10256" width="9.875" style="98" customWidth="1"/>
    <col min="10257" max="10257" width="11.75" style="98" bestFit="1" customWidth="1"/>
    <col min="10258" max="10487" width="9.375" style="98"/>
    <col min="10488" max="10488" width="5" style="98" customWidth="1"/>
    <col min="10489" max="10489" width="17.875" style="98" bestFit="1" customWidth="1"/>
    <col min="10490" max="10490" width="9.875" style="98" customWidth="1"/>
    <col min="10491" max="10491" width="8.875" style="98" customWidth="1"/>
    <col min="10492" max="10492" width="7.375" style="98" bestFit="1" customWidth="1"/>
    <col min="10493" max="10493" width="10.125" style="98" bestFit="1" customWidth="1"/>
    <col min="10494" max="10494" width="9.375" style="98"/>
    <col min="10495" max="10495" width="10.125" style="98" bestFit="1" customWidth="1"/>
    <col min="10496" max="10496" width="10.75" style="98" customWidth="1"/>
    <col min="10497" max="10499" width="9.375" style="98"/>
    <col min="10500" max="10501" width="10.75" style="98" customWidth="1"/>
    <col min="10502" max="10506" width="9.375" style="98"/>
    <col min="10507" max="10507" width="1.625" style="98" bestFit="1" customWidth="1"/>
    <col min="10508" max="10508" width="9.375" style="98"/>
    <col min="10509" max="10509" width="8.875" style="98" customWidth="1"/>
    <col min="10510" max="10510" width="13.125" style="98" customWidth="1"/>
    <col min="10511" max="10511" width="9.375" style="98"/>
    <col min="10512" max="10512" width="9.875" style="98" customWidth="1"/>
    <col min="10513" max="10513" width="11.75" style="98" bestFit="1" customWidth="1"/>
    <col min="10514" max="10743" width="9.375" style="98"/>
    <col min="10744" max="10744" width="5" style="98" customWidth="1"/>
    <col min="10745" max="10745" width="17.875" style="98" bestFit="1" customWidth="1"/>
    <col min="10746" max="10746" width="9.875" style="98" customWidth="1"/>
    <col min="10747" max="10747" width="8.875" style="98" customWidth="1"/>
    <col min="10748" max="10748" width="7.375" style="98" bestFit="1" customWidth="1"/>
    <col min="10749" max="10749" width="10.125" style="98" bestFit="1" customWidth="1"/>
    <col min="10750" max="10750" width="9.375" style="98"/>
    <col min="10751" max="10751" width="10.125" style="98" bestFit="1" customWidth="1"/>
    <col min="10752" max="10752" width="10.75" style="98" customWidth="1"/>
    <col min="10753" max="10755" width="9.375" style="98"/>
    <col min="10756" max="10757" width="10.75" style="98" customWidth="1"/>
    <col min="10758" max="10762" width="9.375" style="98"/>
    <col min="10763" max="10763" width="1.625" style="98" bestFit="1" customWidth="1"/>
    <col min="10764" max="10764" width="9.375" style="98"/>
    <col min="10765" max="10765" width="8.875" style="98" customWidth="1"/>
    <col min="10766" max="10766" width="13.125" style="98" customWidth="1"/>
    <col min="10767" max="10767" width="9.375" style="98"/>
    <col min="10768" max="10768" width="9.875" style="98" customWidth="1"/>
    <col min="10769" max="10769" width="11.75" style="98" bestFit="1" customWidth="1"/>
    <col min="10770" max="10999" width="9.375" style="98"/>
    <col min="11000" max="11000" width="5" style="98" customWidth="1"/>
    <col min="11001" max="11001" width="17.875" style="98" bestFit="1" customWidth="1"/>
    <col min="11002" max="11002" width="9.875" style="98" customWidth="1"/>
    <col min="11003" max="11003" width="8.875" style="98" customWidth="1"/>
    <col min="11004" max="11004" width="7.375" style="98" bestFit="1" customWidth="1"/>
    <col min="11005" max="11005" width="10.125" style="98" bestFit="1" customWidth="1"/>
    <col min="11006" max="11006" width="9.375" style="98"/>
    <col min="11007" max="11007" width="10.125" style="98" bestFit="1" customWidth="1"/>
    <col min="11008" max="11008" width="10.75" style="98" customWidth="1"/>
    <col min="11009" max="11011" width="9.375" style="98"/>
    <col min="11012" max="11013" width="10.75" style="98" customWidth="1"/>
    <col min="11014" max="11018" width="9.375" style="98"/>
    <col min="11019" max="11019" width="1.625" style="98" bestFit="1" customWidth="1"/>
    <col min="11020" max="11020" width="9.375" style="98"/>
    <col min="11021" max="11021" width="8.875" style="98" customWidth="1"/>
    <col min="11022" max="11022" width="13.125" style="98" customWidth="1"/>
    <col min="11023" max="11023" width="9.375" style="98"/>
    <col min="11024" max="11024" width="9.875" style="98" customWidth="1"/>
    <col min="11025" max="11025" width="11.75" style="98" bestFit="1" customWidth="1"/>
    <col min="11026" max="11255" width="9.375" style="98"/>
    <col min="11256" max="11256" width="5" style="98" customWidth="1"/>
    <col min="11257" max="11257" width="17.875" style="98" bestFit="1" customWidth="1"/>
    <col min="11258" max="11258" width="9.875" style="98" customWidth="1"/>
    <col min="11259" max="11259" width="8.875" style="98" customWidth="1"/>
    <col min="11260" max="11260" width="7.375" style="98" bestFit="1" customWidth="1"/>
    <col min="11261" max="11261" width="10.125" style="98" bestFit="1" customWidth="1"/>
    <col min="11262" max="11262" width="9.375" style="98"/>
    <col min="11263" max="11263" width="10.125" style="98" bestFit="1" customWidth="1"/>
    <col min="11264" max="11264" width="10.75" style="98" customWidth="1"/>
    <col min="11265" max="11267" width="9.375" style="98"/>
    <col min="11268" max="11269" width="10.75" style="98" customWidth="1"/>
    <col min="11270" max="11274" width="9.375" style="98"/>
    <col min="11275" max="11275" width="1.625" style="98" bestFit="1" customWidth="1"/>
    <col min="11276" max="11276" width="9.375" style="98"/>
    <col min="11277" max="11277" width="8.875" style="98" customWidth="1"/>
    <col min="11278" max="11278" width="13.125" style="98" customWidth="1"/>
    <col min="11279" max="11279" width="9.375" style="98"/>
    <col min="11280" max="11280" width="9.875" style="98" customWidth="1"/>
    <col min="11281" max="11281" width="11.75" style="98" bestFit="1" customWidth="1"/>
    <col min="11282" max="11511" width="9.375" style="98"/>
    <col min="11512" max="11512" width="5" style="98" customWidth="1"/>
    <col min="11513" max="11513" width="17.875" style="98" bestFit="1" customWidth="1"/>
    <col min="11514" max="11514" width="9.875" style="98" customWidth="1"/>
    <col min="11515" max="11515" width="8.875" style="98" customWidth="1"/>
    <col min="11516" max="11516" width="7.375" style="98" bestFit="1" customWidth="1"/>
    <col min="11517" max="11517" width="10.125" style="98" bestFit="1" customWidth="1"/>
    <col min="11518" max="11518" width="9.375" style="98"/>
    <col min="11519" max="11519" width="10.125" style="98" bestFit="1" customWidth="1"/>
    <col min="11520" max="11520" width="10.75" style="98" customWidth="1"/>
    <col min="11521" max="11523" width="9.375" style="98"/>
    <col min="11524" max="11525" width="10.75" style="98" customWidth="1"/>
    <col min="11526" max="11530" width="9.375" style="98"/>
    <col min="11531" max="11531" width="1.625" style="98" bestFit="1" customWidth="1"/>
    <col min="11532" max="11532" width="9.375" style="98"/>
    <col min="11533" max="11533" width="8.875" style="98" customWidth="1"/>
    <col min="11534" max="11534" width="13.125" style="98" customWidth="1"/>
    <col min="11535" max="11535" width="9.375" style="98"/>
    <col min="11536" max="11536" width="9.875" style="98" customWidth="1"/>
    <col min="11537" max="11537" width="11.75" style="98" bestFit="1" customWidth="1"/>
    <col min="11538" max="11767" width="9.375" style="98"/>
    <col min="11768" max="11768" width="5" style="98" customWidth="1"/>
    <col min="11769" max="11769" width="17.875" style="98" bestFit="1" customWidth="1"/>
    <col min="11770" max="11770" width="9.875" style="98" customWidth="1"/>
    <col min="11771" max="11771" width="8.875" style="98" customWidth="1"/>
    <col min="11772" max="11772" width="7.375" style="98" bestFit="1" customWidth="1"/>
    <col min="11773" max="11773" width="10.125" style="98" bestFit="1" customWidth="1"/>
    <col min="11774" max="11774" width="9.375" style="98"/>
    <col min="11775" max="11775" width="10.125" style="98" bestFit="1" customWidth="1"/>
    <col min="11776" max="11776" width="10.75" style="98" customWidth="1"/>
    <col min="11777" max="11779" width="9.375" style="98"/>
    <col min="11780" max="11781" width="10.75" style="98" customWidth="1"/>
    <col min="11782" max="11786" width="9.375" style="98"/>
    <col min="11787" max="11787" width="1.625" style="98" bestFit="1" customWidth="1"/>
    <col min="11788" max="11788" width="9.375" style="98"/>
    <col min="11789" max="11789" width="8.875" style="98" customWidth="1"/>
    <col min="11790" max="11790" width="13.125" style="98" customWidth="1"/>
    <col min="11791" max="11791" width="9.375" style="98"/>
    <col min="11792" max="11792" width="9.875" style="98" customWidth="1"/>
    <col min="11793" max="11793" width="11.75" style="98" bestFit="1" customWidth="1"/>
    <col min="11794" max="12023" width="9.375" style="98"/>
    <col min="12024" max="12024" width="5" style="98" customWidth="1"/>
    <col min="12025" max="12025" width="17.875" style="98" bestFit="1" customWidth="1"/>
    <col min="12026" max="12026" width="9.875" style="98" customWidth="1"/>
    <col min="12027" max="12027" width="8.875" style="98" customWidth="1"/>
    <col min="12028" max="12028" width="7.375" style="98" bestFit="1" customWidth="1"/>
    <col min="12029" max="12029" width="10.125" style="98" bestFit="1" customWidth="1"/>
    <col min="12030" max="12030" width="9.375" style="98"/>
    <col min="12031" max="12031" width="10.125" style="98" bestFit="1" customWidth="1"/>
    <col min="12032" max="12032" width="10.75" style="98" customWidth="1"/>
    <col min="12033" max="12035" width="9.375" style="98"/>
    <col min="12036" max="12037" width="10.75" style="98" customWidth="1"/>
    <col min="12038" max="12042" width="9.375" style="98"/>
    <col min="12043" max="12043" width="1.625" style="98" bestFit="1" customWidth="1"/>
    <col min="12044" max="12044" width="9.375" style="98"/>
    <col min="12045" max="12045" width="8.875" style="98" customWidth="1"/>
    <col min="12046" max="12046" width="13.125" style="98" customWidth="1"/>
    <col min="12047" max="12047" width="9.375" style="98"/>
    <col min="12048" max="12048" width="9.875" style="98" customWidth="1"/>
    <col min="12049" max="12049" width="11.75" style="98" bestFit="1" customWidth="1"/>
    <col min="12050" max="12279" width="9.375" style="98"/>
    <col min="12280" max="12280" width="5" style="98" customWidth="1"/>
    <col min="12281" max="12281" width="17.875" style="98" bestFit="1" customWidth="1"/>
    <col min="12282" max="12282" width="9.875" style="98" customWidth="1"/>
    <col min="12283" max="12283" width="8.875" style="98" customWidth="1"/>
    <col min="12284" max="12284" width="7.375" style="98" bestFit="1" customWidth="1"/>
    <col min="12285" max="12285" width="10.125" style="98" bestFit="1" customWidth="1"/>
    <col min="12286" max="12286" width="9.375" style="98"/>
    <col min="12287" max="12287" width="10.125" style="98" bestFit="1" customWidth="1"/>
    <col min="12288" max="12288" width="10.75" style="98" customWidth="1"/>
    <col min="12289" max="12291" width="9.375" style="98"/>
    <col min="12292" max="12293" width="10.75" style="98" customWidth="1"/>
    <col min="12294" max="12298" width="9.375" style="98"/>
    <col min="12299" max="12299" width="1.625" style="98" bestFit="1" customWidth="1"/>
    <col min="12300" max="12300" width="9.375" style="98"/>
    <col min="12301" max="12301" width="8.875" style="98" customWidth="1"/>
    <col min="12302" max="12302" width="13.125" style="98" customWidth="1"/>
    <col min="12303" max="12303" width="9.375" style="98"/>
    <col min="12304" max="12304" width="9.875" style="98" customWidth="1"/>
    <col min="12305" max="12305" width="11.75" style="98" bestFit="1" customWidth="1"/>
    <col min="12306" max="12535" width="9.375" style="98"/>
    <col min="12536" max="12536" width="5" style="98" customWidth="1"/>
    <col min="12537" max="12537" width="17.875" style="98" bestFit="1" customWidth="1"/>
    <col min="12538" max="12538" width="9.875" style="98" customWidth="1"/>
    <col min="12539" max="12539" width="8.875" style="98" customWidth="1"/>
    <col min="12540" max="12540" width="7.375" style="98" bestFit="1" customWidth="1"/>
    <col min="12541" max="12541" width="10.125" style="98" bestFit="1" customWidth="1"/>
    <col min="12542" max="12542" width="9.375" style="98"/>
    <col min="12543" max="12543" width="10.125" style="98" bestFit="1" customWidth="1"/>
    <col min="12544" max="12544" width="10.75" style="98" customWidth="1"/>
    <col min="12545" max="12547" width="9.375" style="98"/>
    <col min="12548" max="12549" width="10.75" style="98" customWidth="1"/>
    <col min="12550" max="12554" width="9.375" style="98"/>
    <col min="12555" max="12555" width="1.625" style="98" bestFit="1" customWidth="1"/>
    <col min="12556" max="12556" width="9.375" style="98"/>
    <col min="12557" max="12557" width="8.875" style="98" customWidth="1"/>
    <col min="12558" max="12558" width="13.125" style="98" customWidth="1"/>
    <col min="12559" max="12559" width="9.375" style="98"/>
    <col min="12560" max="12560" width="9.875" style="98" customWidth="1"/>
    <col min="12561" max="12561" width="11.75" style="98" bestFit="1" customWidth="1"/>
    <col min="12562" max="12791" width="9.375" style="98"/>
    <col min="12792" max="12792" width="5" style="98" customWidth="1"/>
    <col min="12793" max="12793" width="17.875" style="98" bestFit="1" customWidth="1"/>
    <col min="12794" max="12794" width="9.875" style="98" customWidth="1"/>
    <col min="12795" max="12795" width="8.875" style="98" customWidth="1"/>
    <col min="12796" max="12796" width="7.375" style="98" bestFit="1" customWidth="1"/>
    <col min="12797" max="12797" width="10.125" style="98" bestFit="1" customWidth="1"/>
    <col min="12798" max="12798" width="9.375" style="98"/>
    <col min="12799" max="12799" width="10.125" style="98" bestFit="1" customWidth="1"/>
    <col min="12800" max="12800" width="10.75" style="98" customWidth="1"/>
    <col min="12801" max="12803" width="9.375" style="98"/>
    <col min="12804" max="12805" width="10.75" style="98" customWidth="1"/>
    <col min="12806" max="12810" width="9.375" style="98"/>
    <col min="12811" max="12811" width="1.625" style="98" bestFit="1" customWidth="1"/>
    <col min="12812" max="12812" width="9.375" style="98"/>
    <col min="12813" max="12813" width="8.875" style="98" customWidth="1"/>
    <col min="12814" max="12814" width="13.125" style="98" customWidth="1"/>
    <col min="12815" max="12815" width="9.375" style="98"/>
    <col min="12816" max="12816" width="9.875" style="98" customWidth="1"/>
    <col min="12817" max="12817" width="11.75" style="98" bestFit="1" customWidth="1"/>
    <col min="12818" max="13047" width="9.375" style="98"/>
    <col min="13048" max="13048" width="5" style="98" customWidth="1"/>
    <col min="13049" max="13049" width="17.875" style="98" bestFit="1" customWidth="1"/>
    <col min="13050" max="13050" width="9.875" style="98" customWidth="1"/>
    <col min="13051" max="13051" width="8.875" style="98" customWidth="1"/>
    <col min="13052" max="13052" width="7.375" style="98" bestFit="1" customWidth="1"/>
    <col min="13053" max="13053" width="10.125" style="98" bestFit="1" customWidth="1"/>
    <col min="13054" max="13054" width="9.375" style="98"/>
    <col min="13055" max="13055" width="10.125" style="98" bestFit="1" customWidth="1"/>
    <col min="13056" max="13056" width="10.75" style="98" customWidth="1"/>
    <col min="13057" max="13059" width="9.375" style="98"/>
    <col min="13060" max="13061" width="10.75" style="98" customWidth="1"/>
    <col min="13062" max="13066" width="9.375" style="98"/>
    <col min="13067" max="13067" width="1.625" style="98" bestFit="1" customWidth="1"/>
    <col min="13068" max="13068" width="9.375" style="98"/>
    <col min="13069" max="13069" width="8.875" style="98" customWidth="1"/>
    <col min="13070" max="13070" width="13.125" style="98" customWidth="1"/>
    <col min="13071" max="13071" width="9.375" style="98"/>
    <col min="13072" max="13072" width="9.875" style="98" customWidth="1"/>
    <col min="13073" max="13073" width="11.75" style="98" bestFit="1" customWidth="1"/>
    <col min="13074" max="13303" width="9.375" style="98"/>
    <col min="13304" max="13304" width="5" style="98" customWidth="1"/>
    <col min="13305" max="13305" width="17.875" style="98" bestFit="1" customWidth="1"/>
    <col min="13306" max="13306" width="9.875" style="98" customWidth="1"/>
    <col min="13307" max="13307" width="8.875" style="98" customWidth="1"/>
    <col min="13308" max="13308" width="7.375" style="98" bestFit="1" customWidth="1"/>
    <col min="13309" max="13309" width="10.125" style="98" bestFit="1" customWidth="1"/>
    <col min="13310" max="13310" width="9.375" style="98"/>
    <col min="13311" max="13311" width="10.125" style="98" bestFit="1" customWidth="1"/>
    <col min="13312" max="13312" width="10.75" style="98" customWidth="1"/>
    <col min="13313" max="13315" width="9.375" style="98"/>
    <col min="13316" max="13317" width="10.75" style="98" customWidth="1"/>
    <col min="13318" max="13322" width="9.375" style="98"/>
    <col min="13323" max="13323" width="1.625" style="98" bestFit="1" customWidth="1"/>
    <col min="13324" max="13324" width="9.375" style="98"/>
    <col min="13325" max="13325" width="8.875" style="98" customWidth="1"/>
    <col min="13326" max="13326" width="13.125" style="98" customWidth="1"/>
    <col min="13327" max="13327" width="9.375" style="98"/>
    <col min="13328" max="13328" width="9.875" style="98" customWidth="1"/>
    <col min="13329" max="13329" width="11.75" style="98" bestFit="1" customWidth="1"/>
    <col min="13330" max="13559" width="9.375" style="98"/>
    <col min="13560" max="13560" width="5" style="98" customWidth="1"/>
    <col min="13561" max="13561" width="17.875" style="98" bestFit="1" customWidth="1"/>
    <col min="13562" max="13562" width="9.875" style="98" customWidth="1"/>
    <col min="13563" max="13563" width="8.875" style="98" customWidth="1"/>
    <col min="13564" max="13564" width="7.375" style="98" bestFit="1" customWidth="1"/>
    <col min="13565" max="13565" width="10.125" style="98" bestFit="1" customWidth="1"/>
    <col min="13566" max="13566" width="9.375" style="98"/>
    <col min="13567" max="13567" width="10.125" style="98" bestFit="1" customWidth="1"/>
    <col min="13568" max="13568" width="10.75" style="98" customWidth="1"/>
    <col min="13569" max="13571" width="9.375" style="98"/>
    <col min="13572" max="13573" width="10.75" style="98" customWidth="1"/>
    <col min="13574" max="13578" width="9.375" style="98"/>
    <col min="13579" max="13579" width="1.625" style="98" bestFit="1" customWidth="1"/>
    <col min="13580" max="13580" width="9.375" style="98"/>
    <col min="13581" max="13581" width="8.875" style="98" customWidth="1"/>
    <col min="13582" max="13582" width="13.125" style="98" customWidth="1"/>
    <col min="13583" max="13583" width="9.375" style="98"/>
    <col min="13584" max="13584" width="9.875" style="98" customWidth="1"/>
    <col min="13585" max="13585" width="11.75" style="98" bestFit="1" customWidth="1"/>
    <col min="13586" max="13815" width="9.375" style="98"/>
    <col min="13816" max="13816" width="5" style="98" customWidth="1"/>
    <col min="13817" max="13817" width="17.875" style="98" bestFit="1" customWidth="1"/>
    <col min="13818" max="13818" width="9.875" style="98" customWidth="1"/>
    <col min="13819" max="13819" width="8.875" style="98" customWidth="1"/>
    <col min="13820" max="13820" width="7.375" style="98" bestFit="1" customWidth="1"/>
    <col min="13821" max="13821" width="10.125" style="98" bestFit="1" customWidth="1"/>
    <col min="13822" max="13822" width="9.375" style="98"/>
    <col min="13823" max="13823" width="10.125" style="98" bestFit="1" customWidth="1"/>
    <col min="13824" max="13824" width="10.75" style="98" customWidth="1"/>
    <col min="13825" max="13827" width="9.375" style="98"/>
    <col min="13828" max="13829" width="10.75" style="98" customWidth="1"/>
    <col min="13830" max="13834" width="9.375" style="98"/>
    <col min="13835" max="13835" width="1.625" style="98" bestFit="1" customWidth="1"/>
    <col min="13836" max="13836" width="9.375" style="98"/>
    <col min="13837" max="13837" width="8.875" style="98" customWidth="1"/>
    <col min="13838" max="13838" width="13.125" style="98" customWidth="1"/>
    <col min="13839" max="13839" width="9.375" style="98"/>
    <col min="13840" max="13840" width="9.875" style="98" customWidth="1"/>
    <col min="13841" max="13841" width="11.75" style="98" bestFit="1" customWidth="1"/>
    <col min="13842" max="14071" width="9.375" style="98"/>
    <col min="14072" max="14072" width="5" style="98" customWidth="1"/>
    <col min="14073" max="14073" width="17.875" style="98" bestFit="1" customWidth="1"/>
    <col min="14074" max="14074" width="9.875" style="98" customWidth="1"/>
    <col min="14075" max="14075" width="8.875" style="98" customWidth="1"/>
    <col min="14076" max="14076" width="7.375" style="98" bestFit="1" customWidth="1"/>
    <col min="14077" max="14077" width="10.125" style="98" bestFit="1" customWidth="1"/>
    <col min="14078" max="14078" width="9.375" style="98"/>
    <col min="14079" max="14079" width="10.125" style="98" bestFit="1" customWidth="1"/>
    <col min="14080" max="14080" width="10.75" style="98" customWidth="1"/>
    <col min="14081" max="14083" width="9.375" style="98"/>
    <col min="14084" max="14085" width="10.75" style="98" customWidth="1"/>
    <col min="14086" max="14090" width="9.375" style="98"/>
    <col min="14091" max="14091" width="1.625" style="98" bestFit="1" customWidth="1"/>
    <col min="14092" max="14092" width="9.375" style="98"/>
    <col min="14093" max="14093" width="8.875" style="98" customWidth="1"/>
    <col min="14094" max="14094" width="13.125" style="98" customWidth="1"/>
    <col min="14095" max="14095" width="9.375" style="98"/>
    <col min="14096" max="14096" width="9.875" style="98" customWidth="1"/>
    <col min="14097" max="14097" width="11.75" style="98" bestFit="1" customWidth="1"/>
    <col min="14098" max="14327" width="9.375" style="98"/>
    <col min="14328" max="14328" width="5" style="98" customWidth="1"/>
    <col min="14329" max="14329" width="17.875" style="98" bestFit="1" customWidth="1"/>
    <col min="14330" max="14330" width="9.875" style="98" customWidth="1"/>
    <col min="14331" max="14331" width="8.875" style="98" customWidth="1"/>
    <col min="14332" max="14332" width="7.375" style="98" bestFit="1" customWidth="1"/>
    <col min="14333" max="14333" width="10.125" style="98" bestFit="1" customWidth="1"/>
    <col min="14334" max="14334" width="9.375" style="98"/>
    <col min="14335" max="14335" width="10.125" style="98" bestFit="1" customWidth="1"/>
    <col min="14336" max="14336" width="10.75" style="98" customWidth="1"/>
    <col min="14337" max="14339" width="9.375" style="98"/>
    <col min="14340" max="14341" width="10.75" style="98" customWidth="1"/>
    <col min="14342" max="14346" width="9.375" style="98"/>
    <col min="14347" max="14347" width="1.625" style="98" bestFit="1" customWidth="1"/>
    <col min="14348" max="14348" width="9.375" style="98"/>
    <col min="14349" max="14349" width="8.875" style="98" customWidth="1"/>
    <col min="14350" max="14350" width="13.125" style="98" customWidth="1"/>
    <col min="14351" max="14351" width="9.375" style="98"/>
    <col min="14352" max="14352" width="9.875" style="98" customWidth="1"/>
    <col min="14353" max="14353" width="11.75" style="98" bestFit="1" customWidth="1"/>
    <col min="14354" max="14583" width="9.375" style="98"/>
    <col min="14584" max="14584" width="5" style="98" customWidth="1"/>
    <col min="14585" max="14585" width="17.875" style="98" bestFit="1" customWidth="1"/>
    <col min="14586" max="14586" width="9.875" style="98" customWidth="1"/>
    <col min="14587" max="14587" width="8.875" style="98" customWidth="1"/>
    <col min="14588" max="14588" width="7.375" style="98" bestFit="1" customWidth="1"/>
    <col min="14589" max="14589" width="10.125" style="98" bestFit="1" customWidth="1"/>
    <col min="14590" max="14590" width="9.375" style="98"/>
    <col min="14591" max="14591" width="10.125" style="98" bestFit="1" customWidth="1"/>
    <col min="14592" max="14592" width="10.75" style="98" customWidth="1"/>
    <col min="14593" max="14595" width="9.375" style="98"/>
    <col min="14596" max="14597" width="10.75" style="98" customWidth="1"/>
    <col min="14598" max="14602" width="9.375" style="98"/>
    <col min="14603" max="14603" width="1.625" style="98" bestFit="1" customWidth="1"/>
    <col min="14604" max="14604" width="9.375" style="98"/>
    <col min="14605" max="14605" width="8.875" style="98" customWidth="1"/>
    <col min="14606" max="14606" width="13.125" style="98" customWidth="1"/>
    <col min="14607" max="14607" width="9.375" style="98"/>
    <col min="14608" max="14608" width="9.875" style="98" customWidth="1"/>
    <col min="14609" max="14609" width="11.75" style="98" bestFit="1" customWidth="1"/>
    <col min="14610" max="14839" width="9.375" style="98"/>
    <col min="14840" max="14840" width="5" style="98" customWidth="1"/>
    <col min="14841" max="14841" width="17.875" style="98" bestFit="1" customWidth="1"/>
    <col min="14842" max="14842" width="9.875" style="98" customWidth="1"/>
    <col min="14843" max="14843" width="8.875" style="98" customWidth="1"/>
    <col min="14844" max="14844" width="7.375" style="98" bestFit="1" customWidth="1"/>
    <col min="14845" max="14845" width="10.125" style="98" bestFit="1" customWidth="1"/>
    <col min="14846" max="14846" width="9.375" style="98"/>
    <col min="14847" max="14847" width="10.125" style="98" bestFit="1" customWidth="1"/>
    <col min="14848" max="14848" width="10.75" style="98" customWidth="1"/>
    <col min="14849" max="14851" width="9.375" style="98"/>
    <col min="14852" max="14853" width="10.75" style="98" customWidth="1"/>
    <col min="14854" max="14858" width="9.375" style="98"/>
    <col min="14859" max="14859" width="1.625" style="98" bestFit="1" customWidth="1"/>
    <col min="14860" max="14860" width="9.375" style="98"/>
    <col min="14861" max="14861" width="8.875" style="98" customWidth="1"/>
    <col min="14862" max="14862" width="13.125" style="98" customWidth="1"/>
    <col min="14863" max="14863" width="9.375" style="98"/>
    <col min="14864" max="14864" width="9.875" style="98" customWidth="1"/>
    <col min="14865" max="14865" width="11.75" style="98" bestFit="1" customWidth="1"/>
    <col min="14866" max="15095" width="9.375" style="98"/>
    <col min="15096" max="15096" width="5" style="98" customWidth="1"/>
    <col min="15097" max="15097" width="17.875" style="98" bestFit="1" customWidth="1"/>
    <col min="15098" max="15098" width="9.875" style="98" customWidth="1"/>
    <col min="15099" max="15099" width="8.875" style="98" customWidth="1"/>
    <col min="15100" max="15100" width="7.375" style="98" bestFit="1" customWidth="1"/>
    <col min="15101" max="15101" width="10.125" style="98" bestFit="1" customWidth="1"/>
    <col min="15102" max="15102" width="9.375" style="98"/>
    <col min="15103" max="15103" width="10.125" style="98" bestFit="1" customWidth="1"/>
    <col min="15104" max="15104" width="10.75" style="98" customWidth="1"/>
    <col min="15105" max="15107" width="9.375" style="98"/>
    <col min="15108" max="15109" width="10.75" style="98" customWidth="1"/>
    <col min="15110" max="15114" width="9.375" style="98"/>
    <col min="15115" max="15115" width="1.625" style="98" bestFit="1" customWidth="1"/>
    <col min="15116" max="15116" width="9.375" style="98"/>
    <col min="15117" max="15117" width="8.875" style="98" customWidth="1"/>
    <col min="15118" max="15118" width="13.125" style="98" customWidth="1"/>
    <col min="15119" max="15119" width="9.375" style="98"/>
    <col min="15120" max="15120" width="9.875" style="98" customWidth="1"/>
    <col min="15121" max="15121" width="11.75" style="98" bestFit="1" customWidth="1"/>
    <col min="15122" max="15351" width="9.375" style="98"/>
    <col min="15352" max="15352" width="5" style="98" customWidth="1"/>
    <col min="15353" max="15353" width="17.875" style="98" bestFit="1" customWidth="1"/>
    <col min="15354" max="15354" width="9.875" style="98" customWidth="1"/>
    <col min="15355" max="15355" width="8.875" style="98" customWidth="1"/>
    <col min="15356" max="15356" width="7.375" style="98" bestFit="1" customWidth="1"/>
    <col min="15357" max="15357" width="10.125" style="98" bestFit="1" customWidth="1"/>
    <col min="15358" max="15358" width="9.375" style="98"/>
    <col min="15359" max="15359" width="10.125" style="98" bestFit="1" customWidth="1"/>
    <col min="15360" max="15360" width="10.75" style="98" customWidth="1"/>
    <col min="15361" max="15363" width="9.375" style="98"/>
    <col min="15364" max="15365" width="10.75" style="98" customWidth="1"/>
    <col min="15366" max="15370" width="9.375" style="98"/>
    <col min="15371" max="15371" width="1.625" style="98" bestFit="1" customWidth="1"/>
    <col min="15372" max="15372" width="9.375" style="98"/>
    <col min="15373" max="15373" width="8.875" style="98" customWidth="1"/>
    <col min="15374" max="15374" width="13.125" style="98" customWidth="1"/>
    <col min="15375" max="15375" width="9.375" style="98"/>
    <col min="15376" max="15376" width="9.875" style="98" customWidth="1"/>
    <col min="15377" max="15377" width="11.75" style="98" bestFit="1" customWidth="1"/>
    <col min="15378" max="15607" width="9.375" style="98"/>
    <col min="15608" max="15608" width="5" style="98" customWidth="1"/>
    <col min="15609" max="15609" width="17.875" style="98" bestFit="1" customWidth="1"/>
    <col min="15610" max="15610" width="9.875" style="98" customWidth="1"/>
    <col min="15611" max="15611" width="8.875" style="98" customWidth="1"/>
    <col min="15612" max="15612" width="7.375" style="98" bestFit="1" customWidth="1"/>
    <col min="15613" max="15613" width="10.125" style="98" bestFit="1" customWidth="1"/>
    <col min="15614" max="15614" width="9.375" style="98"/>
    <col min="15615" max="15615" width="10.125" style="98" bestFit="1" customWidth="1"/>
    <col min="15616" max="15616" width="10.75" style="98" customWidth="1"/>
    <col min="15617" max="15619" width="9.375" style="98"/>
    <col min="15620" max="15621" width="10.75" style="98" customWidth="1"/>
    <col min="15622" max="15626" width="9.375" style="98"/>
    <col min="15627" max="15627" width="1.625" style="98" bestFit="1" customWidth="1"/>
    <col min="15628" max="15628" width="9.375" style="98"/>
    <col min="15629" max="15629" width="8.875" style="98" customWidth="1"/>
    <col min="15630" max="15630" width="13.125" style="98" customWidth="1"/>
    <col min="15631" max="15631" width="9.375" style="98"/>
    <col min="15632" max="15632" width="9.875" style="98" customWidth="1"/>
    <col min="15633" max="15633" width="11.75" style="98" bestFit="1" customWidth="1"/>
    <col min="15634" max="15863" width="9.375" style="98"/>
    <col min="15864" max="15864" width="5" style="98" customWidth="1"/>
    <col min="15865" max="15865" width="17.875" style="98" bestFit="1" customWidth="1"/>
    <col min="15866" max="15866" width="9.875" style="98" customWidth="1"/>
    <col min="15867" max="15867" width="8.875" style="98" customWidth="1"/>
    <col min="15868" max="15868" width="7.375" style="98" bestFit="1" customWidth="1"/>
    <col min="15869" max="15869" width="10.125" style="98" bestFit="1" customWidth="1"/>
    <col min="15870" max="15870" width="9.375" style="98"/>
    <col min="15871" max="15871" width="10.125" style="98" bestFit="1" customWidth="1"/>
    <col min="15872" max="15872" width="10.75" style="98" customWidth="1"/>
    <col min="15873" max="15875" width="9.375" style="98"/>
    <col min="15876" max="15877" width="10.75" style="98" customWidth="1"/>
    <col min="15878" max="15882" width="9.375" style="98"/>
    <col min="15883" max="15883" width="1.625" style="98" bestFit="1" customWidth="1"/>
    <col min="15884" max="15884" width="9.375" style="98"/>
    <col min="15885" max="15885" width="8.875" style="98" customWidth="1"/>
    <col min="15886" max="15886" width="13.125" style="98" customWidth="1"/>
    <col min="15887" max="15887" width="9.375" style="98"/>
    <col min="15888" max="15888" width="9.875" style="98" customWidth="1"/>
    <col min="15889" max="15889" width="11.75" style="98" bestFit="1" customWidth="1"/>
    <col min="15890" max="16119" width="9.375" style="98"/>
    <col min="16120" max="16120" width="5" style="98" customWidth="1"/>
    <col min="16121" max="16121" width="17.875" style="98" bestFit="1" customWidth="1"/>
    <col min="16122" max="16122" width="9.875" style="98" customWidth="1"/>
    <col min="16123" max="16123" width="8.875" style="98" customWidth="1"/>
    <col min="16124" max="16124" width="7.375" style="98" bestFit="1" customWidth="1"/>
    <col min="16125" max="16125" width="10.125" style="98" bestFit="1" customWidth="1"/>
    <col min="16126" max="16126" width="9.375" style="98"/>
    <col min="16127" max="16127" width="10.125" style="98" bestFit="1" customWidth="1"/>
    <col min="16128" max="16128" width="10.75" style="98" customWidth="1"/>
    <col min="16129" max="16131" width="9.375" style="98"/>
    <col min="16132" max="16133" width="10.75" style="98" customWidth="1"/>
    <col min="16134" max="16138" width="9.375" style="98"/>
    <col min="16139" max="16139" width="1.625" style="98" bestFit="1" customWidth="1"/>
    <col min="16140" max="16140" width="9.375" style="98"/>
    <col min="16141" max="16141" width="8.875" style="98" customWidth="1"/>
    <col min="16142" max="16142" width="13.125" style="98" customWidth="1"/>
    <col min="16143" max="16143" width="9.375" style="98"/>
    <col min="16144" max="16144" width="9.875" style="98" customWidth="1"/>
    <col min="16145" max="16145" width="11.75" style="98" bestFit="1" customWidth="1"/>
    <col min="16146" max="16384" width="9.375" style="98"/>
  </cols>
  <sheetData>
    <row r="1" spans="1:20" s="33" customFormat="1" ht="26.25" x14ac:dyDescent="0.2">
      <c r="A1" s="203" t="s">
        <v>406</v>
      </c>
      <c r="B1" s="32"/>
      <c r="C1" s="308" t="s">
        <v>402</v>
      </c>
      <c r="D1" s="224" t="s">
        <v>394</v>
      </c>
      <c r="E1" s="771" t="s">
        <v>403</v>
      </c>
      <c r="F1" s="771"/>
      <c r="G1" s="94"/>
      <c r="H1" s="94"/>
      <c r="I1" s="94"/>
      <c r="J1" s="94"/>
      <c r="K1" s="94"/>
      <c r="M1" s="94"/>
      <c r="N1" s="95"/>
      <c r="O1" s="43"/>
      <c r="P1" s="95"/>
      <c r="Q1" s="95"/>
      <c r="R1" s="43"/>
      <c r="S1" s="43"/>
      <c r="T1" s="43"/>
    </row>
    <row r="2" spans="1:20" s="40" customFormat="1" ht="15.75" x14ac:dyDescent="0.25">
      <c r="A2" s="274" t="str">
        <f>Paramètres!B4</f>
        <v>Décompte 2023</v>
      </c>
      <c r="N2" s="97"/>
      <c r="O2" s="96"/>
      <c r="P2" s="97"/>
      <c r="Q2" s="97"/>
      <c r="R2" s="96"/>
      <c r="S2" s="96"/>
      <c r="T2" s="96"/>
    </row>
    <row r="4" spans="1:20" s="109" customFormat="1" ht="39" customHeight="1" x14ac:dyDescent="0.2">
      <c r="A4" s="780" t="s">
        <v>44</v>
      </c>
      <c r="B4" s="780" t="s">
        <v>84</v>
      </c>
      <c r="C4" s="780" t="s">
        <v>436</v>
      </c>
      <c r="D4" s="257" t="s">
        <v>257</v>
      </c>
      <c r="E4" s="780" t="s">
        <v>365</v>
      </c>
      <c r="F4" s="783" t="s">
        <v>288</v>
      </c>
      <c r="G4" s="780" t="s">
        <v>530</v>
      </c>
      <c r="H4" s="780" t="s">
        <v>490</v>
      </c>
      <c r="I4" s="780" t="s">
        <v>531</v>
      </c>
      <c r="J4" s="780" t="s">
        <v>409</v>
      </c>
      <c r="K4" s="257" t="s">
        <v>493</v>
      </c>
      <c r="L4" s="780" t="s">
        <v>367</v>
      </c>
      <c r="M4" s="107"/>
      <c r="N4" s="106"/>
      <c r="O4" s="107"/>
      <c r="P4" s="108"/>
      <c r="Q4" s="106"/>
      <c r="R4" s="106"/>
      <c r="S4" s="106"/>
    </row>
    <row r="5" spans="1:20" s="109" customFormat="1" x14ac:dyDescent="0.2">
      <c r="A5" s="782"/>
      <c r="B5" s="782"/>
      <c r="C5" s="781"/>
      <c r="D5" s="277">
        <f>Paramètres!B6</f>
        <v>43829</v>
      </c>
      <c r="E5" s="782"/>
      <c r="F5" s="784"/>
      <c r="G5" s="782"/>
      <c r="H5" s="782"/>
      <c r="I5" s="782"/>
      <c r="J5" s="781"/>
      <c r="K5" s="258">
        <f>(Paramètres!B56-Police!$I$306)/Police!J306</f>
        <v>1.1265050077701606</v>
      </c>
      <c r="L5" s="781"/>
      <c r="M5" s="108"/>
      <c r="N5" s="106"/>
      <c r="O5" s="108"/>
      <c r="P5" s="108"/>
      <c r="Q5" s="106"/>
      <c r="R5" s="106"/>
      <c r="S5" s="106"/>
    </row>
    <row r="6" spans="1:20" x14ac:dyDescent="0.25">
      <c r="A6" s="134">
        <f>Données!A6</f>
        <v>5401</v>
      </c>
      <c r="B6" s="269" t="str">
        <f>Données!B6</f>
        <v>Aigle</v>
      </c>
      <c r="C6" s="644">
        <f>Données!AR6</f>
        <v>1</v>
      </c>
      <c r="D6" s="271">
        <f>Données!Z6</f>
        <v>11437</v>
      </c>
      <c r="E6" s="101">
        <f>Données!X6</f>
        <v>66</v>
      </c>
      <c r="F6" s="31">
        <f>VPI!L6</f>
        <v>17079336.860000003</v>
      </c>
      <c r="G6" s="41">
        <f>F6/E6*2</f>
        <v>517555.66242424253</v>
      </c>
      <c r="H6" s="58">
        <f>+$G$306/$D$306*D6</f>
        <v>1043413.1440023152</v>
      </c>
      <c r="I6" s="41">
        <f t="shared" ref="I6" si="0">IF(C6=1,0,IF(H6&gt;G6,G6,H6))</f>
        <v>0</v>
      </c>
      <c r="J6" s="41">
        <f>VPI!R6</f>
        <v>293879.84888888896</v>
      </c>
      <c r="K6" s="50">
        <f t="shared" ref="K6" si="1">+$K$5*J6</f>
        <v>331057.1214560715</v>
      </c>
      <c r="L6" s="259">
        <f t="shared" ref="L6" si="2">+K6+I6</f>
        <v>331057.1214560715</v>
      </c>
      <c r="M6" s="166"/>
      <c r="N6" s="103"/>
      <c r="O6" s="100"/>
      <c r="Q6" s="104"/>
      <c r="T6" s="98"/>
    </row>
    <row r="7" spans="1:20" x14ac:dyDescent="0.25">
      <c r="A7" s="135">
        <f>Données!A7</f>
        <v>5402</v>
      </c>
      <c r="B7" s="270" t="str">
        <f>Données!B7</f>
        <v>Bex</v>
      </c>
      <c r="C7" s="645">
        <f>Données!AR7</f>
        <v>1</v>
      </c>
      <c r="D7" s="271">
        <f>Données!Z7</f>
        <v>8508</v>
      </c>
      <c r="E7" s="101">
        <f>Données!X7</f>
        <v>71</v>
      </c>
      <c r="F7" s="31">
        <f>VPI!L7</f>
        <v>12785738.73</v>
      </c>
      <c r="G7" s="8">
        <f t="shared" ref="G7:G70" si="3">F7/E7*2</f>
        <v>360161.65436619718</v>
      </c>
      <c r="H7" s="152">
        <f t="shared" ref="H7:H70" si="4">+$G$306/$D$306*D7</f>
        <v>776196.4701557837</v>
      </c>
      <c r="I7" s="8">
        <f t="shared" ref="I7:I70" si="5">IF(C7=1,0,IF(H7&gt;G7,G7,H7))</f>
        <v>0</v>
      </c>
      <c r="J7" s="8">
        <f>VPI!R7</f>
        <v>202698.13549295775</v>
      </c>
      <c r="K7" s="171">
        <f t="shared" ref="K7:K70" si="6">+$K$5*J7</f>
        <v>228340.46469849144</v>
      </c>
      <c r="L7" s="260">
        <f t="shared" ref="L7:L70" si="7">+K7+I7</f>
        <v>228340.46469849144</v>
      </c>
      <c r="M7" s="166"/>
      <c r="N7" s="103"/>
      <c r="O7" s="100"/>
      <c r="Q7" s="104"/>
      <c r="T7" s="98"/>
    </row>
    <row r="8" spans="1:20" x14ac:dyDescent="0.25">
      <c r="A8" s="135">
        <f>Données!A8</f>
        <v>5403</v>
      </c>
      <c r="B8" s="270" t="str">
        <f>Données!B8</f>
        <v>Chessel</v>
      </c>
      <c r="C8" s="645">
        <f>Données!AR8</f>
        <v>0</v>
      </c>
      <c r="D8" s="271">
        <f>Données!Z8</f>
        <v>519</v>
      </c>
      <c r="E8" s="101">
        <f>Données!X8</f>
        <v>65</v>
      </c>
      <c r="F8" s="31">
        <f>VPI!L8</f>
        <v>757339.42999999993</v>
      </c>
      <c r="G8" s="8">
        <f t="shared" si="3"/>
        <v>23302.751692307691</v>
      </c>
      <c r="H8" s="152">
        <f t="shared" si="4"/>
        <v>47349.079455906409</v>
      </c>
      <c r="I8" s="8">
        <f t="shared" si="5"/>
        <v>23302.751692307691</v>
      </c>
      <c r="J8" s="8">
        <f>VPI!R8</f>
        <v>13180.672769230767</v>
      </c>
      <c r="K8" s="171">
        <f t="shared" si="6"/>
        <v>14848.093880318249</v>
      </c>
      <c r="L8" s="260">
        <f t="shared" si="7"/>
        <v>38150.845572625942</v>
      </c>
      <c r="M8" s="166"/>
      <c r="N8" s="103"/>
      <c r="O8" s="100"/>
      <c r="Q8" s="104"/>
      <c r="T8" s="98"/>
    </row>
    <row r="9" spans="1:20" x14ac:dyDescent="0.25">
      <c r="A9" s="135">
        <f>Données!A9</f>
        <v>5404</v>
      </c>
      <c r="B9" s="270" t="str">
        <f>Données!B9</f>
        <v>Corbeyrier</v>
      </c>
      <c r="C9" s="645">
        <f>Données!AR9</f>
        <v>0</v>
      </c>
      <c r="D9" s="271">
        <f>Données!Z9</f>
        <v>464</v>
      </c>
      <c r="E9" s="101">
        <f>Données!X9</f>
        <v>74</v>
      </c>
      <c r="F9" s="31">
        <f>VPI!L9</f>
        <v>693680.41</v>
      </c>
      <c r="G9" s="8">
        <f t="shared" si="3"/>
        <v>18748.11918918919</v>
      </c>
      <c r="H9" s="152">
        <f t="shared" si="4"/>
        <v>42331.354272717872</v>
      </c>
      <c r="I9" s="8">
        <f t="shared" si="5"/>
        <v>18748.11918918919</v>
      </c>
      <c r="J9" s="8">
        <f>VPI!R9</f>
        <v>10656.798108108109</v>
      </c>
      <c r="K9" s="171">
        <f t="shared" si="6"/>
        <v>12004.936435579359</v>
      </c>
      <c r="L9" s="260">
        <f t="shared" si="7"/>
        <v>30753.055624768549</v>
      </c>
      <c r="M9" s="166"/>
      <c r="N9" s="103"/>
      <c r="O9" s="100"/>
      <c r="Q9" s="104"/>
      <c r="T9" s="98"/>
    </row>
    <row r="10" spans="1:20" x14ac:dyDescent="0.25">
      <c r="A10" s="135">
        <f>Données!A10</f>
        <v>5405</v>
      </c>
      <c r="B10" s="270" t="str">
        <f>Données!B10</f>
        <v>Gryon</v>
      </c>
      <c r="C10" s="645">
        <f>Données!AR10</f>
        <v>0</v>
      </c>
      <c r="D10" s="271">
        <f>Données!Z10</f>
        <v>1520</v>
      </c>
      <c r="E10" s="101">
        <f>Données!X10</f>
        <v>73.5</v>
      </c>
      <c r="F10" s="31">
        <f>VPI!L10</f>
        <v>4968044.2300000004</v>
      </c>
      <c r="G10" s="8">
        <f t="shared" si="3"/>
        <v>135184.87700680274</v>
      </c>
      <c r="H10" s="152">
        <f t="shared" si="4"/>
        <v>138671.67778993785</v>
      </c>
      <c r="I10" s="8">
        <f t="shared" si="5"/>
        <v>135184.87700680274</v>
      </c>
      <c r="J10" s="8">
        <f>VPI!R10</f>
        <v>79200.140770975064</v>
      </c>
      <c r="K10" s="171">
        <f t="shared" si="6"/>
        <v>89219.355194605072</v>
      </c>
      <c r="L10" s="260">
        <f t="shared" si="7"/>
        <v>224404.23220140781</v>
      </c>
      <c r="M10" s="166"/>
      <c r="N10" s="103"/>
      <c r="O10" s="100"/>
      <c r="Q10" s="104"/>
      <c r="T10" s="98"/>
    </row>
    <row r="11" spans="1:20" x14ac:dyDescent="0.25">
      <c r="A11" s="135">
        <f>Données!A11</f>
        <v>5406</v>
      </c>
      <c r="B11" s="270" t="str">
        <f>Données!B11</f>
        <v>Lavey-Morcles</v>
      </c>
      <c r="C11" s="645">
        <f>Données!AR11</f>
        <v>0</v>
      </c>
      <c r="D11" s="271">
        <f>Données!Z11</f>
        <v>1022</v>
      </c>
      <c r="E11" s="101">
        <f>Données!X11</f>
        <v>71.5</v>
      </c>
      <c r="F11" s="31">
        <f>VPI!L11</f>
        <v>1555627.24</v>
      </c>
      <c r="G11" s="8">
        <f t="shared" si="3"/>
        <v>43514.048671328674</v>
      </c>
      <c r="H11" s="152">
        <f t="shared" si="4"/>
        <v>93238.457040339796</v>
      </c>
      <c r="I11" s="8">
        <f t="shared" si="5"/>
        <v>43514.048671328674</v>
      </c>
      <c r="J11" s="8">
        <f>VPI!R11</f>
        <v>24174.314276492736</v>
      </c>
      <c r="K11" s="171">
        <f t="shared" si="6"/>
        <v>27232.486091878753</v>
      </c>
      <c r="L11" s="260">
        <f t="shared" si="7"/>
        <v>70746.534763207426</v>
      </c>
      <c r="M11" s="166"/>
      <c r="N11" s="103"/>
      <c r="O11" s="100"/>
      <c r="Q11" s="104"/>
      <c r="T11" s="98"/>
    </row>
    <row r="12" spans="1:20" x14ac:dyDescent="0.25">
      <c r="A12" s="135">
        <f>Données!A12</f>
        <v>5407</v>
      </c>
      <c r="B12" s="270" t="str">
        <f>Données!B12</f>
        <v>Leysin</v>
      </c>
      <c r="C12" s="645">
        <f>Données!AR12</f>
        <v>0</v>
      </c>
      <c r="D12" s="271">
        <f>Données!Z12</f>
        <v>3729</v>
      </c>
      <c r="E12" s="101">
        <f>Données!X12</f>
        <v>78</v>
      </c>
      <c r="F12" s="31">
        <f>VPI!L12</f>
        <v>6722930.2000000002</v>
      </c>
      <c r="G12" s="8">
        <f t="shared" si="3"/>
        <v>172382.82564102564</v>
      </c>
      <c r="H12" s="152">
        <f t="shared" si="4"/>
        <v>340201.76742018305</v>
      </c>
      <c r="I12" s="8">
        <f t="shared" si="5"/>
        <v>172382.82564102564</v>
      </c>
      <c r="J12" s="8">
        <f>VPI!R12</f>
        <v>97593.933333333334</v>
      </c>
      <c r="K12" s="171">
        <f t="shared" si="6"/>
        <v>109940.05462798721</v>
      </c>
      <c r="L12" s="260">
        <f t="shared" si="7"/>
        <v>282322.88026901288</v>
      </c>
      <c r="M12" s="166"/>
      <c r="N12" s="103"/>
      <c r="O12" s="100"/>
      <c r="Q12" s="104"/>
      <c r="T12" s="98"/>
    </row>
    <row r="13" spans="1:20" x14ac:dyDescent="0.25">
      <c r="A13" s="135">
        <f>Données!A13</f>
        <v>5408</v>
      </c>
      <c r="B13" s="270" t="str">
        <f>Données!B13</f>
        <v>Noville</v>
      </c>
      <c r="C13" s="645">
        <f>Données!AR13</f>
        <v>0</v>
      </c>
      <c r="D13" s="271">
        <f>Données!Z13</f>
        <v>1180</v>
      </c>
      <c r="E13" s="101">
        <f>Données!X13</f>
        <v>75</v>
      </c>
      <c r="F13" s="31">
        <f>VPI!L13</f>
        <v>2628732.7300000004</v>
      </c>
      <c r="G13" s="8">
        <f t="shared" si="3"/>
        <v>70099.539466666683</v>
      </c>
      <c r="H13" s="152">
        <f t="shared" si="4"/>
        <v>107653.01302113596</v>
      </c>
      <c r="I13" s="8">
        <f t="shared" si="5"/>
        <v>70099.539466666683</v>
      </c>
      <c r="J13" s="8">
        <f>VPI!R13</f>
        <v>40176.989288888893</v>
      </c>
      <c r="K13" s="171">
        <f t="shared" si="6"/>
        <v>45259.579631061446</v>
      </c>
      <c r="L13" s="260">
        <f t="shared" si="7"/>
        <v>115359.11909772814</v>
      </c>
      <c r="M13" s="166"/>
      <c r="N13" s="103"/>
      <c r="O13" s="100"/>
      <c r="Q13" s="104"/>
      <c r="T13" s="98"/>
    </row>
    <row r="14" spans="1:20" x14ac:dyDescent="0.25">
      <c r="A14" s="135">
        <f>Données!A14</f>
        <v>5409</v>
      </c>
      <c r="B14" s="270" t="str">
        <f>Données!B14</f>
        <v>Ollon</v>
      </c>
      <c r="C14" s="645">
        <f>Données!AR14</f>
        <v>1</v>
      </c>
      <c r="D14" s="271">
        <f>Données!Z14</f>
        <v>8137</v>
      </c>
      <c r="E14" s="101">
        <f>Données!X14</f>
        <v>68</v>
      </c>
      <c r="F14" s="31">
        <f>VPI!L14</f>
        <v>25166707.940000005</v>
      </c>
      <c r="G14" s="8">
        <f t="shared" si="3"/>
        <v>740197.29235294135</v>
      </c>
      <c r="H14" s="152">
        <f t="shared" si="4"/>
        <v>742349.63301100279</v>
      </c>
      <c r="I14" s="8">
        <f t="shared" si="5"/>
        <v>0</v>
      </c>
      <c r="J14" s="8">
        <f>VPI!R14</f>
        <v>421727.92700226256</v>
      </c>
      <c r="K14" s="171">
        <f t="shared" si="6"/>
        <v>475078.62168457749</v>
      </c>
      <c r="L14" s="260">
        <f t="shared" si="7"/>
        <v>475078.62168457749</v>
      </c>
      <c r="M14" s="166"/>
      <c r="N14" s="103"/>
      <c r="O14" s="100"/>
      <c r="Q14" s="104"/>
      <c r="T14" s="98"/>
    </row>
    <row r="15" spans="1:20" x14ac:dyDescent="0.25">
      <c r="A15" s="135">
        <f>Données!A15</f>
        <v>5410</v>
      </c>
      <c r="B15" s="270" t="str">
        <f>Données!B15</f>
        <v>Ormont-Dessous</v>
      </c>
      <c r="C15" s="645">
        <f>Données!AR15</f>
        <v>0</v>
      </c>
      <c r="D15" s="271">
        <f>Données!Z15</f>
        <v>1211</v>
      </c>
      <c r="E15" s="101">
        <f>Données!X15</f>
        <v>77</v>
      </c>
      <c r="F15" s="31">
        <f>VPI!L15</f>
        <v>2414966.6399999997</v>
      </c>
      <c r="G15" s="8">
        <f t="shared" si="3"/>
        <v>62726.406233766225</v>
      </c>
      <c r="H15" s="26">
        <f t="shared" si="4"/>
        <v>110481.18539711495</v>
      </c>
      <c r="I15" s="8">
        <f t="shared" si="5"/>
        <v>62726.406233766225</v>
      </c>
      <c r="J15" s="8">
        <f>VPI!R15</f>
        <v>36756.557662337655</v>
      </c>
      <c r="K15" s="171">
        <f t="shared" si="6"/>
        <v>41406.446275016038</v>
      </c>
      <c r="L15" s="260">
        <f t="shared" si="7"/>
        <v>104132.85250878226</v>
      </c>
      <c r="M15" s="102"/>
      <c r="N15" s="103"/>
      <c r="O15" s="100"/>
      <c r="Q15" s="104"/>
      <c r="T15" s="98"/>
    </row>
    <row r="16" spans="1:20" x14ac:dyDescent="0.25">
      <c r="A16" s="135">
        <f>Données!A16</f>
        <v>5411</v>
      </c>
      <c r="B16" s="270" t="str">
        <f>Données!B16</f>
        <v>Ormont-Dessus</v>
      </c>
      <c r="C16" s="645">
        <f>Données!AR16</f>
        <v>0</v>
      </c>
      <c r="D16" s="271">
        <f>Données!Z16</f>
        <v>1427</v>
      </c>
      <c r="E16" s="101">
        <f>Données!X16</f>
        <v>76</v>
      </c>
      <c r="F16" s="31">
        <f>VPI!L16</f>
        <v>5148414.96</v>
      </c>
      <c r="G16" s="8">
        <f t="shared" si="3"/>
        <v>135484.6042105263</v>
      </c>
      <c r="H16" s="26">
        <f t="shared" si="4"/>
        <v>130187.16066200087</v>
      </c>
      <c r="I16" s="8">
        <f t="shared" si="5"/>
        <v>130187.16066200087</v>
      </c>
      <c r="J16" s="8">
        <f>VPI!R16</f>
        <v>79198.134342105259</v>
      </c>
      <c r="K16" s="171">
        <f t="shared" si="6"/>
        <v>89217.094942435506</v>
      </c>
      <c r="L16" s="260">
        <f t="shared" si="7"/>
        <v>219404.25560443639</v>
      </c>
      <c r="M16" s="167"/>
      <c r="N16" s="103"/>
      <c r="O16" s="100"/>
      <c r="Q16" s="104"/>
      <c r="T16" s="98"/>
    </row>
    <row r="17" spans="1:20" x14ac:dyDescent="0.25">
      <c r="A17" s="135">
        <f>Données!A17</f>
        <v>5412</v>
      </c>
      <c r="B17" s="270" t="str">
        <f>Données!B17</f>
        <v>Rennaz</v>
      </c>
      <c r="C17" s="645">
        <f>Données!AR17</f>
        <v>0</v>
      </c>
      <c r="D17" s="271">
        <f>Données!Z17</f>
        <v>928</v>
      </c>
      <c r="E17" s="101">
        <f>Données!X17</f>
        <v>69</v>
      </c>
      <c r="F17" s="31">
        <f>VPI!L17</f>
        <v>1657440.3099999998</v>
      </c>
      <c r="G17" s="8">
        <f t="shared" si="3"/>
        <v>48041.74811594202</v>
      </c>
      <c r="H17" s="26">
        <f t="shared" si="4"/>
        <v>84662.708545435744</v>
      </c>
      <c r="I17" s="8">
        <f t="shared" si="5"/>
        <v>48041.74811594202</v>
      </c>
      <c r="J17" s="8">
        <f>VPI!R17</f>
        <v>29024.824057971011</v>
      </c>
      <c r="K17" s="171">
        <f t="shared" si="6"/>
        <v>32696.609650952178</v>
      </c>
      <c r="L17" s="260">
        <f t="shared" si="7"/>
        <v>80738.357766894202</v>
      </c>
      <c r="M17" s="102"/>
      <c r="N17" s="103"/>
      <c r="O17" s="100"/>
      <c r="Q17" s="104"/>
      <c r="T17" s="98"/>
    </row>
    <row r="18" spans="1:20" x14ac:dyDescent="0.25">
      <c r="A18" s="135">
        <f>Données!A18</f>
        <v>5413</v>
      </c>
      <c r="B18" s="270" t="str">
        <f>Données!B18</f>
        <v>Roche</v>
      </c>
      <c r="C18" s="645">
        <f>Données!AR18</f>
        <v>0</v>
      </c>
      <c r="D18" s="271">
        <f>Données!Z18</f>
        <v>1958</v>
      </c>
      <c r="E18" s="101">
        <f>Données!X18</f>
        <v>68</v>
      </c>
      <c r="F18" s="31">
        <f>VPI!L18</f>
        <v>2456204.04</v>
      </c>
      <c r="G18" s="8">
        <f t="shared" si="3"/>
        <v>72241.295294117648</v>
      </c>
      <c r="H18" s="26">
        <f t="shared" si="4"/>
        <v>178631.01652151204</v>
      </c>
      <c r="I18" s="8">
        <f t="shared" si="5"/>
        <v>72241.295294117648</v>
      </c>
      <c r="J18" s="8">
        <f>VPI!R18</f>
        <v>41219.946789215683</v>
      </c>
      <c r="K18" s="171">
        <f t="shared" si="6"/>
        <v>46434.476478071017</v>
      </c>
      <c r="L18" s="260">
        <f t="shared" si="7"/>
        <v>118675.77177218866</v>
      </c>
      <c r="M18" s="102"/>
      <c r="N18" s="103"/>
      <c r="O18" s="100"/>
      <c r="Q18" s="104"/>
      <c r="T18" s="98"/>
    </row>
    <row r="19" spans="1:20" x14ac:dyDescent="0.25">
      <c r="A19" s="135">
        <f>Données!A19</f>
        <v>5414</v>
      </c>
      <c r="B19" s="270" t="str">
        <f>Données!B19</f>
        <v>Villeneuve</v>
      </c>
      <c r="C19" s="645">
        <f>Données!AR19</f>
        <v>0</v>
      </c>
      <c r="D19" s="271">
        <f>Données!Z19</f>
        <v>6057</v>
      </c>
      <c r="E19" s="101">
        <f>Données!X19</f>
        <v>67.5</v>
      </c>
      <c r="F19" s="31">
        <f>VPI!L19</f>
        <v>11325132.57</v>
      </c>
      <c r="G19" s="8">
        <f t="shared" si="3"/>
        <v>335559.48355555558</v>
      </c>
      <c r="H19" s="26">
        <f t="shared" si="4"/>
        <v>552588.38971950894</v>
      </c>
      <c r="I19" s="8">
        <f t="shared" si="5"/>
        <v>335559.48355555558</v>
      </c>
      <c r="J19" s="8">
        <f>VPI!R19</f>
        <v>190081.59585185186</v>
      </c>
      <c r="K19" s="171">
        <f t="shared" si="6"/>
        <v>214127.8696120549</v>
      </c>
      <c r="L19" s="260">
        <f t="shared" si="7"/>
        <v>549687.35316761048</v>
      </c>
      <c r="M19" s="102"/>
      <c r="N19" s="103"/>
      <c r="O19" s="100"/>
      <c r="Q19" s="104"/>
      <c r="T19" s="98"/>
    </row>
    <row r="20" spans="1:20" x14ac:dyDescent="0.25">
      <c r="A20" s="135">
        <f>Données!A20</f>
        <v>5415</v>
      </c>
      <c r="B20" s="270" t="str">
        <f>Données!B20</f>
        <v>Yvorne</v>
      </c>
      <c r="C20" s="645">
        <f>Données!AR20</f>
        <v>0</v>
      </c>
      <c r="D20" s="271">
        <f>Données!Z20</f>
        <v>1108</v>
      </c>
      <c r="E20" s="101">
        <f>Données!X20</f>
        <v>71.5</v>
      </c>
      <c r="F20" s="31">
        <f>VPI!L20</f>
        <v>2370615.17</v>
      </c>
      <c r="G20" s="8">
        <f t="shared" si="3"/>
        <v>66310.913846153839</v>
      </c>
      <c r="H20" s="26">
        <f t="shared" si="4"/>
        <v>101084.35459950732</v>
      </c>
      <c r="I20" s="8">
        <f t="shared" si="5"/>
        <v>66310.913846153839</v>
      </c>
      <c r="J20" s="8">
        <f>VPI!R20</f>
        <v>36781.248065268061</v>
      </c>
      <c r="K20" s="171">
        <f t="shared" si="6"/>
        <v>41434.260137561003</v>
      </c>
      <c r="L20" s="260">
        <f t="shared" si="7"/>
        <v>107745.17398371483</v>
      </c>
      <c r="M20" s="102"/>
      <c r="N20" s="103"/>
      <c r="O20" s="100"/>
      <c r="Q20" s="104"/>
      <c r="T20" s="98"/>
    </row>
    <row r="21" spans="1:20" x14ac:dyDescent="0.25">
      <c r="A21" s="135">
        <f>Données!A21</f>
        <v>5422</v>
      </c>
      <c r="B21" s="270" t="str">
        <f>Données!B21</f>
        <v>Aubonne</v>
      </c>
      <c r="C21" s="645">
        <f>Données!AR21</f>
        <v>0</v>
      </c>
      <c r="D21" s="271">
        <f>Données!Z21</f>
        <v>3841</v>
      </c>
      <c r="E21" s="101">
        <f>Données!X21</f>
        <v>68</v>
      </c>
      <c r="F21" s="31">
        <f>VPI!L21</f>
        <v>27119939.060000002</v>
      </c>
      <c r="G21" s="8">
        <f t="shared" si="3"/>
        <v>797645.26647058828</v>
      </c>
      <c r="H21" s="26">
        <f t="shared" si="4"/>
        <v>350419.68052049424</v>
      </c>
      <c r="I21" s="8">
        <f t="shared" si="5"/>
        <v>350419.68052049424</v>
      </c>
      <c r="J21" s="8">
        <f>VPI!R21</f>
        <v>418335.07808823534</v>
      </c>
      <c r="K21" s="171">
        <f t="shared" si="6"/>
        <v>471256.56039231829</v>
      </c>
      <c r="L21" s="260">
        <f t="shared" si="7"/>
        <v>821676.24091281253</v>
      </c>
      <c r="M21" s="102"/>
      <c r="N21" s="103"/>
      <c r="O21" s="100"/>
      <c r="Q21" s="104"/>
      <c r="T21" s="98"/>
    </row>
    <row r="22" spans="1:20" x14ac:dyDescent="0.25">
      <c r="A22" s="135">
        <f>Données!A22</f>
        <v>5423</v>
      </c>
      <c r="B22" s="270" t="str">
        <f>Données!B22</f>
        <v>Ballens</v>
      </c>
      <c r="C22" s="645">
        <f>Données!AR22</f>
        <v>0</v>
      </c>
      <c r="D22" s="271">
        <f>Données!Z22</f>
        <v>576</v>
      </c>
      <c r="E22" s="101">
        <f>Données!X22</f>
        <v>73</v>
      </c>
      <c r="F22" s="31">
        <f>VPI!L22</f>
        <v>1197212.55</v>
      </c>
      <c r="G22" s="8">
        <f t="shared" si="3"/>
        <v>32800.343835616441</v>
      </c>
      <c r="H22" s="26">
        <f t="shared" si="4"/>
        <v>52549.267373029077</v>
      </c>
      <c r="I22" s="8">
        <f t="shared" si="5"/>
        <v>32800.343835616441</v>
      </c>
      <c r="J22" s="8">
        <f>VPI!R22</f>
        <v>17582.856164383564</v>
      </c>
      <c r="K22" s="171">
        <f t="shared" si="6"/>
        <v>19807.175520080524</v>
      </c>
      <c r="L22" s="260">
        <f t="shared" si="7"/>
        <v>52607.519355696961</v>
      </c>
      <c r="M22" s="102"/>
      <c r="N22" s="103"/>
      <c r="O22" s="100"/>
      <c r="Q22" s="104"/>
      <c r="T22" s="98"/>
    </row>
    <row r="23" spans="1:20" x14ac:dyDescent="0.25">
      <c r="A23" s="135">
        <f>Données!A23</f>
        <v>5424</v>
      </c>
      <c r="B23" s="270" t="str">
        <f>Données!B23</f>
        <v>Berolle</v>
      </c>
      <c r="C23" s="645">
        <f>Données!AR23</f>
        <v>0</v>
      </c>
      <c r="D23" s="271">
        <f>Données!Z23</f>
        <v>304</v>
      </c>
      <c r="E23" s="101">
        <f>Données!X23</f>
        <v>75.5</v>
      </c>
      <c r="F23" s="31">
        <f>VPI!L23</f>
        <v>705854.77999999991</v>
      </c>
      <c r="G23" s="8">
        <f t="shared" si="3"/>
        <v>18698.139867549668</v>
      </c>
      <c r="H23" s="26">
        <f t="shared" si="4"/>
        <v>27734.335557987572</v>
      </c>
      <c r="I23" s="8">
        <f t="shared" si="5"/>
        <v>18698.139867549668</v>
      </c>
      <c r="J23" s="8">
        <f>VPI!R23</f>
        <v>10091.658013245033</v>
      </c>
      <c r="K23" s="171">
        <f t="shared" si="6"/>
        <v>11368.303288624398</v>
      </c>
      <c r="L23" s="260">
        <f t="shared" si="7"/>
        <v>30066.443156174064</v>
      </c>
      <c r="M23" s="102"/>
      <c r="N23" s="103"/>
      <c r="O23" s="100"/>
      <c r="Q23" s="104"/>
      <c r="T23" s="98"/>
    </row>
    <row r="24" spans="1:20" s="99" customFormat="1" x14ac:dyDescent="0.25">
      <c r="A24" s="135">
        <f>Données!A24</f>
        <v>5425</v>
      </c>
      <c r="B24" s="270" t="str">
        <f>Données!B24</f>
        <v>Bière</v>
      </c>
      <c r="C24" s="645">
        <f>Données!AR24</f>
        <v>0</v>
      </c>
      <c r="D24" s="271">
        <f>Données!Z24</f>
        <v>1717</v>
      </c>
      <c r="E24" s="101">
        <f>Données!X24</f>
        <v>69</v>
      </c>
      <c r="F24" s="31">
        <f>VPI!L24</f>
        <v>2836985.2400000007</v>
      </c>
      <c r="G24" s="8">
        <f t="shared" si="3"/>
        <v>82231.456231884076</v>
      </c>
      <c r="H24" s="26">
        <f t="shared" si="4"/>
        <v>156644.25708244953</v>
      </c>
      <c r="I24" s="8">
        <f t="shared" si="5"/>
        <v>82231.456231884076</v>
      </c>
      <c r="J24" s="8">
        <f>VPI!R24</f>
        <v>44820.475767116455</v>
      </c>
      <c r="K24" s="171">
        <f t="shared" si="6"/>
        <v>50490.490402297815</v>
      </c>
      <c r="L24" s="260">
        <f t="shared" si="7"/>
        <v>132721.94663418189</v>
      </c>
      <c r="M24" s="102"/>
      <c r="N24" s="103"/>
      <c r="O24" s="100"/>
      <c r="P24" s="100"/>
      <c r="Q24" s="104"/>
    </row>
    <row r="25" spans="1:20" s="99" customFormat="1" x14ac:dyDescent="0.25">
      <c r="A25" s="135">
        <f>Données!A25</f>
        <v>5426</v>
      </c>
      <c r="B25" s="270" t="str">
        <f>Données!B25</f>
        <v>Bougy-Villars</v>
      </c>
      <c r="C25" s="645">
        <f>Données!AR25</f>
        <v>0</v>
      </c>
      <c r="D25" s="271">
        <f>Données!Z25</f>
        <v>512</v>
      </c>
      <c r="E25" s="101">
        <f>Données!X25</f>
        <v>64.5</v>
      </c>
      <c r="F25" s="31">
        <f>VPI!L25</f>
        <v>4227035.2399999993</v>
      </c>
      <c r="G25" s="8">
        <f t="shared" si="3"/>
        <v>131070.86015503874</v>
      </c>
      <c r="H25" s="26">
        <f t="shared" si="4"/>
        <v>46710.45988713696</v>
      </c>
      <c r="I25" s="8">
        <f t="shared" si="5"/>
        <v>46710.45988713696</v>
      </c>
      <c r="J25" s="8">
        <f>VPI!R25</f>
        <v>70059.66664082685</v>
      </c>
      <c r="K25" s="171">
        <f t="shared" si="6"/>
        <v>78922.565313599509</v>
      </c>
      <c r="L25" s="260">
        <f t="shared" si="7"/>
        <v>125633.02520073648</v>
      </c>
      <c r="M25" s="102"/>
      <c r="N25" s="103"/>
      <c r="O25" s="100"/>
      <c r="P25" s="100"/>
      <c r="Q25" s="104"/>
    </row>
    <row r="26" spans="1:20" s="99" customFormat="1" x14ac:dyDescent="0.25">
      <c r="A26" s="135">
        <f>Données!A26</f>
        <v>5427</v>
      </c>
      <c r="B26" s="270" t="str">
        <f>Données!B26</f>
        <v>Féchy</v>
      </c>
      <c r="C26" s="645">
        <f>Données!AR26</f>
        <v>0</v>
      </c>
      <c r="D26" s="271">
        <f>Données!Z26</f>
        <v>896</v>
      </c>
      <c r="E26" s="101">
        <f>Données!X26</f>
        <v>64</v>
      </c>
      <c r="F26" s="31">
        <f>VPI!L26</f>
        <v>5183419.8900000006</v>
      </c>
      <c r="G26" s="8">
        <f t="shared" si="3"/>
        <v>161981.87156250002</v>
      </c>
      <c r="H26" s="26">
        <f t="shared" si="4"/>
        <v>81743.304802489685</v>
      </c>
      <c r="I26" s="8">
        <f t="shared" si="5"/>
        <v>81743.304802489685</v>
      </c>
      <c r="J26" s="8">
        <f>VPI!R26</f>
        <v>87019.406153846168</v>
      </c>
      <c r="K26" s="171">
        <f t="shared" si="6"/>
        <v>98027.796805493243</v>
      </c>
      <c r="L26" s="260">
        <f t="shared" si="7"/>
        <v>179771.10160798294</v>
      </c>
      <c r="M26" s="102"/>
      <c r="N26" s="103"/>
      <c r="O26" s="100"/>
      <c r="P26" s="100"/>
      <c r="Q26" s="104"/>
    </row>
    <row r="27" spans="1:20" s="99" customFormat="1" x14ac:dyDescent="0.25">
      <c r="A27" s="135">
        <f>Données!A27</f>
        <v>5428</v>
      </c>
      <c r="B27" s="270" t="str">
        <f>Données!B27</f>
        <v>Gimel</v>
      </c>
      <c r="C27" s="645">
        <f>Données!AR27</f>
        <v>0</v>
      </c>
      <c r="D27" s="271">
        <f>Données!Z27</f>
        <v>2465</v>
      </c>
      <c r="E27" s="101">
        <f>Données!X27</f>
        <v>73</v>
      </c>
      <c r="F27" s="31">
        <f>VPI!L27</f>
        <v>4796211.91</v>
      </c>
      <c r="G27" s="8">
        <f t="shared" si="3"/>
        <v>131403.06602739726</v>
      </c>
      <c r="H27" s="26">
        <f t="shared" si="4"/>
        <v>224885.31957381367</v>
      </c>
      <c r="I27" s="8">
        <f t="shared" si="5"/>
        <v>131403.06602739726</v>
      </c>
      <c r="J27" s="8">
        <f>VPI!R27</f>
        <v>72073.620570776256</v>
      </c>
      <c r="K27" s="171">
        <f t="shared" si="6"/>
        <v>81191.29450110592</v>
      </c>
      <c r="L27" s="260">
        <f t="shared" si="7"/>
        <v>212594.3605285032</v>
      </c>
      <c r="M27" s="102"/>
      <c r="N27" s="103"/>
      <c r="O27" s="100"/>
      <c r="P27" s="100"/>
      <c r="Q27" s="104"/>
    </row>
    <row r="28" spans="1:20" s="99" customFormat="1" x14ac:dyDescent="0.25">
      <c r="A28" s="135">
        <f>Données!A28</f>
        <v>5429</v>
      </c>
      <c r="B28" s="270" t="str">
        <f>Données!B28</f>
        <v>Longirod</v>
      </c>
      <c r="C28" s="645">
        <f>Données!AR28</f>
        <v>0</v>
      </c>
      <c r="D28" s="271">
        <f>Données!Z28</f>
        <v>555</v>
      </c>
      <c r="E28" s="101">
        <f>Données!X28</f>
        <v>77.5</v>
      </c>
      <c r="F28" s="31">
        <f>VPI!L28</f>
        <v>1378984.29</v>
      </c>
      <c r="G28" s="8">
        <f t="shared" si="3"/>
        <v>35586.691354838709</v>
      </c>
      <c r="H28" s="26">
        <f t="shared" si="4"/>
        <v>50633.40866672073</v>
      </c>
      <c r="I28" s="8">
        <f t="shared" si="5"/>
        <v>35586.691354838709</v>
      </c>
      <c r="J28" s="8">
        <f>VPI!R28</f>
        <v>19283.044387096772</v>
      </c>
      <c r="K28" s="171">
        <f t="shared" si="6"/>
        <v>21722.446067118803</v>
      </c>
      <c r="L28" s="260">
        <f t="shared" si="7"/>
        <v>57309.137421957508</v>
      </c>
      <c r="M28" s="102"/>
      <c r="N28" s="103"/>
      <c r="O28" s="100"/>
      <c r="P28" s="100"/>
      <c r="Q28" s="104"/>
    </row>
    <row r="29" spans="1:20" s="99" customFormat="1" x14ac:dyDescent="0.25">
      <c r="A29" s="135">
        <f>Données!A29</f>
        <v>5430</v>
      </c>
      <c r="B29" s="270" t="str">
        <f>Données!B29</f>
        <v>Marchissy</v>
      </c>
      <c r="C29" s="645">
        <f>Données!AR29</f>
        <v>0</v>
      </c>
      <c r="D29" s="271">
        <f>Données!Z29</f>
        <v>508</v>
      </c>
      <c r="E29" s="101">
        <f>Données!X29</f>
        <v>77.5</v>
      </c>
      <c r="F29" s="31">
        <f>VPI!L29</f>
        <v>1157528.6499999999</v>
      </c>
      <c r="G29" s="8">
        <f t="shared" si="3"/>
        <v>29871.707096774193</v>
      </c>
      <c r="H29" s="152">
        <f t="shared" si="4"/>
        <v>46345.534419268704</v>
      </c>
      <c r="I29" s="8">
        <f t="shared" si="5"/>
        <v>29871.707096774193</v>
      </c>
      <c r="J29" s="8">
        <f>VPI!R29</f>
        <v>16181.195483870966</v>
      </c>
      <c r="K29" s="171">
        <f t="shared" si="6"/>
        <v>18228.197744288551</v>
      </c>
      <c r="L29" s="260">
        <f t="shared" si="7"/>
        <v>48099.904841062744</v>
      </c>
      <c r="M29" s="102"/>
      <c r="N29" s="103"/>
      <c r="O29" s="100"/>
      <c r="P29" s="100"/>
      <c r="Q29" s="104"/>
    </row>
    <row r="30" spans="1:20" s="99" customFormat="1" x14ac:dyDescent="0.25">
      <c r="A30" s="135">
        <f>Données!A30</f>
        <v>5431</v>
      </c>
      <c r="B30" s="270" t="str">
        <f>Données!B30</f>
        <v>Mollens</v>
      </c>
      <c r="C30" s="645">
        <f>Données!AR30</f>
        <v>0</v>
      </c>
      <c r="D30" s="271">
        <f>Données!Z30</f>
        <v>322</v>
      </c>
      <c r="E30" s="101">
        <f>Données!X30</f>
        <v>74</v>
      </c>
      <c r="F30" s="31">
        <f>VPI!L30</f>
        <v>639100.14999999991</v>
      </c>
      <c r="G30" s="8">
        <f t="shared" si="3"/>
        <v>17272.977027027024</v>
      </c>
      <c r="H30" s="26">
        <f t="shared" si="4"/>
        <v>29376.500163394729</v>
      </c>
      <c r="I30" s="8">
        <f t="shared" si="5"/>
        <v>17272.977027027024</v>
      </c>
      <c r="J30" s="8">
        <f>VPI!R30</f>
        <v>9356.399324324324</v>
      </c>
      <c r="K30" s="171">
        <f t="shared" si="6"/>
        <v>10540.030693548699</v>
      </c>
      <c r="L30" s="260">
        <f t="shared" si="7"/>
        <v>27813.007720575722</v>
      </c>
      <c r="M30" s="102"/>
      <c r="N30" s="103"/>
      <c r="O30" s="100"/>
      <c r="P30" s="100"/>
      <c r="Q30" s="104"/>
    </row>
    <row r="31" spans="1:20" s="99" customFormat="1" x14ac:dyDescent="0.25">
      <c r="A31" s="135">
        <f>Données!A31</f>
        <v>5434</v>
      </c>
      <c r="B31" s="270" t="str">
        <f>Données!B31</f>
        <v>Saint-George</v>
      </c>
      <c r="C31" s="645">
        <f>Données!AR31</f>
        <v>0</v>
      </c>
      <c r="D31" s="271">
        <f>Données!Z31</f>
        <v>1061</v>
      </c>
      <c r="E31" s="101">
        <f>Données!X31</f>
        <v>69.5</v>
      </c>
      <c r="F31" s="31">
        <f>VPI!L31</f>
        <v>2955029.08</v>
      </c>
      <c r="G31" s="8">
        <f t="shared" si="3"/>
        <v>85036.808057553964</v>
      </c>
      <c r="H31" s="26">
        <f t="shared" si="4"/>
        <v>96796.480352055296</v>
      </c>
      <c r="I31" s="8">
        <f t="shared" si="5"/>
        <v>85036.808057553964</v>
      </c>
      <c r="J31" s="8">
        <f>VPI!R31</f>
        <v>46184.394316546764</v>
      </c>
      <c r="K31" s="171">
        <f t="shared" si="6"/>
        <v>52026.951478421674</v>
      </c>
      <c r="L31" s="260">
        <f t="shared" si="7"/>
        <v>137063.75953597564</v>
      </c>
      <c r="M31" s="102"/>
      <c r="N31" s="103"/>
      <c r="O31" s="100"/>
      <c r="P31" s="100"/>
      <c r="Q31" s="104"/>
    </row>
    <row r="32" spans="1:20" s="99" customFormat="1" x14ac:dyDescent="0.25">
      <c r="A32" s="135">
        <f>Données!A32</f>
        <v>5435</v>
      </c>
      <c r="B32" s="270" t="str">
        <f>Données!B32</f>
        <v>Saint-Livres</v>
      </c>
      <c r="C32" s="645">
        <f>Données!AR32</f>
        <v>0</v>
      </c>
      <c r="D32" s="271">
        <f>Données!Z32</f>
        <v>697</v>
      </c>
      <c r="E32" s="101">
        <f>Données!X32</f>
        <v>69</v>
      </c>
      <c r="F32" s="31">
        <f>VPI!L32</f>
        <v>1680713.5599999998</v>
      </c>
      <c r="G32" s="8">
        <f t="shared" si="3"/>
        <v>48716.335072463764</v>
      </c>
      <c r="H32" s="26">
        <f t="shared" si="4"/>
        <v>63588.26277604387</v>
      </c>
      <c r="I32" s="8">
        <f t="shared" si="5"/>
        <v>48716.335072463764</v>
      </c>
      <c r="J32" s="8">
        <f>VPI!R32</f>
        <v>26399.909565217389</v>
      </c>
      <c r="K32" s="171">
        <f t="shared" si="6"/>
        <v>29739.63032989675</v>
      </c>
      <c r="L32" s="260">
        <f t="shared" si="7"/>
        <v>78455.965402360511</v>
      </c>
      <c r="M32" s="102"/>
      <c r="N32" s="103"/>
      <c r="O32" s="100"/>
      <c r="P32" s="100"/>
      <c r="Q32" s="104"/>
    </row>
    <row r="33" spans="1:17" s="99" customFormat="1" x14ac:dyDescent="0.25">
      <c r="A33" s="135">
        <f>Données!A33</f>
        <v>5436</v>
      </c>
      <c r="B33" s="270" t="str">
        <f>Données!B33</f>
        <v>Saint-Oyens</v>
      </c>
      <c r="C33" s="645">
        <f>Données!AR33</f>
        <v>0</v>
      </c>
      <c r="D33" s="271">
        <f>Données!Z33</f>
        <v>450</v>
      </c>
      <c r="E33" s="101">
        <f>Données!X33</f>
        <v>79</v>
      </c>
      <c r="F33" s="31">
        <f>VPI!L33</f>
        <v>1164356.78</v>
      </c>
      <c r="G33" s="8">
        <f t="shared" si="3"/>
        <v>29477.386835443038</v>
      </c>
      <c r="H33" s="26">
        <f t="shared" si="4"/>
        <v>41054.115135178967</v>
      </c>
      <c r="I33" s="8">
        <f t="shared" si="5"/>
        <v>29477.386835443038</v>
      </c>
      <c r="J33" s="8">
        <f>VPI!R33</f>
        <v>15917.295474683544</v>
      </c>
      <c r="K33" s="171">
        <f t="shared" si="6"/>
        <v>17930.913062388328</v>
      </c>
      <c r="L33" s="260">
        <f t="shared" si="7"/>
        <v>47408.29989783137</v>
      </c>
      <c r="M33" s="102"/>
      <c r="N33" s="103"/>
      <c r="O33" s="100"/>
      <c r="P33" s="100"/>
      <c r="Q33" s="104"/>
    </row>
    <row r="34" spans="1:17" s="99" customFormat="1" x14ac:dyDescent="0.25">
      <c r="A34" s="135">
        <f>Données!A34</f>
        <v>5437</v>
      </c>
      <c r="B34" s="270" t="str">
        <f>Données!B34</f>
        <v>Saubraz</v>
      </c>
      <c r="C34" s="645">
        <f>Données!AR34</f>
        <v>0</v>
      </c>
      <c r="D34" s="271">
        <f>Données!Z34</f>
        <v>449</v>
      </c>
      <c r="E34" s="101">
        <f>Données!X34</f>
        <v>80</v>
      </c>
      <c r="F34" s="31">
        <f>VPI!L34</f>
        <v>1259076.7500000002</v>
      </c>
      <c r="G34" s="8">
        <f t="shared" si="3"/>
        <v>31476.918750000004</v>
      </c>
      <c r="H34" s="26">
        <f t="shared" si="4"/>
        <v>40962.883768211905</v>
      </c>
      <c r="I34" s="8">
        <f t="shared" si="5"/>
        <v>31476.918750000004</v>
      </c>
      <c r="J34" s="8">
        <f>VPI!R34</f>
        <v>16749.450625000005</v>
      </c>
      <c r="K34" s="171">
        <f t="shared" si="6"/>
        <v>18868.340006461553</v>
      </c>
      <c r="L34" s="260">
        <f t="shared" si="7"/>
        <v>50345.258756461553</v>
      </c>
      <c r="M34" s="102"/>
      <c r="N34" s="103"/>
      <c r="O34" s="100"/>
      <c r="P34" s="100"/>
      <c r="Q34" s="104"/>
    </row>
    <row r="35" spans="1:17" s="99" customFormat="1" x14ac:dyDescent="0.25">
      <c r="A35" s="135">
        <f>Données!A35</f>
        <v>5451</v>
      </c>
      <c r="B35" s="270" t="str">
        <f>Données!B35</f>
        <v>Avenches</v>
      </c>
      <c r="C35" s="645">
        <f>Données!AR35</f>
        <v>0</v>
      </c>
      <c r="D35" s="271">
        <f>Données!Z35</f>
        <v>4873</v>
      </c>
      <c r="E35" s="101">
        <f>Données!X35</f>
        <v>65</v>
      </c>
      <c r="F35" s="31">
        <f>VPI!L35</f>
        <v>8192249.0099999988</v>
      </c>
      <c r="G35" s="8">
        <f t="shared" si="3"/>
        <v>252069.20030769228</v>
      </c>
      <c r="H35" s="26">
        <f t="shared" si="4"/>
        <v>444570.45123050472</v>
      </c>
      <c r="I35" s="8">
        <f t="shared" si="5"/>
        <v>252069.20030769228</v>
      </c>
      <c r="J35" s="8">
        <f>VPI!R35</f>
        <v>143864.88553846153</v>
      </c>
      <c r="K35" s="171">
        <f t="shared" si="6"/>
        <v>162064.51400135786</v>
      </c>
      <c r="L35" s="260">
        <f t="shared" si="7"/>
        <v>414133.71430905012</v>
      </c>
      <c r="M35" s="102"/>
      <c r="N35" s="103"/>
      <c r="O35" s="100"/>
      <c r="P35" s="100"/>
      <c r="Q35" s="104"/>
    </row>
    <row r="36" spans="1:17" s="99" customFormat="1" x14ac:dyDescent="0.25">
      <c r="A36" s="135">
        <f>Données!A36</f>
        <v>5456</v>
      </c>
      <c r="B36" s="270" t="str">
        <f>Données!B36</f>
        <v>Cudrefin</v>
      </c>
      <c r="C36" s="645">
        <f>Données!AR36</f>
        <v>0</v>
      </c>
      <c r="D36" s="271">
        <f>Données!Z36</f>
        <v>1878</v>
      </c>
      <c r="E36" s="101">
        <f>Données!X36</f>
        <v>59</v>
      </c>
      <c r="F36" s="31">
        <f>VPI!L36</f>
        <v>3780439.1699999995</v>
      </c>
      <c r="G36" s="8">
        <f t="shared" si="3"/>
        <v>128150.48033898303</v>
      </c>
      <c r="H36" s="26">
        <f t="shared" si="4"/>
        <v>171332.5071641469</v>
      </c>
      <c r="I36" s="8">
        <f t="shared" si="5"/>
        <v>128150.48033898303</v>
      </c>
      <c r="J36" s="8">
        <f>VPI!R36</f>
        <v>70775.484519773992</v>
      </c>
      <c r="K36" s="171">
        <f t="shared" si="6"/>
        <v>79728.937738884881</v>
      </c>
      <c r="L36" s="260">
        <f t="shared" si="7"/>
        <v>207879.41807786791</v>
      </c>
      <c r="M36" s="102"/>
      <c r="N36" s="103"/>
      <c r="O36" s="100"/>
      <c r="P36" s="100"/>
      <c r="Q36" s="104"/>
    </row>
    <row r="37" spans="1:17" s="99" customFormat="1" x14ac:dyDescent="0.25">
      <c r="A37" s="135">
        <f>Données!A37</f>
        <v>5458</v>
      </c>
      <c r="B37" s="270" t="str">
        <f>Données!B37</f>
        <v>Faoug</v>
      </c>
      <c r="C37" s="645">
        <f>Données!AR37</f>
        <v>0</v>
      </c>
      <c r="D37" s="271">
        <f>Données!Z37</f>
        <v>906</v>
      </c>
      <c r="E37" s="101">
        <f>Données!X37</f>
        <v>65</v>
      </c>
      <c r="F37" s="31">
        <f>VPI!L37</f>
        <v>1753596.4999999998</v>
      </c>
      <c r="G37" s="8">
        <f t="shared" si="3"/>
        <v>53956.81538461538</v>
      </c>
      <c r="H37" s="26">
        <f t="shared" si="4"/>
        <v>82655.61847216032</v>
      </c>
      <c r="I37" s="8">
        <f t="shared" si="5"/>
        <v>53956.81538461538</v>
      </c>
      <c r="J37" s="8">
        <f>VPI!R37</f>
        <v>30258.802820512818</v>
      </c>
      <c r="K37" s="171">
        <f t="shared" si="6"/>
        <v>34086.692906437551</v>
      </c>
      <c r="L37" s="260">
        <f t="shared" si="7"/>
        <v>88043.508291052931</v>
      </c>
      <c r="M37" s="102"/>
      <c r="N37" s="103"/>
      <c r="O37" s="100"/>
      <c r="P37" s="100"/>
      <c r="Q37" s="104"/>
    </row>
    <row r="38" spans="1:17" s="99" customFormat="1" x14ac:dyDescent="0.25">
      <c r="A38" s="135">
        <f>Données!A38</f>
        <v>5464</v>
      </c>
      <c r="B38" s="270" t="str">
        <f>Données!B38</f>
        <v>Vully-les-Lacs</v>
      </c>
      <c r="C38" s="645">
        <f>Données!AR38</f>
        <v>0</v>
      </c>
      <c r="D38" s="271">
        <f>Données!Z38</f>
        <v>3614</v>
      </c>
      <c r="E38" s="101">
        <f>Données!X38</f>
        <v>67</v>
      </c>
      <c r="F38" s="31">
        <f>VPI!L38</f>
        <v>7803453.6200000001</v>
      </c>
      <c r="G38" s="8">
        <f t="shared" si="3"/>
        <v>232938.91402985074</v>
      </c>
      <c r="H38" s="26">
        <f t="shared" si="4"/>
        <v>329710.16021897068</v>
      </c>
      <c r="I38" s="8">
        <f t="shared" si="5"/>
        <v>232938.91402985074</v>
      </c>
      <c r="J38" s="8">
        <f>VPI!R38</f>
        <v>128619.64756218906</v>
      </c>
      <c r="K38" s="171">
        <f t="shared" si="6"/>
        <v>144890.67707643911</v>
      </c>
      <c r="L38" s="260">
        <f t="shared" si="7"/>
        <v>377829.59110628988</v>
      </c>
      <c r="M38" s="102"/>
      <c r="N38" s="103"/>
      <c r="O38" s="100"/>
      <c r="P38" s="100"/>
      <c r="Q38" s="104"/>
    </row>
    <row r="39" spans="1:17" s="99" customFormat="1" x14ac:dyDescent="0.25">
      <c r="A39" s="135">
        <f>Données!A39</f>
        <v>5471</v>
      </c>
      <c r="B39" s="270" t="str">
        <f>Données!B39</f>
        <v>Bettens</v>
      </c>
      <c r="C39" s="645">
        <f>Données!AR39</f>
        <v>0</v>
      </c>
      <c r="D39" s="271">
        <f>Données!Z39</f>
        <v>644</v>
      </c>
      <c r="E39" s="101">
        <f>Données!X39</f>
        <v>70</v>
      </c>
      <c r="F39" s="31">
        <f>VPI!L39</f>
        <v>1516844.5900000003</v>
      </c>
      <c r="G39" s="8">
        <f t="shared" si="3"/>
        <v>43338.416857142867</v>
      </c>
      <c r="H39" s="26">
        <f t="shared" si="4"/>
        <v>58753.000326789457</v>
      </c>
      <c r="I39" s="8">
        <f t="shared" si="5"/>
        <v>43338.416857142867</v>
      </c>
      <c r="J39" s="8">
        <f>VPI!R39</f>
        <v>23731.223904761908</v>
      </c>
      <c r="K39" s="171">
        <f t="shared" si="6"/>
        <v>26733.342569229233</v>
      </c>
      <c r="L39" s="260">
        <f t="shared" si="7"/>
        <v>70071.759426372097</v>
      </c>
      <c r="M39" s="102"/>
      <c r="N39" s="103"/>
      <c r="O39" s="100"/>
      <c r="P39" s="100"/>
      <c r="Q39" s="104"/>
    </row>
    <row r="40" spans="1:17" s="99" customFormat="1" x14ac:dyDescent="0.25">
      <c r="A40" s="135">
        <f>Données!A40</f>
        <v>5472</v>
      </c>
      <c r="B40" s="270" t="str">
        <f>Données!B40</f>
        <v>Bournens</v>
      </c>
      <c r="C40" s="645">
        <f>Données!AR40</f>
        <v>0</v>
      </c>
      <c r="D40" s="271">
        <f>Données!Z40</f>
        <v>519</v>
      </c>
      <c r="E40" s="101">
        <f>Données!X40</f>
        <v>68</v>
      </c>
      <c r="F40" s="31">
        <f>VPI!L40</f>
        <v>1249776.56</v>
      </c>
      <c r="G40" s="8">
        <f t="shared" si="3"/>
        <v>36758.13411764706</v>
      </c>
      <c r="H40" s="26">
        <f t="shared" si="4"/>
        <v>47349.079455906409</v>
      </c>
      <c r="I40" s="8">
        <f t="shared" si="5"/>
        <v>36758.13411764706</v>
      </c>
      <c r="J40" s="8">
        <f>VPI!R40</f>
        <v>20138.90088235294</v>
      </c>
      <c r="K40" s="171">
        <f t="shared" si="6"/>
        <v>22686.572694957493</v>
      </c>
      <c r="L40" s="260">
        <f t="shared" si="7"/>
        <v>59444.706812604549</v>
      </c>
      <c r="M40" s="102"/>
      <c r="N40" s="103"/>
      <c r="O40" s="100"/>
      <c r="P40" s="100"/>
      <c r="Q40" s="104"/>
    </row>
    <row r="41" spans="1:17" s="99" customFormat="1" x14ac:dyDescent="0.25">
      <c r="A41" s="135">
        <f>Données!A41</f>
        <v>5473</v>
      </c>
      <c r="B41" s="270" t="str">
        <f>Données!B41</f>
        <v>Boussens</v>
      </c>
      <c r="C41" s="645">
        <f>Données!AR41</f>
        <v>0</v>
      </c>
      <c r="D41" s="271">
        <f>Données!Z41</f>
        <v>1023</v>
      </c>
      <c r="E41" s="101">
        <f>Données!X41</f>
        <v>66</v>
      </c>
      <c r="F41" s="31">
        <f>VPI!L41</f>
        <v>2343634.1700000009</v>
      </c>
      <c r="G41" s="8">
        <f t="shared" si="3"/>
        <v>71019.217272727299</v>
      </c>
      <c r="H41" s="26">
        <f t="shared" si="4"/>
        <v>93329.68840730685</v>
      </c>
      <c r="I41" s="8">
        <f t="shared" si="5"/>
        <v>71019.217272727299</v>
      </c>
      <c r="J41" s="8">
        <f>VPI!R41</f>
        <v>38661.720757575771</v>
      </c>
      <c r="K41" s="171">
        <f t="shared" si="6"/>
        <v>43552.622042420677</v>
      </c>
      <c r="L41" s="260">
        <f t="shared" si="7"/>
        <v>114571.83931514798</v>
      </c>
      <c r="M41" s="102"/>
      <c r="N41" s="103"/>
      <c r="O41" s="100"/>
      <c r="P41" s="100"/>
      <c r="Q41" s="104"/>
    </row>
    <row r="42" spans="1:17" s="99" customFormat="1" x14ac:dyDescent="0.25">
      <c r="A42" s="135">
        <f>Données!A42</f>
        <v>5474</v>
      </c>
      <c r="B42" s="270" t="str">
        <f>Données!B42</f>
        <v>La Chaux (Cossonay)</v>
      </c>
      <c r="C42" s="645">
        <f>Données!AR42</f>
        <v>0</v>
      </c>
      <c r="D42" s="271">
        <f>Données!Z42</f>
        <v>433</v>
      </c>
      <c r="E42" s="101">
        <f>Données!X42</f>
        <v>76</v>
      </c>
      <c r="F42" s="31">
        <f>VPI!L42</f>
        <v>1047215.2300000001</v>
      </c>
      <c r="G42" s="8">
        <f t="shared" si="3"/>
        <v>27558.295526315793</v>
      </c>
      <c r="H42" s="26">
        <f t="shared" si="4"/>
        <v>39503.181896738875</v>
      </c>
      <c r="I42" s="8">
        <f t="shared" si="5"/>
        <v>27558.295526315793</v>
      </c>
      <c r="J42" s="8">
        <f>VPI!R42</f>
        <v>14789.202587719299</v>
      </c>
      <c r="K42" s="171">
        <f t="shared" si="6"/>
        <v>16660.110775993209</v>
      </c>
      <c r="L42" s="260">
        <f t="shared" si="7"/>
        <v>44218.406302308998</v>
      </c>
      <c r="M42" s="102"/>
      <c r="N42" s="103"/>
      <c r="O42" s="100"/>
      <c r="P42" s="100"/>
      <c r="Q42" s="104"/>
    </row>
    <row r="43" spans="1:17" s="99" customFormat="1" x14ac:dyDescent="0.25">
      <c r="A43" s="135">
        <f>Données!A43</f>
        <v>5475</v>
      </c>
      <c r="B43" s="270" t="str">
        <f>Données!B43</f>
        <v>Chavannes-le-Veyron</v>
      </c>
      <c r="C43" s="645">
        <f>Données!AR43</f>
        <v>0</v>
      </c>
      <c r="D43" s="271">
        <f>Données!Z43</f>
        <v>158</v>
      </c>
      <c r="E43" s="101">
        <f>Données!X43</f>
        <v>75</v>
      </c>
      <c r="F43" s="31">
        <f>VPI!L43</f>
        <v>317163.90000000002</v>
      </c>
      <c r="G43" s="8">
        <f t="shared" si="3"/>
        <v>8457.7039999999997</v>
      </c>
      <c r="H43" s="26">
        <f t="shared" si="4"/>
        <v>14414.555980796171</v>
      </c>
      <c r="I43" s="8">
        <f t="shared" si="5"/>
        <v>8457.7039999999997</v>
      </c>
      <c r="J43" s="8">
        <f>VPI!R43</f>
        <v>4582.5893333333333</v>
      </c>
      <c r="K43" s="171">
        <f t="shared" si="6"/>
        <v>5162.3098325541214</v>
      </c>
      <c r="L43" s="260">
        <f t="shared" si="7"/>
        <v>13620.013832554121</v>
      </c>
      <c r="M43" s="102"/>
      <c r="N43" s="103"/>
      <c r="O43" s="100"/>
      <c r="P43" s="100"/>
      <c r="Q43" s="104"/>
    </row>
    <row r="44" spans="1:17" s="99" customFormat="1" x14ac:dyDescent="0.25">
      <c r="A44" s="135">
        <f>Données!A44</f>
        <v>5476</v>
      </c>
      <c r="B44" s="270" t="str">
        <f>Données!B44</f>
        <v>Chevilly</v>
      </c>
      <c r="C44" s="645">
        <f>Données!AR44</f>
        <v>0</v>
      </c>
      <c r="D44" s="271">
        <f>Données!Z44</f>
        <v>337</v>
      </c>
      <c r="E44" s="101">
        <f>Données!X44</f>
        <v>71</v>
      </c>
      <c r="F44" s="31">
        <f>VPI!L44</f>
        <v>888116.76000000013</v>
      </c>
      <c r="G44" s="8">
        <f t="shared" si="3"/>
        <v>25017.373521126763</v>
      </c>
      <c r="H44" s="26">
        <f t="shared" si="4"/>
        <v>30744.970667900696</v>
      </c>
      <c r="I44" s="8">
        <f t="shared" si="5"/>
        <v>25017.373521126763</v>
      </c>
      <c r="J44" s="8">
        <f>VPI!R44</f>
        <v>13414.448028169016</v>
      </c>
      <c r="K44" s="171">
        <f t="shared" si="6"/>
        <v>15111.442880204953</v>
      </c>
      <c r="L44" s="260">
        <f t="shared" si="7"/>
        <v>40128.816401331715</v>
      </c>
      <c r="M44" s="102"/>
      <c r="N44" s="103"/>
      <c r="O44" s="100"/>
      <c r="P44" s="100"/>
      <c r="Q44" s="104"/>
    </row>
    <row r="45" spans="1:17" s="99" customFormat="1" x14ac:dyDescent="0.25">
      <c r="A45" s="135">
        <f>Données!A45</f>
        <v>5477</v>
      </c>
      <c r="B45" s="270" t="str">
        <f>Données!B45</f>
        <v>Cossonay</v>
      </c>
      <c r="C45" s="645">
        <f>Données!AR45</f>
        <v>0</v>
      </c>
      <c r="D45" s="271">
        <f>Données!Z45</f>
        <v>4772</v>
      </c>
      <c r="E45" s="101">
        <f>Données!X45</f>
        <v>68</v>
      </c>
      <c r="F45" s="31">
        <f>VPI!L45</f>
        <v>9810982.7700000014</v>
      </c>
      <c r="G45" s="8">
        <f t="shared" si="3"/>
        <v>288558.31676470593</v>
      </c>
      <c r="H45" s="26">
        <f t="shared" si="4"/>
        <v>435356.08316683117</v>
      </c>
      <c r="I45" s="8">
        <f t="shared" si="5"/>
        <v>288558.31676470593</v>
      </c>
      <c r="J45" s="8">
        <f>VPI!R45</f>
        <v>157014.45764705885</v>
      </c>
      <c r="K45" s="171">
        <f t="shared" si="6"/>
        <v>176877.57283172759</v>
      </c>
      <c r="L45" s="260">
        <f t="shared" si="7"/>
        <v>465435.8895964335</v>
      </c>
      <c r="M45" s="102"/>
      <c r="N45" s="103"/>
      <c r="O45" s="100"/>
      <c r="P45" s="100"/>
      <c r="Q45" s="104"/>
    </row>
    <row r="46" spans="1:17" s="99" customFormat="1" x14ac:dyDescent="0.25">
      <c r="A46" s="135">
        <f>Données!A46</f>
        <v>5479</v>
      </c>
      <c r="B46" s="270" t="str">
        <f>Données!B46</f>
        <v>Cuarnens</v>
      </c>
      <c r="C46" s="645">
        <f>Données!AR46</f>
        <v>0</v>
      </c>
      <c r="D46" s="271">
        <f>Données!Z46</f>
        <v>541</v>
      </c>
      <c r="E46" s="101">
        <f>Données!X46</f>
        <v>76</v>
      </c>
      <c r="F46" s="31">
        <f>VPI!L46</f>
        <v>1329048.42</v>
      </c>
      <c r="G46" s="8">
        <f t="shared" si="3"/>
        <v>34974.95842105263</v>
      </c>
      <c r="H46" s="26">
        <f t="shared" si="4"/>
        <v>49356.169529181825</v>
      </c>
      <c r="I46" s="8">
        <f t="shared" si="5"/>
        <v>34974.95842105263</v>
      </c>
      <c r="J46" s="8">
        <f>VPI!R46</f>
        <v>18824.412763157892</v>
      </c>
      <c r="K46" s="171">
        <f t="shared" si="6"/>
        <v>21205.795246029891</v>
      </c>
      <c r="L46" s="260">
        <f t="shared" si="7"/>
        <v>56180.753667082521</v>
      </c>
      <c r="M46" s="102"/>
      <c r="N46" s="103"/>
      <c r="O46" s="100"/>
      <c r="P46" s="100"/>
      <c r="Q46" s="104"/>
    </row>
    <row r="47" spans="1:17" s="99" customFormat="1" x14ac:dyDescent="0.25">
      <c r="A47" s="135">
        <f>Données!A47</f>
        <v>5480</v>
      </c>
      <c r="B47" s="270" t="str">
        <f>Données!B47</f>
        <v>Daillens</v>
      </c>
      <c r="C47" s="645">
        <f>Données!AR47</f>
        <v>0</v>
      </c>
      <c r="D47" s="271">
        <f>Données!Z47</f>
        <v>1062</v>
      </c>
      <c r="E47" s="101">
        <f>Données!X47</f>
        <v>66</v>
      </c>
      <c r="F47" s="31">
        <f>VPI!L47</f>
        <v>2899360.0200000005</v>
      </c>
      <c r="G47" s="8">
        <f t="shared" si="3"/>
        <v>87859.394545454561</v>
      </c>
      <c r="H47" s="26">
        <f t="shared" si="4"/>
        <v>96887.711719022365</v>
      </c>
      <c r="I47" s="8">
        <f t="shared" si="5"/>
        <v>87859.394545454561</v>
      </c>
      <c r="J47" s="8">
        <f>VPI!R47</f>
        <v>49216.067727272741</v>
      </c>
      <c r="K47" s="171">
        <f t="shared" si="6"/>
        <v>55442.146757528128</v>
      </c>
      <c r="L47" s="260">
        <f t="shared" si="7"/>
        <v>143301.54130298269</v>
      </c>
      <c r="M47" s="102"/>
      <c r="N47" s="103"/>
      <c r="O47" s="100"/>
      <c r="P47" s="100"/>
      <c r="Q47" s="104"/>
    </row>
    <row r="48" spans="1:17" s="99" customFormat="1" x14ac:dyDescent="0.25">
      <c r="A48" s="135">
        <f>Données!A48</f>
        <v>5481</v>
      </c>
      <c r="B48" s="270" t="str">
        <f>Données!B48</f>
        <v>Dizy</v>
      </c>
      <c r="C48" s="645">
        <f>Données!AR48</f>
        <v>0</v>
      </c>
      <c r="D48" s="271">
        <f>Données!Z48</f>
        <v>237</v>
      </c>
      <c r="E48" s="101">
        <f>Données!X48</f>
        <v>75</v>
      </c>
      <c r="F48" s="31">
        <f>VPI!L48</f>
        <v>629170.54</v>
      </c>
      <c r="G48" s="8">
        <f t="shared" si="3"/>
        <v>16777.881066666669</v>
      </c>
      <c r="H48" s="26">
        <f t="shared" si="4"/>
        <v>21621.833971194257</v>
      </c>
      <c r="I48" s="8">
        <f t="shared" si="5"/>
        <v>16777.881066666669</v>
      </c>
      <c r="J48" s="8">
        <f>VPI!R48</f>
        <v>8943.6092000000008</v>
      </c>
      <c r="K48" s="171">
        <f t="shared" si="6"/>
        <v>10075.020551339281</v>
      </c>
      <c r="L48" s="260">
        <f t="shared" si="7"/>
        <v>26852.901618005948</v>
      </c>
      <c r="M48" s="102"/>
      <c r="N48" s="103"/>
      <c r="O48" s="100"/>
      <c r="P48" s="100"/>
      <c r="Q48" s="104"/>
    </row>
    <row r="49" spans="1:17" s="99" customFormat="1" x14ac:dyDescent="0.25">
      <c r="A49" s="135">
        <f>Données!A49</f>
        <v>5482</v>
      </c>
      <c r="B49" s="270" t="str">
        <f>Données!B49</f>
        <v>Eclépens</v>
      </c>
      <c r="C49" s="645">
        <f>Données!AR49</f>
        <v>0</v>
      </c>
      <c r="D49" s="271">
        <f>Données!Z49</f>
        <v>1182</v>
      </c>
      <c r="E49" s="101">
        <f>Données!X49</f>
        <v>46</v>
      </c>
      <c r="F49" s="31">
        <f>VPI!L49</f>
        <v>2182035.1900000004</v>
      </c>
      <c r="G49" s="8">
        <f t="shared" si="3"/>
        <v>94871.095217391325</v>
      </c>
      <c r="H49" s="26">
        <f t="shared" si="4"/>
        <v>107835.47575507009</v>
      </c>
      <c r="I49" s="8">
        <f t="shared" si="5"/>
        <v>94871.095217391325</v>
      </c>
      <c r="J49" s="8">
        <f>VPI!R49</f>
        <v>57580.307391304363</v>
      </c>
      <c r="K49" s="171">
        <f t="shared" si="6"/>
        <v>64864.504625249559</v>
      </c>
      <c r="L49" s="260">
        <f t="shared" si="7"/>
        <v>159735.59984264089</v>
      </c>
      <c r="M49" s="102"/>
      <c r="N49" s="103"/>
      <c r="O49" s="100"/>
      <c r="P49" s="100"/>
      <c r="Q49" s="104"/>
    </row>
    <row r="50" spans="1:17" s="99" customFormat="1" x14ac:dyDescent="0.25">
      <c r="A50" s="135">
        <f>Données!A50</f>
        <v>5483</v>
      </c>
      <c r="B50" s="270" t="str">
        <f>Données!B50</f>
        <v>Ferreyres</v>
      </c>
      <c r="C50" s="645">
        <f>Données!AR50</f>
        <v>0</v>
      </c>
      <c r="D50" s="271">
        <f>Données!Z50</f>
        <v>319</v>
      </c>
      <c r="E50" s="101">
        <f>Données!X50</f>
        <v>76</v>
      </c>
      <c r="F50" s="31">
        <f>VPI!L50</f>
        <v>846354.05999999994</v>
      </c>
      <c r="G50" s="8">
        <f t="shared" si="3"/>
        <v>22272.475263157892</v>
      </c>
      <c r="H50" s="26">
        <f t="shared" si="4"/>
        <v>29102.806062493535</v>
      </c>
      <c r="I50" s="8">
        <f t="shared" si="5"/>
        <v>22272.475263157892</v>
      </c>
      <c r="J50" s="8">
        <f>VPI!R50</f>
        <v>11908.696842105262</v>
      </c>
      <c r="K50" s="171">
        <f t="shared" si="6"/>
        <v>13415.206628648275</v>
      </c>
      <c r="L50" s="260">
        <f t="shared" si="7"/>
        <v>35687.681891806169</v>
      </c>
      <c r="M50" s="102"/>
      <c r="N50" s="103"/>
      <c r="O50" s="100"/>
      <c r="P50" s="100"/>
      <c r="Q50" s="104"/>
    </row>
    <row r="51" spans="1:17" s="99" customFormat="1" x14ac:dyDescent="0.25">
      <c r="A51" s="135">
        <f>Données!A51</f>
        <v>5484</v>
      </c>
      <c r="B51" s="270" t="str">
        <f>Données!B51</f>
        <v>Gollion</v>
      </c>
      <c r="C51" s="645">
        <f>Données!AR51</f>
        <v>0</v>
      </c>
      <c r="D51" s="271">
        <f>Données!Z51</f>
        <v>1064</v>
      </c>
      <c r="E51" s="101">
        <f>Données!X51</f>
        <v>74</v>
      </c>
      <c r="F51" s="31">
        <f>VPI!L51</f>
        <v>2361686.1800000002</v>
      </c>
      <c r="G51" s="8">
        <f t="shared" si="3"/>
        <v>63829.35621621622</v>
      </c>
      <c r="H51" s="26">
        <f t="shared" si="4"/>
        <v>97070.174452956489</v>
      </c>
      <c r="I51" s="8">
        <f t="shared" si="5"/>
        <v>63829.35621621622</v>
      </c>
      <c r="J51" s="8">
        <f>VPI!R51</f>
        <v>34768.807162162164</v>
      </c>
      <c r="K51" s="171">
        <f t="shared" si="6"/>
        <v>39167.235382370702</v>
      </c>
      <c r="L51" s="260">
        <f t="shared" si="7"/>
        <v>102996.59159858692</v>
      </c>
      <c r="M51" s="102"/>
      <c r="N51" s="103"/>
      <c r="O51" s="100"/>
      <c r="P51" s="100"/>
      <c r="Q51" s="104"/>
    </row>
    <row r="52" spans="1:17" s="99" customFormat="1" x14ac:dyDescent="0.25">
      <c r="A52" s="135">
        <f>Données!A52</f>
        <v>5485</v>
      </c>
      <c r="B52" s="270" t="str">
        <f>Données!B52</f>
        <v>Grancy</v>
      </c>
      <c r="C52" s="645">
        <f>Données!AR52</f>
        <v>0</v>
      </c>
      <c r="D52" s="271">
        <f>Données!Z52</f>
        <v>547</v>
      </c>
      <c r="E52" s="101">
        <f>Données!X52</f>
        <v>70</v>
      </c>
      <c r="F52" s="31">
        <f>VPI!L52</f>
        <v>1958592.74</v>
      </c>
      <c r="G52" s="8">
        <f t="shared" si="3"/>
        <v>55959.792571428574</v>
      </c>
      <c r="H52" s="26">
        <f t="shared" si="4"/>
        <v>49903.557730984212</v>
      </c>
      <c r="I52" s="8">
        <f t="shared" si="5"/>
        <v>49903.557730984212</v>
      </c>
      <c r="J52" s="8">
        <f>VPI!R52</f>
        <v>29330.080571428571</v>
      </c>
      <c r="K52" s="171">
        <f t="shared" si="6"/>
        <v>33040.482642016577</v>
      </c>
      <c r="L52" s="260">
        <f t="shared" si="7"/>
        <v>82944.040373000782</v>
      </c>
      <c r="M52" s="102"/>
      <c r="N52" s="103"/>
      <c r="O52" s="100"/>
      <c r="P52" s="100"/>
      <c r="Q52" s="104"/>
    </row>
    <row r="53" spans="1:17" s="99" customFormat="1" x14ac:dyDescent="0.25">
      <c r="A53" s="135">
        <f>Données!A53</f>
        <v>5486</v>
      </c>
      <c r="B53" s="270" t="str">
        <f>Données!B53</f>
        <v>L'Isle</v>
      </c>
      <c r="C53" s="645">
        <f>Données!AR53</f>
        <v>0</v>
      </c>
      <c r="D53" s="271">
        <f>Données!Z53</f>
        <v>1088</v>
      </c>
      <c r="E53" s="101">
        <f>Données!X53</f>
        <v>75</v>
      </c>
      <c r="F53" s="31">
        <f>VPI!L53</f>
        <v>2327556.4199999995</v>
      </c>
      <c r="G53" s="8">
        <f t="shared" si="3"/>
        <v>62068.171199999982</v>
      </c>
      <c r="H53" s="26">
        <f t="shared" si="4"/>
        <v>99259.727260166037</v>
      </c>
      <c r="I53" s="8">
        <f t="shared" si="5"/>
        <v>62068.171199999982</v>
      </c>
      <c r="J53" s="8">
        <f>VPI!R53</f>
        <v>33915.013599999991</v>
      </c>
      <c r="K53" s="171">
        <f t="shared" si="6"/>
        <v>38205.432658993093</v>
      </c>
      <c r="L53" s="260">
        <f t="shared" si="7"/>
        <v>100273.60385899307</v>
      </c>
      <c r="M53" s="102"/>
      <c r="N53" s="103"/>
      <c r="O53" s="100"/>
      <c r="P53" s="100"/>
      <c r="Q53" s="104"/>
    </row>
    <row r="54" spans="1:17" s="99" customFormat="1" x14ac:dyDescent="0.25">
      <c r="A54" s="135">
        <f>Données!A54</f>
        <v>5487</v>
      </c>
      <c r="B54" s="270" t="str">
        <f>Données!B54</f>
        <v>Lussery-Villars</v>
      </c>
      <c r="C54" s="645">
        <f>Données!AR54</f>
        <v>0</v>
      </c>
      <c r="D54" s="271">
        <f>Données!Z54</f>
        <v>473</v>
      </c>
      <c r="E54" s="101">
        <f>Données!X54</f>
        <v>75</v>
      </c>
      <c r="F54" s="31">
        <f>VPI!L54</f>
        <v>1034621.43</v>
      </c>
      <c r="G54" s="8">
        <f t="shared" si="3"/>
        <v>27589.9048</v>
      </c>
      <c r="H54" s="26">
        <f t="shared" si="4"/>
        <v>43152.436575421452</v>
      </c>
      <c r="I54" s="8">
        <f t="shared" si="5"/>
        <v>27589.9048</v>
      </c>
      <c r="J54" s="8">
        <f>VPI!R54</f>
        <v>14930.073733333335</v>
      </c>
      <c r="K54" s="171">
        <f t="shared" si="6"/>
        <v>16818.802826977739</v>
      </c>
      <c r="L54" s="260">
        <f t="shared" si="7"/>
        <v>44408.707626977739</v>
      </c>
      <c r="M54" s="102"/>
      <c r="N54" s="103"/>
      <c r="O54" s="100"/>
      <c r="P54" s="100"/>
      <c r="Q54" s="104"/>
    </row>
    <row r="55" spans="1:17" s="99" customFormat="1" x14ac:dyDescent="0.25">
      <c r="A55" s="135">
        <f>Données!A55</f>
        <v>5488</v>
      </c>
      <c r="B55" s="270" t="str">
        <f>Données!B55</f>
        <v>Mauraz</v>
      </c>
      <c r="C55" s="645">
        <f>Données!AR55</f>
        <v>0</v>
      </c>
      <c r="D55" s="271">
        <f>Données!Z55</f>
        <v>64</v>
      </c>
      <c r="E55" s="101">
        <f>Données!X55</f>
        <v>77</v>
      </c>
      <c r="F55" s="31">
        <f>VPI!L55</f>
        <v>132482.10999999999</v>
      </c>
      <c r="G55" s="8">
        <f t="shared" si="3"/>
        <v>3441.093766233766</v>
      </c>
      <c r="H55" s="26">
        <f t="shared" si="4"/>
        <v>5838.80748589212</v>
      </c>
      <c r="I55" s="8">
        <f t="shared" si="5"/>
        <v>3441.093766233766</v>
      </c>
      <c r="J55" s="8">
        <f>VPI!R55</f>
        <v>1845.4819480519479</v>
      </c>
      <c r="K55" s="171">
        <f t="shared" si="6"/>
        <v>2078.9446562299509</v>
      </c>
      <c r="L55" s="260">
        <f t="shared" si="7"/>
        <v>5520.0384224637164</v>
      </c>
      <c r="M55" s="102"/>
      <c r="N55" s="103"/>
      <c r="O55" s="100"/>
      <c r="P55" s="100"/>
      <c r="Q55" s="104"/>
    </row>
    <row r="56" spans="1:17" s="99" customFormat="1" x14ac:dyDescent="0.25">
      <c r="A56" s="135">
        <f>Données!A56</f>
        <v>5489</v>
      </c>
      <c r="B56" s="270" t="str">
        <f>Données!B56</f>
        <v>Mex</v>
      </c>
      <c r="C56" s="645">
        <f>Données!AR56</f>
        <v>0</v>
      </c>
      <c r="D56" s="271">
        <f>Données!Z56</f>
        <v>816</v>
      </c>
      <c r="E56" s="101">
        <f>Données!X56</f>
        <v>59.5</v>
      </c>
      <c r="F56" s="31">
        <f>VPI!L56</f>
        <v>3346815.0799999991</v>
      </c>
      <c r="G56" s="8">
        <f t="shared" si="3"/>
        <v>112497.98588235291</v>
      </c>
      <c r="H56" s="26">
        <f t="shared" si="4"/>
        <v>74444.795445124531</v>
      </c>
      <c r="I56" s="8">
        <f t="shared" si="5"/>
        <v>74444.795445124531</v>
      </c>
      <c r="J56" s="8">
        <f>VPI!R56</f>
        <v>61579.806386554606</v>
      </c>
      <c r="K56" s="171">
        <f t="shared" si="6"/>
        <v>69369.960271970689</v>
      </c>
      <c r="L56" s="260">
        <f t="shared" si="7"/>
        <v>143814.75571709522</v>
      </c>
      <c r="M56" s="102"/>
      <c r="N56" s="103"/>
      <c r="O56" s="100"/>
      <c r="P56" s="100"/>
      <c r="Q56" s="104"/>
    </row>
    <row r="57" spans="1:17" s="99" customFormat="1" x14ac:dyDescent="0.25">
      <c r="A57" s="135">
        <f>Données!A57</f>
        <v>5490</v>
      </c>
      <c r="B57" s="270" t="str">
        <f>Données!B57</f>
        <v>Moiry</v>
      </c>
      <c r="C57" s="645">
        <f>Données!AR57</f>
        <v>0</v>
      </c>
      <c r="D57" s="271">
        <f>Données!Z57</f>
        <v>297</v>
      </c>
      <c r="E57" s="101">
        <f>Données!X57</f>
        <v>76</v>
      </c>
      <c r="F57" s="31">
        <f>VPI!L57</f>
        <v>646388.77999999991</v>
      </c>
      <c r="G57" s="8">
        <f t="shared" si="3"/>
        <v>17010.231052631578</v>
      </c>
      <c r="H57" s="26">
        <f t="shared" si="4"/>
        <v>27095.715989218119</v>
      </c>
      <c r="I57" s="8">
        <f t="shared" si="5"/>
        <v>17010.231052631578</v>
      </c>
      <c r="J57" s="8">
        <f>VPI!R57</f>
        <v>9143.6155263157889</v>
      </c>
      <c r="K57" s="171">
        <f t="shared" si="6"/>
        <v>10300.328679519729</v>
      </c>
      <c r="L57" s="260">
        <f t="shared" si="7"/>
        <v>27310.559732151305</v>
      </c>
      <c r="M57" s="102"/>
      <c r="N57" s="103"/>
      <c r="O57" s="100"/>
      <c r="P57" s="100"/>
      <c r="Q57" s="104"/>
    </row>
    <row r="58" spans="1:17" s="99" customFormat="1" x14ac:dyDescent="0.25">
      <c r="A58" s="135">
        <f>Données!A58</f>
        <v>5491</v>
      </c>
      <c r="B58" s="270" t="str">
        <f>Données!B58</f>
        <v>Mont-la-Ville</v>
      </c>
      <c r="C58" s="645">
        <f>Données!AR58</f>
        <v>0</v>
      </c>
      <c r="D58" s="271">
        <f>Données!Z58</f>
        <v>497</v>
      </c>
      <c r="E58" s="101">
        <f>Données!X58</f>
        <v>76</v>
      </c>
      <c r="F58" s="31">
        <f>VPI!L58</f>
        <v>1002851.3699999999</v>
      </c>
      <c r="G58" s="8">
        <f t="shared" si="3"/>
        <v>26390.825526315788</v>
      </c>
      <c r="H58" s="26">
        <f t="shared" si="4"/>
        <v>45341.989382630993</v>
      </c>
      <c r="I58" s="8">
        <f t="shared" si="5"/>
        <v>26390.825526315788</v>
      </c>
      <c r="J58" s="8">
        <f>VPI!R58</f>
        <v>14485.97789473684</v>
      </c>
      <c r="K58" s="171">
        <f t="shared" si="6"/>
        <v>16318.526640868899</v>
      </c>
      <c r="L58" s="260">
        <f t="shared" si="7"/>
        <v>42709.352167184683</v>
      </c>
      <c r="M58" s="102"/>
      <c r="N58" s="103"/>
      <c r="O58" s="100"/>
      <c r="P58" s="100"/>
      <c r="Q58" s="104"/>
    </row>
    <row r="59" spans="1:17" s="99" customFormat="1" x14ac:dyDescent="0.25">
      <c r="A59" s="135">
        <f>Données!A59</f>
        <v>5492</v>
      </c>
      <c r="B59" s="270" t="str">
        <f>Données!B59</f>
        <v>Montricher</v>
      </c>
      <c r="C59" s="645">
        <f>Données!AR59</f>
        <v>0</v>
      </c>
      <c r="D59" s="271">
        <f>Données!Z59</f>
        <v>962</v>
      </c>
      <c r="E59" s="101">
        <f>Données!X59</f>
        <v>64</v>
      </c>
      <c r="F59" s="31">
        <f>VPI!L59</f>
        <v>12292076.049999999</v>
      </c>
      <c r="G59" s="8">
        <f t="shared" si="3"/>
        <v>384127.37656249997</v>
      </c>
      <c r="H59" s="26">
        <f t="shared" si="4"/>
        <v>87764.575022315927</v>
      </c>
      <c r="I59" s="8">
        <f t="shared" si="5"/>
        <v>87764.575022315927</v>
      </c>
      <c r="J59" s="8">
        <f>VPI!R59</f>
        <v>196115.50781249997</v>
      </c>
      <c r="K59" s="171">
        <f t="shared" si="6"/>
        <v>220925.10165216928</v>
      </c>
      <c r="L59" s="260">
        <f t="shared" si="7"/>
        <v>308689.67667448521</v>
      </c>
      <c r="M59" s="102"/>
      <c r="N59" s="103"/>
      <c r="O59" s="100"/>
      <c r="P59" s="100"/>
      <c r="Q59" s="104"/>
    </row>
    <row r="60" spans="1:17" s="99" customFormat="1" x14ac:dyDescent="0.25">
      <c r="A60" s="135">
        <f>Données!A60</f>
        <v>5493</v>
      </c>
      <c r="B60" s="270" t="str">
        <f>Données!B60</f>
        <v>Orny</v>
      </c>
      <c r="C60" s="645">
        <f>Données!AR60</f>
        <v>0</v>
      </c>
      <c r="D60" s="271">
        <f>Données!Z60</f>
        <v>500</v>
      </c>
      <c r="E60" s="101">
        <f>Données!X60</f>
        <v>73</v>
      </c>
      <c r="F60" s="31">
        <f>VPI!L60</f>
        <v>1020189.29</v>
      </c>
      <c r="G60" s="8">
        <f t="shared" si="3"/>
        <v>27950.391506849315</v>
      </c>
      <c r="H60" s="26">
        <f t="shared" si="4"/>
        <v>45615.683483532186</v>
      </c>
      <c r="I60" s="8">
        <f t="shared" si="5"/>
        <v>27950.391506849315</v>
      </c>
      <c r="J60" s="8">
        <f>VPI!R60</f>
        <v>15159.363245521601</v>
      </c>
      <c r="K60" s="171">
        <f t="shared" si="6"/>
        <v>17077.098610686997</v>
      </c>
      <c r="L60" s="260">
        <f t="shared" si="7"/>
        <v>45027.490117536312</v>
      </c>
      <c r="M60" s="102"/>
      <c r="N60" s="103"/>
      <c r="O60" s="100"/>
      <c r="P60" s="100"/>
      <c r="Q60" s="104"/>
    </row>
    <row r="61" spans="1:17" s="99" customFormat="1" x14ac:dyDescent="0.25">
      <c r="A61" s="135">
        <f>Données!A61</f>
        <v>5495</v>
      </c>
      <c r="B61" s="270" t="str">
        <f>Données!B61</f>
        <v>Penthalaz</v>
      </c>
      <c r="C61" s="645">
        <f>Données!AR61</f>
        <v>0</v>
      </c>
      <c r="D61" s="271">
        <f>Données!Z61</f>
        <v>3199</v>
      </c>
      <c r="E61" s="101">
        <f>Données!X61</f>
        <v>72.5</v>
      </c>
      <c r="F61" s="31">
        <f>VPI!L61</f>
        <v>6367646.1500000004</v>
      </c>
      <c r="G61" s="8">
        <f t="shared" si="3"/>
        <v>175659.20413793105</v>
      </c>
      <c r="H61" s="26">
        <f t="shared" si="4"/>
        <v>291849.14292763895</v>
      </c>
      <c r="I61" s="8">
        <f t="shared" si="5"/>
        <v>175659.20413793105</v>
      </c>
      <c r="J61" s="8">
        <f>VPI!R61</f>
        <v>95849.092413793114</v>
      </c>
      <c r="K61" s="171">
        <f t="shared" si="6"/>
        <v>107974.48259436285</v>
      </c>
      <c r="L61" s="260">
        <f t="shared" si="7"/>
        <v>283633.68673229392</v>
      </c>
      <c r="M61" s="102"/>
      <c r="N61" s="103"/>
      <c r="O61" s="100"/>
      <c r="P61" s="100"/>
      <c r="Q61" s="104"/>
    </row>
    <row r="62" spans="1:17" s="99" customFormat="1" x14ac:dyDescent="0.25">
      <c r="A62" s="135">
        <f>Données!A62</f>
        <v>5496</v>
      </c>
      <c r="B62" s="270" t="str">
        <f>Données!B62</f>
        <v>Penthaz</v>
      </c>
      <c r="C62" s="645">
        <f>Données!AR62</f>
        <v>0</v>
      </c>
      <c r="D62" s="271">
        <f>Données!Z62</f>
        <v>1899</v>
      </c>
      <c r="E62" s="101">
        <f>Données!X62</f>
        <v>69.5</v>
      </c>
      <c r="F62" s="31">
        <f>VPI!L62</f>
        <v>4260984.1899999995</v>
      </c>
      <c r="G62" s="8">
        <f t="shared" si="3"/>
        <v>122618.25007194243</v>
      </c>
      <c r="H62" s="26">
        <f t="shared" si="4"/>
        <v>173248.36587045525</v>
      </c>
      <c r="I62" s="8">
        <f t="shared" si="5"/>
        <v>122618.25007194243</v>
      </c>
      <c r="J62" s="8">
        <f>VPI!R62</f>
        <v>67087.565323741001</v>
      </c>
      <c r="K62" s="171">
        <f t="shared" si="6"/>
        <v>75574.478296302012</v>
      </c>
      <c r="L62" s="260">
        <f t="shared" si="7"/>
        <v>198192.72836824442</v>
      </c>
      <c r="M62" s="102"/>
      <c r="N62" s="103"/>
      <c r="O62" s="100"/>
      <c r="P62" s="100"/>
      <c r="Q62" s="104"/>
    </row>
    <row r="63" spans="1:17" s="99" customFormat="1" x14ac:dyDescent="0.25">
      <c r="A63" s="135">
        <f>Données!A63</f>
        <v>5497</v>
      </c>
      <c r="B63" s="270" t="str">
        <f>Données!B63</f>
        <v>Pompaples</v>
      </c>
      <c r="C63" s="645">
        <f>Données!AR63</f>
        <v>0</v>
      </c>
      <c r="D63" s="271">
        <f>Données!Z63</f>
        <v>926</v>
      </c>
      <c r="E63" s="101">
        <f>Données!X63</f>
        <v>66</v>
      </c>
      <c r="F63" s="31">
        <f>VPI!L63</f>
        <v>1537714.7700000003</v>
      </c>
      <c r="G63" s="8">
        <f t="shared" si="3"/>
        <v>46597.417272727282</v>
      </c>
      <c r="H63" s="26">
        <f t="shared" si="4"/>
        <v>84480.245811501605</v>
      </c>
      <c r="I63" s="8">
        <f t="shared" si="5"/>
        <v>46597.417272727282</v>
      </c>
      <c r="J63" s="8">
        <f>VPI!R63</f>
        <v>25508.981363636369</v>
      </c>
      <c r="K63" s="171">
        <f t="shared" si="6"/>
        <v>28735.995249252068</v>
      </c>
      <c r="L63" s="260">
        <f t="shared" si="7"/>
        <v>75333.41252197935</v>
      </c>
      <c r="M63" s="102"/>
      <c r="N63" s="103"/>
      <c r="O63" s="100"/>
      <c r="P63" s="100"/>
      <c r="Q63" s="104"/>
    </row>
    <row r="64" spans="1:17" s="99" customFormat="1" x14ac:dyDescent="0.25">
      <c r="A64" s="135">
        <f>Données!A64</f>
        <v>5498</v>
      </c>
      <c r="B64" s="270" t="str">
        <f>Données!B64</f>
        <v>La Sarraz</v>
      </c>
      <c r="C64" s="645">
        <f>Données!AR64</f>
        <v>0</v>
      </c>
      <c r="D64" s="271">
        <f>Données!Z64</f>
        <v>2599</v>
      </c>
      <c r="E64" s="101">
        <f>Données!X64</f>
        <v>66</v>
      </c>
      <c r="F64" s="31">
        <f>VPI!L64</f>
        <v>4708394.5500000007</v>
      </c>
      <c r="G64" s="8">
        <f t="shared" si="3"/>
        <v>142678.62272727274</v>
      </c>
      <c r="H64" s="26">
        <f t="shared" si="4"/>
        <v>237110.32274740032</v>
      </c>
      <c r="I64" s="8">
        <f t="shared" si="5"/>
        <v>142678.62272727274</v>
      </c>
      <c r="J64" s="8">
        <f>VPI!R64</f>
        <v>78158.734848484863</v>
      </c>
      <c r="K64" s="171">
        <f t="shared" si="6"/>
        <v>88046.206207798357</v>
      </c>
      <c r="L64" s="260">
        <f t="shared" si="7"/>
        <v>230724.8289350711</v>
      </c>
      <c r="M64" s="102"/>
      <c r="N64" s="103"/>
      <c r="O64" s="100"/>
      <c r="P64" s="100"/>
      <c r="Q64" s="104"/>
    </row>
    <row r="65" spans="1:17" s="99" customFormat="1" x14ac:dyDescent="0.25">
      <c r="A65" s="135">
        <f>Données!A65</f>
        <v>5499</v>
      </c>
      <c r="B65" s="270" t="str">
        <f>Données!B65</f>
        <v>Senarclens</v>
      </c>
      <c r="C65" s="645">
        <f>Données!AR65</f>
        <v>0</v>
      </c>
      <c r="D65" s="271">
        <f>Données!Z65</f>
        <v>491</v>
      </c>
      <c r="E65" s="101">
        <f>Données!X65</f>
        <v>68.5</v>
      </c>
      <c r="F65" s="31">
        <f>VPI!L65</f>
        <v>1647006.95</v>
      </c>
      <c r="G65" s="8">
        <f t="shared" si="3"/>
        <v>48087.794160583937</v>
      </c>
      <c r="H65" s="26">
        <f t="shared" si="4"/>
        <v>44794.601180828606</v>
      </c>
      <c r="I65" s="8">
        <f t="shared" si="5"/>
        <v>44794.601180828606</v>
      </c>
      <c r="J65" s="8">
        <f>VPI!R65</f>
        <v>25627.946715328464</v>
      </c>
      <c r="K65" s="171">
        <f t="shared" si="6"/>
        <v>28870.010313684354</v>
      </c>
      <c r="L65" s="260">
        <f t="shared" si="7"/>
        <v>73664.611494512967</v>
      </c>
      <c r="M65" s="102"/>
      <c r="N65" s="103"/>
      <c r="O65" s="100"/>
      <c r="P65" s="100"/>
      <c r="Q65" s="104"/>
    </row>
    <row r="66" spans="1:17" s="99" customFormat="1" x14ac:dyDescent="0.25">
      <c r="A66" s="135">
        <f>Données!A66</f>
        <v>5501</v>
      </c>
      <c r="B66" s="270" t="str">
        <f>Données!B66</f>
        <v>Sullens</v>
      </c>
      <c r="C66" s="645">
        <f>Données!AR66</f>
        <v>0</v>
      </c>
      <c r="D66" s="271">
        <f>Données!Z66</f>
        <v>1198</v>
      </c>
      <c r="E66" s="101">
        <f>Données!X66</f>
        <v>64</v>
      </c>
      <c r="F66" s="31">
        <f>VPI!L66</f>
        <v>3204795.6700000004</v>
      </c>
      <c r="G66" s="8">
        <f t="shared" si="3"/>
        <v>100149.86468750001</v>
      </c>
      <c r="H66" s="26">
        <f t="shared" si="4"/>
        <v>109295.17762654313</v>
      </c>
      <c r="I66" s="8">
        <f t="shared" si="5"/>
        <v>100149.86468750001</v>
      </c>
      <c r="J66" s="8">
        <f>VPI!R66</f>
        <v>54206.164375000008</v>
      </c>
      <c r="K66" s="171">
        <f t="shared" si="6"/>
        <v>61063.515620449987</v>
      </c>
      <c r="L66" s="260">
        <f t="shared" si="7"/>
        <v>161213.38030794999</v>
      </c>
      <c r="M66" s="102"/>
      <c r="N66" s="103"/>
      <c r="O66" s="100"/>
      <c r="P66" s="100"/>
      <c r="Q66" s="104"/>
    </row>
    <row r="67" spans="1:17" s="99" customFormat="1" x14ac:dyDescent="0.25">
      <c r="A67" s="135">
        <f>Données!A67</f>
        <v>5503</v>
      </c>
      <c r="B67" s="270" t="str">
        <f>Données!B67</f>
        <v>Vufflens-la-Ville</v>
      </c>
      <c r="C67" s="645">
        <f>Données!AR67</f>
        <v>0</v>
      </c>
      <c r="D67" s="271">
        <f>Données!Z67</f>
        <v>1336</v>
      </c>
      <c r="E67" s="101">
        <f>Données!X67</f>
        <v>67</v>
      </c>
      <c r="F67" s="31">
        <f>VPI!L67</f>
        <v>4655437.6199999992</v>
      </c>
      <c r="G67" s="8">
        <f t="shared" si="3"/>
        <v>138968.28716417908</v>
      </c>
      <c r="H67" s="26">
        <f t="shared" si="4"/>
        <v>121885.10626799801</v>
      </c>
      <c r="I67" s="8">
        <f t="shared" si="5"/>
        <v>121885.10626799801</v>
      </c>
      <c r="J67" s="8">
        <f>VPI!R67</f>
        <v>77419.766343283569</v>
      </c>
      <c r="K67" s="171">
        <f t="shared" si="6"/>
        <v>87213.754486104677</v>
      </c>
      <c r="L67" s="260">
        <f t="shared" si="7"/>
        <v>209098.8607541027</v>
      </c>
      <c r="M67" s="102"/>
      <c r="N67" s="103"/>
      <c r="O67" s="100"/>
      <c r="P67" s="100"/>
      <c r="Q67" s="104"/>
    </row>
    <row r="68" spans="1:17" s="99" customFormat="1" x14ac:dyDescent="0.25">
      <c r="A68" s="135">
        <f>Données!A68</f>
        <v>5511</v>
      </c>
      <c r="B68" s="270" t="str">
        <f>Données!B68</f>
        <v>Assens</v>
      </c>
      <c r="C68" s="645">
        <f>Données!AR68</f>
        <v>0</v>
      </c>
      <c r="D68" s="271">
        <f>Données!Z68</f>
        <v>1698</v>
      </c>
      <c r="E68" s="101">
        <f>Données!X68</f>
        <v>70</v>
      </c>
      <c r="F68" s="31">
        <f>VPI!L68</f>
        <v>4806240.78</v>
      </c>
      <c r="G68" s="8">
        <f t="shared" si="3"/>
        <v>137321.16514285715</v>
      </c>
      <c r="H68" s="26">
        <f t="shared" si="4"/>
        <v>154910.86111007532</v>
      </c>
      <c r="I68" s="8">
        <f t="shared" si="5"/>
        <v>137321.16514285715</v>
      </c>
      <c r="J68" s="8">
        <f>VPI!R68</f>
        <v>74810.046857142865</v>
      </c>
      <c r="K68" s="171">
        <f t="shared" si="6"/>
        <v>84273.892416091796</v>
      </c>
      <c r="L68" s="260">
        <f t="shared" si="7"/>
        <v>221595.05755894893</v>
      </c>
      <c r="M68" s="102"/>
      <c r="N68" s="103"/>
      <c r="O68" s="100"/>
      <c r="P68" s="100"/>
      <c r="Q68" s="104"/>
    </row>
    <row r="69" spans="1:17" s="99" customFormat="1" x14ac:dyDescent="0.25">
      <c r="A69" s="135">
        <f>Données!A69</f>
        <v>5512</v>
      </c>
      <c r="B69" s="270" t="str">
        <f>Données!B69</f>
        <v>Bercher</v>
      </c>
      <c r="C69" s="645">
        <f>Données!AR69</f>
        <v>0</v>
      </c>
      <c r="D69" s="271">
        <f>Données!Z69</f>
        <v>1330</v>
      </c>
      <c r="E69" s="101">
        <f>Données!X69</f>
        <v>79</v>
      </c>
      <c r="F69" s="31">
        <f>VPI!L69</f>
        <v>3045567.74</v>
      </c>
      <c r="G69" s="8">
        <f t="shared" si="3"/>
        <v>77102.980759493672</v>
      </c>
      <c r="H69" s="26">
        <f t="shared" si="4"/>
        <v>121337.71806619562</v>
      </c>
      <c r="I69" s="8">
        <f t="shared" si="5"/>
        <v>77102.980759493672</v>
      </c>
      <c r="J69" s="8">
        <f>VPI!R69</f>
        <v>42301.871392405068</v>
      </c>
      <c r="K69" s="171">
        <f t="shared" si="6"/>
        <v>47653.269961593607</v>
      </c>
      <c r="L69" s="260">
        <f t="shared" si="7"/>
        <v>124756.25072108727</v>
      </c>
      <c r="M69" s="102"/>
      <c r="N69" s="103"/>
      <c r="O69" s="100"/>
      <c r="P69" s="100"/>
      <c r="Q69" s="104"/>
    </row>
    <row r="70" spans="1:17" s="99" customFormat="1" x14ac:dyDescent="0.25">
      <c r="A70" s="135">
        <f>Données!A70</f>
        <v>5514</v>
      </c>
      <c r="B70" s="270" t="str">
        <f>Données!B70</f>
        <v>Bottens</v>
      </c>
      <c r="C70" s="645">
        <f>Données!AR70</f>
        <v>0</v>
      </c>
      <c r="D70" s="271">
        <f>Données!Z70</f>
        <v>1378</v>
      </c>
      <c r="E70" s="101">
        <f>Données!X70</f>
        <v>72.5</v>
      </c>
      <c r="F70" s="31">
        <f>VPI!L70</f>
        <v>3005248.580000001</v>
      </c>
      <c r="G70" s="8">
        <f t="shared" si="3"/>
        <v>82903.409103448299</v>
      </c>
      <c r="H70" s="26">
        <f t="shared" si="4"/>
        <v>125716.8236806147</v>
      </c>
      <c r="I70" s="8">
        <f t="shared" si="5"/>
        <v>82903.409103448299</v>
      </c>
      <c r="J70" s="8">
        <f>VPI!R70</f>
        <v>45049.61903448277</v>
      </c>
      <c r="K70" s="171">
        <f t="shared" si="6"/>
        <v>50748.621440482792</v>
      </c>
      <c r="L70" s="260">
        <f t="shared" si="7"/>
        <v>133652.03054393109</v>
      </c>
      <c r="M70" s="102"/>
      <c r="N70" s="103"/>
      <c r="O70" s="100"/>
      <c r="P70" s="100"/>
      <c r="Q70" s="104"/>
    </row>
    <row r="71" spans="1:17" s="99" customFormat="1" x14ac:dyDescent="0.25">
      <c r="A71" s="135">
        <f>Données!A71</f>
        <v>5515</v>
      </c>
      <c r="B71" s="270" t="str">
        <f>Données!B71</f>
        <v>Bretigny-sur-Morrens</v>
      </c>
      <c r="C71" s="645">
        <f>Données!AR71</f>
        <v>0</v>
      </c>
      <c r="D71" s="271">
        <f>Données!Z71</f>
        <v>893</v>
      </c>
      <c r="E71" s="101">
        <f>Données!X71</f>
        <v>78</v>
      </c>
      <c r="F71" s="31">
        <f>VPI!L71</f>
        <v>2305980.1199999996</v>
      </c>
      <c r="G71" s="8">
        <f t="shared" ref="G71:G134" si="8">F71/E71*2</f>
        <v>59127.695384615377</v>
      </c>
      <c r="H71" s="26">
        <f t="shared" ref="H71:H134" si="9">+$G$306/$D$306*D71</f>
        <v>81469.610701588492</v>
      </c>
      <c r="I71" s="8">
        <f t="shared" ref="I71:I134" si="10">IF(C71=1,0,IF(H71&gt;G71,G71,H71))</f>
        <v>59127.695384615377</v>
      </c>
      <c r="J71" s="8">
        <f>VPI!R71</f>
        <v>32261.164358974351</v>
      </c>
      <c r="K71" s="171">
        <f t="shared" ref="K71:K134" si="11">+$K$5*J71</f>
        <v>36342.363206880829</v>
      </c>
      <c r="L71" s="260">
        <f t="shared" ref="L71:L134" si="12">+K71+I71</f>
        <v>95470.058591496199</v>
      </c>
      <c r="M71" s="102"/>
      <c r="N71" s="103"/>
      <c r="O71" s="100"/>
      <c r="P71" s="100"/>
      <c r="Q71" s="104"/>
    </row>
    <row r="72" spans="1:17" s="99" customFormat="1" x14ac:dyDescent="0.25">
      <c r="A72" s="135">
        <f>Données!A72</f>
        <v>5516</v>
      </c>
      <c r="B72" s="270" t="str">
        <f>Données!B72</f>
        <v>Cugy</v>
      </c>
      <c r="C72" s="645">
        <f>Données!AR72</f>
        <v>0</v>
      </c>
      <c r="D72" s="271">
        <f>Données!Z72</f>
        <v>2733</v>
      </c>
      <c r="E72" s="101">
        <f>Données!X72</f>
        <v>76</v>
      </c>
      <c r="F72" s="31">
        <f>VPI!L72</f>
        <v>8020028.0499999998</v>
      </c>
      <c r="G72" s="8">
        <f t="shared" si="8"/>
        <v>211053.36973684211</v>
      </c>
      <c r="H72" s="26">
        <f t="shared" si="9"/>
        <v>249335.32592098694</v>
      </c>
      <c r="I72" s="8">
        <f t="shared" si="10"/>
        <v>211053.36973684211</v>
      </c>
      <c r="J72" s="8">
        <f>VPI!R72</f>
        <v>114099.68980263159</v>
      </c>
      <c r="K72" s="171">
        <f t="shared" si="11"/>
        <v>128533.87194768642</v>
      </c>
      <c r="L72" s="260">
        <f t="shared" si="12"/>
        <v>339587.24168452853</v>
      </c>
      <c r="M72" s="102"/>
      <c r="N72" s="103"/>
      <c r="O72" s="100"/>
      <c r="P72" s="100"/>
      <c r="Q72" s="104"/>
    </row>
    <row r="73" spans="1:17" s="99" customFormat="1" x14ac:dyDescent="0.25">
      <c r="A73" s="135">
        <f>Données!A73</f>
        <v>5518</v>
      </c>
      <c r="B73" s="270" t="str">
        <f>Données!B73</f>
        <v>Echallens</v>
      </c>
      <c r="C73" s="645">
        <f>Données!AR73</f>
        <v>0</v>
      </c>
      <c r="D73" s="271">
        <f>Données!Z73</f>
        <v>6572</v>
      </c>
      <c r="E73" s="101">
        <f>Données!X73</f>
        <v>72.5</v>
      </c>
      <c r="F73" s="31">
        <f>VPI!L73</f>
        <v>13359643.759999998</v>
      </c>
      <c r="G73" s="8">
        <f t="shared" si="8"/>
        <v>368541.89682758617</v>
      </c>
      <c r="H73" s="26">
        <f t="shared" si="9"/>
        <v>599572.54370754713</v>
      </c>
      <c r="I73" s="8">
        <f t="shared" si="10"/>
        <v>368541.89682758617</v>
      </c>
      <c r="J73" s="8">
        <f>VPI!R73</f>
        <v>201769.75393103444</v>
      </c>
      <c r="K73" s="171">
        <f t="shared" si="11"/>
        <v>227294.63821986335</v>
      </c>
      <c r="L73" s="260">
        <f t="shared" si="12"/>
        <v>595836.53504744952</v>
      </c>
      <c r="M73" s="102"/>
      <c r="N73" s="103"/>
      <c r="O73" s="100"/>
      <c r="P73" s="100"/>
      <c r="Q73" s="104"/>
    </row>
    <row r="74" spans="1:17" s="99" customFormat="1" x14ac:dyDescent="0.25">
      <c r="A74" s="135">
        <f>Données!A74</f>
        <v>5520</v>
      </c>
      <c r="B74" s="270" t="str">
        <f>Données!B74</f>
        <v>Essertines-sur-Yverdon</v>
      </c>
      <c r="C74" s="645">
        <f>Données!AR74</f>
        <v>0</v>
      </c>
      <c r="D74" s="271">
        <f>Données!Z74</f>
        <v>1105</v>
      </c>
      <c r="E74" s="101">
        <f>Données!X74</f>
        <v>74</v>
      </c>
      <c r="F74" s="31">
        <f>VPI!L74</f>
        <v>2196287.09</v>
      </c>
      <c r="G74" s="8">
        <f t="shared" si="8"/>
        <v>59359.11054054054</v>
      </c>
      <c r="H74" s="26">
        <f t="shared" si="9"/>
        <v>100810.66049860613</v>
      </c>
      <c r="I74" s="8">
        <f t="shared" si="10"/>
        <v>59359.11054054054</v>
      </c>
      <c r="J74" s="8">
        <f>VPI!R74</f>
        <v>32600.230945945943</v>
      </c>
      <c r="K74" s="171">
        <f t="shared" si="11"/>
        <v>36724.323415071864</v>
      </c>
      <c r="L74" s="260">
        <f t="shared" si="12"/>
        <v>96083.433955612403</v>
      </c>
      <c r="M74" s="102"/>
      <c r="N74" s="103"/>
      <c r="O74" s="100"/>
      <c r="P74" s="100"/>
      <c r="Q74" s="104"/>
    </row>
    <row r="75" spans="1:17" s="99" customFormat="1" x14ac:dyDescent="0.25">
      <c r="A75" s="135">
        <f>Données!A75</f>
        <v>5521</v>
      </c>
      <c r="B75" s="270" t="str">
        <f>Données!B75</f>
        <v>Etagnières</v>
      </c>
      <c r="C75" s="645">
        <f>Données!AR75</f>
        <v>0</v>
      </c>
      <c r="D75" s="271">
        <f>Données!Z75</f>
        <v>1172</v>
      </c>
      <c r="E75" s="101">
        <f>Données!X75</f>
        <v>73</v>
      </c>
      <c r="F75" s="31">
        <f>VPI!L75</f>
        <v>2982715.99</v>
      </c>
      <c r="G75" s="8">
        <f t="shared" si="8"/>
        <v>81718.246301369873</v>
      </c>
      <c r="H75" s="26">
        <f t="shared" si="9"/>
        <v>106923.16208539945</v>
      </c>
      <c r="I75" s="8">
        <f t="shared" si="10"/>
        <v>81718.246301369873</v>
      </c>
      <c r="J75" s="8">
        <f>VPI!R75</f>
        <v>45069.292328767129</v>
      </c>
      <c r="K75" s="171">
        <f t="shared" si="11"/>
        <v>50770.783505013453</v>
      </c>
      <c r="L75" s="260">
        <f t="shared" si="12"/>
        <v>132489.02980638333</v>
      </c>
      <c r="M75" s="102"/>
      <c r="N75" s="103"/>
      <c r="O75" s="100"/>
      <c r="P75" s="100"/>
      <c r="Q75" s="104"/>
    </row>
    <row r="76" spans="1:17" s="99" customFormat="1" x14ac:dyDescent="0.25">
      <c r="A76" s="135">
        <f>Données!A76</f>
        <v>5522</v>
      </c>
      <c r="B76" s="270" t="str">
        <f>Données!B76</f>
        <v>Fey</v>
      </c>
      <c r="C76" s="645">
        <f>Données!AR76</f>
        <v>0</v>
      </c>
      <c r="D76" s="271">
        <f>Données!Z76</f>
        <v>763</v>
      </c>
      <c r="E76" s="101">
        <f>Données!X76</f>
        <v>75</v>
      </c>
      <c r="F76" s="31">
        <f>VPI!L76</f>
        <v>1573286.0999999999</v>
      </c>
      <c r="G76" s="8">
        <f t="shared" si="8"/>
        <v>41954.295999999995</v>
      </c>
      <c r="H76" s="152">
        <f t="shared" si="9"/>
        <v>69609.532995870119</v>
      </c>
      <c r="I76" s="8">
        <f t="shared" si="10"/>
        <v>41954.295999999995</v>
      </c>
      <c r="J76" s="8">
        <f>VPI!R76</f>
        <v>22943.940666666665</v>
      </c>
      <c r="K76" s="171">
        <f t="shared" si="11"/>
        <v>25846.464058981437</v>
      </c>
      <c r="L76" s="260">
        <f t="shared" si="12"/>
        <v>67800.760058981425</v>
      </c>
      <c r="M76" s="102"/>
      <c r="N76" s="103"/>
      <c r="O76" s="100"/>
      <c r="P76" s="100"/>
      <c r="Q76" s="104"/>
    </row>
    <row r="77" spans="1:17" s="99" customFormat="1" x14ac:dyDescent="0.25">
      <c r="A77" s="135">
        <f>Données!A77</f>
        <v>5523</v>
      </c>
      <c r="B77" s="270" t="str">
        <f>Données!B77</f>
        <v>Froideville</v>
      </c>
      <c r="C77" s="645">
        <f>Données!AR77</f>
        <v>0</v>
      </c>
      <c r="D77" s="271">
        <f>Données!Z77</f>
        <v>2728</v>
      </c>
      <c r="E77" s="101">
        <f>Données!X77</f>
        <v>72</v>
      </c>
      <c r="F77" s="31">
        <f>VPI!L77</f>
        <v>6078946.6399999997</v>
      </c>
      <c r="G77" s="8">
        <f t="shared" si="8"/>
        <v>168859.62888888887</v>
      </c>
      <c r="H77" s="26">
        <f t="shared" si="9"/>
        <v>248879.16908615161</v>
      </c>
      <c r="I77" s="8">
        <f t="shared" si="10"/>
        <v>168859.62888888887</v>
      </c>
      <c r="J77" s="8">
        <f>VPI!R77</f>
        <v>92586.842777777769</v>
      </c>
      <c r="K77" s="171">
        <f t="shared" si="11"/>
        <v>104299.54204279519</v>
      </c>
      <c r="L77" s="260">
        <f t="shared" si="12"/>
        <v>273159.17093168409</v>
      </c>
      <c r="M77" s="102"/>
      <c r="N77" s="103"/>
      <c r="O77" s="100"/>
      <c r="P77" s="100"/>
      <c r="Q77" s="104"/>
    </row>
    <row r="78" spans="1:17" s="99" customFormat="1" x14ac:dyDescent="0.25">
      <c r="A78" s="135">
        <f>Données!A78</f>
        <v>5527</v>
      </c>
      <c r="B78" s="270" t="str">
        <f>Données!B78</f>
        <v>Morrens</v>
      </c>
      <c r="C78" s="645">
        <f>Données!AR78</f>
        <v>0</v>
      </c>
      <c r="D78" s="271">
        <f>Données!Z78</f>
        <v>1142</v>
      </c>
      <c r="E78" s="101">
        <f>Données!X78</f>
        <v>74</v>
      </c>
      <c r="F78" s="31">
        <f>VPI!L78</f>
        <v>2914845.45</v>
      </c>
      <c r="G78" s="8">
        <f t="shared" si="8"/>
        <v>78779.606756756766</v>
      </c>
      <c r="H78" s="26">
        <f t="shared" si="9"/>
        <v>104186.22107638752</v>
      </c>
      <c r="I78" s="8">
        <f t="shared" si="10"/>
        <v>78779.606756756766</v>
      </c>
      <c r="J78" s="8">
        <f>VPI!R78</f>
        <v>42908.9222972973</v>
      </c>
      <c r="K78" s="171">
        <f t="shared" si="11"/>
        <v>48337.115845926113</v>
      </c>
      <c r="L78" s="260">
        <f t="shared" si="12"/>
        <v>127116.72260268289</v>
      </c>
      <c r="M78" s="102"/>
      <c r="N78" s="103"/>
      <c r="O78" s="100"/>
      <c r="P78" s="100"/>
      <c r="Q78" s="104"/>
    </row>
    <row r="79" spans="1:17" s="99" customFormat="1" x14ac:dyDescent="0.25">
      <c r="A79" s="135">
        <f>Données!A79</f>
        <v>5529</v>
      </c>
      <c r="B79" s="270" t="str">
        <f>Données!B79</f>
        <v>Oulens-sous-Echallens</v>
      </c>
      <c r="C79" s="645">
        <f>Données!AR79</f>
        <v>0</v>
      </c>
      <c r="D79" s="271">
        <f>Données!Z79</f>
        <v>600</v>
      </c>
      <c r="E79" s="101">
        <f>Données!X79</f>
        <v>71</v>
      </c>
      <c r="F79" s="31">
        <f>VPI!L79</f>
        <v>1491628.78</v>
      </c>
      <c r="G79" s="8">
        <f t="shared" si="8"/>
        <v>42017.712112676054</v>
      </c>
      <c r="H79" s="26">
        <f t="shared" si="9"/>
        <v>54738.820180238625</v>
      </c>
      <c r="I79" s="8">
        <f t="shared" si="10"/>
        <v>42017.712112676054</v>
      </c>
      <c r="J79" s="8">
        <f>VPI!R79</f>
        <v>22948.614507042254</v>
      </c>
      <c r="K79" s="171">
        <f t="shared" si="11"/>
        <v>25851.729163570053</v>
      </c>
      <c r="L79" s="260">
        <f t="shared" si="12"/>
        <v>67869.4412762461</v>
      </c>
      <c r="M79" s="102"/>
      <c r="N79" s="103"/>
      <c r="O79" s="100"/>
      <c r="P79" s="100"/>
      <c r="Q79" s="104"/>
    </row>
    <row r="80" spans="1:17" s="99" customFormat="1" x14ac:dyDescent="0.25">
      <c r="A80" s="135">
        <f>Données!A80</f>
        <v>5530</v>
      </c>
      <c r="B80" s="270" t="str">
        <f>Données!B80</f>
        <v>Pailly</v>
      </c>
      <c r="C80" s="645">
        <f>Données!AR80</f>
        <v>0</v>
      </c>
      <c r="D80" s="271">
        <f>Données!Z80</f>
        <v>576</v>
      </c>
      <c r="E80" s="101">
        <f>Données!X80</f>
        <v>76</v>
      </c>
      <c r="F80" s="31">
        <f>VPI!L80</f>
        <v>1448644.33</v>
      </c>
      <c r="G80" s="8">
        <f t="shared" si="8"/>
        <v>38122.219210526317</v>
      </c>
      <c r="H80" s="26">
        <f t="shared" si="9"/>
        <v>52549.267373029077</v>
      </c>
      <c r="I80" s="8">
        <f t="shared" si="10"/>
        <v>38122.219210526317</v>
      </c>
      <c r="J80" s="8">
        <f>VPI!R80</f>
        <v>20543.565197368422</v>
      </c>
      <c r="K80" s="171">
        <f t="shared" si="11"/>
        <v>23142.429072288316</v>
      </c>
      <c r="L80" s="260">
        <f t="shared" si="12"/>
        <v>61264.648282814633</v>
      </c>
      <c r="M80" s="102"/>
      <c r="N80" s="103"/>
      <c r="O80" s="100"/>
      <c r="P80" s="100"/>
      <c r="Q80" s="104"/>
    </row>
    <row r="81" spans="1:17" s="99" customFormat="1" x14ac:dyDescent="0.25">
      <c r="A81" s="135">
        <f>Données!A81</f>
        <v>5531</v>
      </c>
      <c r="B81" s="270" t="str">
        <f>Données!B81</f>
        <v>Penthéréaz</v>
      </c>
      <c r="C81" s="645">
        <f>Données!AR81</f>
        <v>0</v>
      </c>
      <c r="D81" s="271">
        <f>Données!Z81</f>
        <v>437</v>
      </c>
      <c r="E81" s="101">
        <f>Données!X81</f>
        <v>74</v>
      </c>
      <c r="F81" s="31">
        <f>VPI!L81</f>
        <v>1182902.98</v>
      </c>
      <c r="G81" s="8">
        <f t="shared" si="8"/>
        <v>31970.350810810811</v>
      </c>
      <c r="H81" s="26">
        <f t="shared" si="9"/>
        <v>39868.107364607131</v>
      </c>
      <c r="I81" s="8">
        <f t="shared" si="10"/>
        <v>31970.350810810811</v>
      </c>
      <c r="J81" s="8">
        <f>VPI!R81</f>
        <v>17158.758513513516</v>
      </c>
      <c r="K81" s="171">
        <f t="shared" si="11"/>
        <v>19329.427392591853</v>
      </c>
      <c r="L81" s="260">
        <f t="shared" si="12"/>
        <v>51299.77820340266</v>
      </c>
      <c r="M81" s="102"/>
      <c r="N81" s="103"/>
      <c r="O81" s="100"/>
      <c r="P81" s="100"/>
      <c r="Q81" s="104"/>
    </row>
    <row r="82" spans="1:17" s="99" customFormat="1" x14ac:dyDescent="0.25">
      <c r="A82" s="135">
        <f>Données!A82</f>
        <v>5533</v>
      </c>
      <c r="B82" s="270" t="str">
        <f>Données!B82</f>
        <v>Poliez-Pittet</v>
      </c>
      <c r="C82" s="645">
        <f>Données!AR82</f>
        <v>0</v>
      </c>
      <c r="D82" s="271">
        <f>Données!Z82</f>
        <v>876</v>
      </c>
      <c r="E82" s="101">
        <f>Données!X82</f>
        <v>73</v>
      </c>
      <c r="F82" s="31">
        <f>VPI!L82</f>
        <v>1811514.8699999999</v>
      </c>
      <c r="G82" s="8">
        <f t="shared" si="8"/>
        <v>49630.544383561639</v>
      </c>
      <c r="H82" s="26">
        <f t="shared" si="9"/>
        <v>79918.677463148386</v>
      </c>
      <c r="I82" s="8">
        <f t="shared" si="10"/>
        <v>49630.544383561639</v>
      </c>
      <c r="J82" s="8">
        <f>VPI!R82</f>
        <v>27174.793424657531</v>
      </c>
      <c r="K82" s="171">
        <f t="shared" si="11"/>
        <v>30612.54087799634</v>
      </c>
      <c r="L82" s="260">
        <f t="shared" si="12"/>
        <v>80243.085261557979</v>
      </c>
      <c r="M82" s="102"/>
      <c r="N82" s="103"/>
      <c r="O82" s="100"/>
      <c r="P82" s="100"/>
      <c r="Q82" s="104"/>
    </row>
    <row r="83" spans="1:17" s="99" customFormat="1" x14ac:dyDescent="0.25">
      <c r="A83" s="135">
        <f>Données!A83</f>
        <v>5534</v>
      </c>
      <c r="B83" s="270" t="str">
        <f>Données!B83</f>
        <v>Rueyres</v>
      </c>
      <c r="C83" s="645">
        <f>Données!AR83</f>
        <v>0</v>
      </c>
      <c r="D83" s="271">
        <f>Données!Z83</f>
        <v>302</v>
      </c>
      <c r="E83" s="101">
        <f>Données!X83</f>
        <v>73</v>
      </c>
      <c r="F83" s="31">
        <f>VPI!L83</f>
        <v>1072134.0600000003</v>
      </c>
      <c r="G83" s="8">
        <f t="shared" si="8"/>
        <v>29373.535890410967</v>
      </c>
      <c r="H83" s="26">
        <f t="shared" si="9"/>
        <v>27551.87282405344</v>
      </c>
      <c r="I83" s="8">
        <f t="shared" si="10"/>
        <v>27551.87282405344</v>
      </c>
      <c r="J83" s="8">
        <f>VPI!R83</f>
        <v>15880.296484018269</v>
      </c>
      <c r="K83" s="171">
        <f t="shared" si="11"/>
        <v>17889.233514121453</v>
      </c>
      <c r="L83" s="260">
        <f t="shared" si="12"/>
        <v>45441.106338174897</v>
      </c>
      <c r="M83" s="102"/>
      <c r="N83" s="103"/>
      <c r="O83" s="100"/>
      <c r="P83" s="100"/>
      <c r="Q83" s="104"/>
    </row>
    <row r="84" spans="1:17" s="99" customFormat="1" x14ac:dyDescent="0.25">
      <c r="A84" s="135">
        <f>Données!A84</f>
        <v>5535</v>
      </c>
      <c r="B84" s="270" t="str">
        <f>Données!B84</f>
        <v>Saint-Barthélemy</v>
      </c>
      <c r="C84" s="645">
        <f>Données!AR84</f>
        <v>0</v>
      </c>
      <c r="D84" s="271">
        <f>Données!Z84</f>
        <v>829</v>
      </c>
      <c r="E84" s="101">
        <f>Données!X84</f>
        <v>75</v>
      </c>
      <c r="F84" s="31">
        <f>VPI!L84</f>
        <v>1883893.3299999996</v>
      </c>
      <c r="G84" s="8">
        <f t="shared" si="8"/>
        <v>50237.155466666656</v>
      </c>
      <c r="H84" s="26">
        <f t="shared" si="9"/>
        <v>75630.80321569636</v>
      </c>
      <c r="I84" s="8">
        <f t="shared" si="10"/>
        <v>50237.155466666656</v>
      </c>
      <c r="J84" s="8">
        <f>VPI!R84</f>
        <v>27185.565066666662</v>
      </c>
      <c r="K84" s="171">
        <f t="shared" si="11"/>
        <v>30624.675186661534</v>
      </c>
      <c r="L84" s="260">
        <f t="shared" si="12"/>
        <v>80861.830653328187</v>
      </c>
      <c r="M84" s="102"/>
      <c r="N84" s="103"/>
      <c r="O84" s="100"/>
      <c r="P84" s="100"/>
      <c r="Q84" s="104"/>
    </row>
    <row r="85" spans="1:17" s="99" customFormat="1" x14ac:dyDescent="0.25">
      <c r="A85" s="135">
        <f>Données!A85</f>
        <v>5537</v>
      </c>
      <c r="B85" s="270" t="str">
        <f>Données!B85</f>
        <v>Villars-le-Terroir</v>
      </c>
      <c r="C85" s="645">
        <f>Données!AR85</f>
        <v>0</v>
      </c>
      <c r="D85" s="271">
        <f>Données!Z85</f>
        <v>1298</v>
      </c>
      <c r="E85" s="101">
        <f>Données!X85</f>
        <v>76</v>
      </c>
      <c r="F85" s="31">
        <f>VPI!L85</f>
        <v>2545749.1099999994</v>
      </c>
      <c r="G85" s="8">
        <f t="shared" si="8"/>
        <v>66993.397631578933</v>
      </c>
      <c r="H85" s="26">
        <f t="shared" si="9"/>
        <v>118418.31432324956</v>
      </c>
      <c r="I85" s="8">
        <f t="shared" si="10"/>
        <v>66993.397631578933</v>
      </c>
      <c r="J85" s="8">
        <f>VPI!R85</f>
        <v>37062.3994736842</v>
      </c>
      <c r="K85" s="171">
        <f t="shared" si="11"/>
        <v>41750.978607083416</v>
      </c>
      <c r="L85" s="260">
        <f t="shared" si="12"/>
        <v>108744.37623866234</v>
      </c>
      <c r="M85" s="102"/>
      <c r="N85" s="103"/>
      <c r="O85" s="100"/>
      <c r="P85" s="100"/>
      <c r="Q85" s="104"/>
    </row>
    <row r="86" spans="1:17" s="99" customFormat="1" x14ac:dyDescent="0.25">
      <c r="A86" s="135">
        <f>Données!A86</f>
        <v>5539</v>
      </c>
      <c r="B86" s="270" t="str">
        <f>Données!B86</f>
        <v>Vuarrens</v>
      </c>
      <c r="C86" s="645">
        <f>Données!AR86</f>
        <v>0</v>
      </c>
      <c r="D86" s="271">
        <f>Données!Z86</f>
        <v>1103</v>
      </c>
      <c r="E86" s="101">
        <f>Données!X86</f>
        <v>73.5</v>
      </c>
      <c r="F86" s="31">
        <f>VPI!L86</f>
        <v>2230129.25</v>
      </c>
      <c r="G86" s="8">
        <f t="shared" si="8"/>
        <v>60683.789115646257</v>
      </c>
      <c r="H86" s="26">
        <f t="shared" si="9"/>
        <v>100628.197764672</v>
      </c>
      <c r="I86" s="8">
        <f t="shared" si="10"/>
        <v>60683.789115646257</v>
      </c>
      <c r="J86" s="8">
        <f>VPI!R86</f>
        <v>33245.200000000004</v>
      </c>
      <c r="K86" s="171">
        <f t="shared" si="11"/>
        <v>37450.884284320549</v>
      </c>
      <c r="L86" s="260">
        <f t="shared" si="12"/>
        <v>98134.673399966807</v>
      </c>
      <c r="M86" s="102"/>
      <c r="N86" s="103"/>
      <c r="O86" s="100"/>
      <c r="P86" s="100"/>
      <c r="Q86" s="104"/>
    </row>
    <row r="87" spans="1:17" s="99" customFormat="1" x14ac:dyDescent="0.25">
      <c r="A87" s="135">
        <f>Données!A87</f>
        <v>5540</v>
      </c>
      <c r="B87" s="270" t="str">
        <f>Données!B87</f>
        <v>Montilliez</v>
      </c>
      <c r="C87" s="645">
        <f>Données!AR87</f>
        <v>0</v>
      </c>
      <c r="D87" s="271">
        <f>Données!Z87</f>
        <v>1894</v>
      </c>
      <c r="E87" s="101">
        <f>Données!X87</f>
        <v>72.5</v>
      </c>
      <c r="F87" s="31">
        <f>VPI!L87</f>
        <v>4982750.3599999994</v>
      </c>
      <c r="G87" s="8">
        <f t="shared" si="8"/>
        <v>137455.18234482757</v>
      </c>
      <c r="H87" s="26">
        <f t="shared" si="9"/>
        <v>172792.20903561992</v>
      </c>
      <c r="I87" s="8">
        <f t="shared" si="10"/>
        <v>137455.18234482757</v>
      </c>
      <c r="J87" s="8">
        <f>VPI!R87</f>
        <v>73930.013586206886</v>
      </c>
      <c r="K87" s="171">
        <f t="shared" si="11"/>
        <v>83282.530529378069</v>
      </c>
      <c r="L87" s="260">
        <f t="shared" si="12"/>
        <v>220737.71287420564</v>
      </c>
      <c r="M87" s="102"/>
      <c r="N87" s="103"/>
      <c r="O87" s="100"/>
      <c r="P87" s="100"/>
      <c r="Q87" s="104"/>
    </row>
    <row r="88" spans="1:17" s="99" customFormat="1" x14ac:dyDescent="0.25">
      <c r="A88" s="135">
        <f>Données!A88</f>
        <v>5541</v>
      </c>
      <c r="B88" s="270" t="str">
        <f>Données!B88</f>
        <v>Goumoëns</v>
      </c>
      <c r="C88" s="645">
        <f>Données!AR88</f>
        <v>0</v>
      </c>
      <c r="D88" s="271">
        <f>Données!Z88</f>
        <v>1212</v>
      </c>
      <c r="E88" s="101">
        <f>Données!X88</f>
        <v>75.5</v>
      </c>
      <c r="F88" s="31">
        <f>VPI!L88</f>
        <v>2972546.73</v>
      </c>
      <c r="G88" s="8">
        <f t="shared" si="8"/>
        <v>78742.959735099343</v>
      </c>
      <c r="H88" s="26">
        <f t="shared" si="9"/>
        <v>110572.41676408202</v>
      </c>
      <c r="I88" s="8">
        <f t="shared" si="10"/>
        <v>78742.959735099343</v>
      </c>
      <c r="J88" s="8">
        <f>VPI!R88</f>
        <v>42494.398410596026</v>
      </c>
      <c r="K88" s="171">
        <f t="shared" si="11"/>
        <v>47870.152611716774</v>
      </c>
      <c r="L88" s="260">
        <f t="shared" si="12"/>
        <v>126613.11234681611</v>
      </c>
      <c r="M88" s="102"/>
      <c r="N88" s="103"/>
      <c r="O88" s="100"/>
      <c r="P88" s="100"/>
      <c r="Q88" s="104"/>
    </row>
    <row r="89" spans="1:17" s="99" customFormat="1" x14ac:dyDescent="0.25">
      <c r="A89" s="135">
        <f>Données!A89</f>
        <v>5551</v>
      </c>
      <c r="B89" s="270" t="str">
        <f>Données!B89</f>
        <v>Bonvillars</v>
      </c>
      <c r="C89" s="645">
        <f>Données!AR89</f>
        <v>0</v>
      </c>
      <c r="D89" s="271">
        <f>Données!Z89</f>
        <v>526</v>
      </c>
      <c r="E89" s="101">
        <f>Données!X89</f>
        <v>57</v>
      </c>
      <c r="F89" s="31">
        <f>VPI!L89</f>
        <v>950157.64</v>
      </c>
      <c r="G89" s="8">
        <f t="shared" si="8"/>
        <v>33338.864561403512</v>
      </c>
      <c r="H89" s="26">
        <f t="shared" si="9"/>
        <v>47987.699024675858</v>
      </c>
      <c r="I89" s="8">
        <f t="shared" si="10"/>
        <v>33338.864561403512</v>
      </c>
      <c r="J89" s="8">
        <f>VPI!R89</f>
        <v>18997.947192982458</v>
      </c>
      <c r="K89" s="171">
        <f t="shared" si="11"/>
        <v>21401.282650247806</v>
      </c>
      <c r="L89" s="260">
        <f t="shared" si="12"/>
        <v>54740.147211651318</v>
      </c>
      <c r="M89" s="102"/>
      <c r="N89" s="103"/>
      <c r="O89" s="100"/>
      <c r="P89" s="100"/>
      <c r="Q89" s="104"/>
    </row>
    <row r="90" spans="1:17" s="99" customFormat="1" x14ac:dyDescent="0.25">
      <c r="A90" s="135">
        <f>Données!A90</f>
        <v>5552</v>
      </c>
      <c r="B90" s="270" t="str">
        <f>Données!B90</f>
        <v>Bullet</v>
      </c>
      <c r="C90" s="645">
        <f>Données!AR90</f>
        <v>0</v>
      </c>
      <c r="D90" s="271">
        <f>Données!Z90</f>
        <v>675</v>
      </c>
      <c r="E90" s="101">
        <f>Données!X90</f>
        <v>70</v>
      </c>
      <c r="F90" s="31">
        <f>VPI!L90</f>
        <v>1290312.9399999997</v>
      </c>
      <c r="G90" s="8">
        <f t="shared" si="8"/>
        <v>36866.083999999995</v>
      </c>
      <c r="H90" s="26">
        <f t="shared" si="9"/>
        <v>61581.172702768454</v>
      </c>
      <c r="I90" s="8">
        <f t="shared" si="10"/>
        <v>36866.083999999995</v>
      </c>
      <c r="J90" s="8">
        <f>VPI!R90</f>
        <v>20424.764857142854</v>
      </c>
      <c r="K90" s="171">
        <f t="shared" si="11"/>
        <v>23008.599894099414</v>
      </c>
      <c r="L90" s="260">
        <f t="shared" si="12"/>
        <v>59874.683894099406</v>
      </c>
      <c r="M90" s="102"/>
      <c r="N90" s="103"/>
      <c r="O90" s="100"/>
      <c r="P90" s="100"/>
      <c r="Q90" s="104"/>
    </row>
    <row r="91" spans="1:17" s="99" customFormat="1" x14ac:dyDescent="0.25">
      <c r="A91" s="135">
        <f>Données!A91</f>
        <v>5553</v>
      </c>
      <c r="B91" s="270" t="str">
        <f>Données!B91</f>
        <v>Champagne</v>
      </c>
      <c r="C91" s="645">
        <f>Données!AR91</f>
        <v>0</v>
      </c>
      <c r="D91" s="271">
        <f>Données!Z91</f>
        <v>1071</v>
      </c>
      <c r="E91" s="101">
        <f>Données!X91</f>
        <v>65</v>
      </c>
      <c r="F91" s="31">
        <f>VPI!L91</f>
        <v>2068607.3900000001</v>
      </c>
      <c r="G91" s="8">
        <f t="shared" si="8"/>
        <v>63649.458153846157</v>
      </c>
      <c r="H91" s="26">
        <f t="shared" si="9"/>
        <v>97708.794021725946</v>
      </c>
      <c r="I91" s="8">
        <f t="shared" si="10"/>
        <v>63649.458153846157</v>
      </c>
      <c r="J91" s="8">
        <f>VPI!R91</f>
        <v>36175.512923076931</v>
      </c>
      <c r="K91" s="171">
        <f t="shared" si="11"/>
        <v>40751.896466500322</v>
      </c>
      <c r="L91" s="260">
        <f t="shared" si="12"/>
        <v>104401.35462034648</v>
      </c>
      <c r="M91" s="102"/>
      <c r="N91" s="103"/>
      <c r="O91" s="100"/>
      <c r="P91" s="100"/>
      <c r="Q91" s="104"/>
    </row>
    <row r="92" spans="1:17" s="99" customFormat="1" x14ac:dyDescent="0.25">
      <c r="A92" s="135">
        <f>Données!A92</f>
        <v>5554</v>
      </c>
      <c r="B92" s="270" t="str">
        <f>Données!B92</f>
        <v>Concise</v>
      </c>
      <c r="C92" s="645">
        <f>Données!AR92</f>
        <v>0</v>
      </c>
      <c r="D92" s="271">
        <f>Données!Z92</f>
        <v>1022</v>
      </c>
      <c r="E92" s="101">
        <f>Données!X92</f>
        <v>72</v>
      </c>
      <c r="F92" s="31">
        <f>VPI!L92</f>
        <v>2269392.8400000003</v>
      </c>
      <c r="G92" s="8">
        <f t="shared" si="8"/>
        <v>63038.69000000001</v>
      </c>
      <c r="H92" s="26">
        <f t="shared" si="9"/>
        <v>93238.457040339796</v>
      </c>
      <c r="I92" s="8">
        <f t="shared" si="10"/>
        <v>63038.69000000001</v>
      </c>
      <c r="J92" s="8">
        <f>VPI!R92</f>
        <v>34308.622777777782</v>
      </c>
      <c r="K92" s="171">
        <f t="shared" si="11"/>
        <v>38648.835368864071</v>
      </c>
      <c r="L92" s="260">
        <f t="shared" si="12"/>
        <v>101687.52536886408</v>
      </c>
      <c r="M92" s="102"/>
      <c r="N92" s="103"/>
      <c r="O92" s="100"/>
      <c r="P92" s="100"/>
      <c r="Q92" s="104"/>
    </row>
    <row r="93" spans="1:17" s="99" customFormat="1" x14ac:dyDescent="0.25">
      <c r="A93" s="135">
        <f>Données!A93</f>
        <v>5555</v>
      </c>
      <c r="B93" s="270" t="str">
        <f>Données!B93</f>
        <v>Corcelles-près-Concise</v>
      </c>
      <c r="C93" s="645">
        <f>Données!AR93</f>
        <v>0</v>
      </c>
      <c r="D93" s="271">
        <f>Données!Z93</f>
        <v>425</v>
      </c>
      <c r="E93" s="101">
        <f>Données!X93</f>
        <v>69</v>
      </c>
      <c r="F93" s="31">
        <f>VPI!L93</f>
        <v>838793.27</v>
      </c>
      <c r="G93" s="8">
        <f t="shared" si="8"/>
        <v>24312.848405797104</v>
      </c>
      <c r="H93" s="26">
        <f t="shared" si="9"/>
        <v>38773.330961002357</v>
      </c>
      <c r="I93" s="8">
        <f t="shared" si="10"/>
        <v>24312.848405797104</v>
      </c>
      <c r="J93" s="8">
        <f>VPI!R93</f>
        <v>13639.969855072464</v>
      </c>
      <c r="K93" s="171">
        <f t="shared" si="11"/>
        <v>15365.494347573163</v>
      </c>
      <c r="L93" s="260">
        <f t="shared" si="12"/>
        <v>39678.342753370263</v>
      </c>
      <c r="M93" s="102"/>
      <c r="N93" s="103"/>
      <c r="O93" s="100"/>
      <c r="P93" s="100"/>
      <c r="Q93" s="104"/>
    </row>
    <row r="94" spans="1:17" s="99" customFormat="1" x14ac:dyDescent="0.25">
      <c r="A94" s="135">
        <f>Données!A94</f>
        <v>5556</v>
      </c>
      <c r="B94" s="270" t="str">
        <f>Données!B94</f>
        <v>Fiez</v>
      </c>
      <c r="C94" s="645">
        <f>Données!AR94</f>
        <v>0</v>
      </c>
      <c r="D94" s="271">
        <f>Données!Z94</f>
        <v>436</v>
      </c>
      <c r="E94" s="101">
        <f>Données!X94</f>
        <v>69</v>
      </c>
      <c r="F94" s="31">
        <f>VPI!L94</f>
        <v>811354.96</v>
      </c>
      <c r="G94" s="8">
        <f t="shared" si="8"/>
        <v>23517.535072463768</v>
      </c>
      <c r="H94" s="26">
        <f t="shared" si="9"/>
        <v>39776.875997640069</v>
      </c>
      <c r="I94" s="8">
        <f t="shared" si="10"/>
        <v>23517.535072463768</v>
      </c>
      <c r="J94" s="8">
        <f>VPI!R94</f>
        <v>12931.397729468599</v>
      </c>
      <c r="K94" s="171">
        <f t="shared" si="11"/>
        <v>14567.284299714061</v>
      </c>
      <c r="L94" s="260">
        <f t="shared" si="12"/>
        <v>38084.81937217783</v>
      </c>
      <c r="M94" s="102"/>
      <c r="N94" s="103"/>
      <c r="O94" s="100"/>
      <c r="P94" s="100"/>
      <c r="Q94" s="104"/>
    </row>
    <row r="95" spans="1:17" s="99" customFormat="1" x14ac:dyDescent="0.25">
      <c r="A95" s="135">
        <f>Données!A95</f>
        <v>5557</v>
      </c>
      <c r="B95" s="270" t="str">
        <f>Données!B95</f>
        <v>Fontaines-sur-Grandson</v>
      </c>
      <c r="C95" s="645">
        <f>Données!AR95</f>
        <v>0</v>
      </c>
      <c r="D95" s="271">
        <f>Données!Z95</f>
        <v>199</v>
      </c>
      <c r="E95" s="101">
        <f>Données!X95</f>
        <v>69</v>
      </c>
      <c r="F95" s="31">
        <f>VPI!L95</f>
        <v>284635.92</v>
      </c>
      <c r="G95" s="8">
        <f t="shared" si="8"/>
        <v>8250.3165217391306</v>
      </c>
      <c r="H95" s="26">
        <f t="shared" si="9"/>
        <v>18155.042026445812</v>
      </c>
      <c r="I95" s="8">
        <f t="shared" si="10"/>
        <v>8250.3165217391306</v>
      </c>
      <c r="J95" s="8">
        <f>VPI!R95</f>
        <v>4700.3647826086954</v>
      </c>
      <c r="K95" s="171">
        <f t="shared" si="11"/>
        <v>5294.9844659551973</v>
      </c>
      <c r="L95" s="260">
        <f t="shared" si="12"/>
        <v>13545.300987694329</v>
      </c>
      <c r="M95" s="102"/>
      <c r="N95" s="103"/>
      <c r="O95" s="100"/>
      <c r="P95" s="100"/>
      <c r="Q95" s="104"/>
    </row>
    <row r="96" spans="1:17" s="99" customFormat="1" x14ac:dyDescent="0.25">
      <c r="A96" s="135">
        <f>Données!A96</f>
        <v>5559</v>
      </c>
      <c r="B96" s="270" t="str">
        <f>Données!B96</f>
        <v>Giez</v>
      </c>
      <c r="C96" s="645">
        <f>Données!AR96</f>
        <v>0</v>
      </c>
      <c r="D96" s="271">
        <f>Données!Z96</f>
        <v>459</v>
      </c>
      <c r="E96" s="101">
        <f>Données!X96</f>
        <v>66</v>
      </c>
      <c r="F96" s="31">
        <f>VPI!L96</f>
        <v>1209301.7</v>
      </c>
      <c r="G96" s="8">
        <f t="shared" si="8"/>
        <v>36645.506060606058</v>
      </c>
      <c r="H96" s="26">
        <f t="shared" si="9"/>
        <v>41875.197437882547</v>
      </c>
      <c r="I96" s="8">
        <f t="shared" si="10"/>
        <v>36645.506060606058</v>
      </c>
      <c r="J96" s="8">
        <f>VPI!R96</f>
        <v>19760.849242424243</v>
      </c>
      <c r="K96" s="171">
        <f t="shared" si="11"/>
        <v>22260.695629382095</v>
      </c>
      <c r="L96" s="260">
        <f t="shared" si="12"/>
        <v>58906.201689988156</v>
      </c>
      <c r="M96" s="102"/>
      <c r="N96" s="103"/>
      <c r="O96" s="100"/>
      <c r="P96" s="100"/>
      <c r="Q96" s="104"/>
    </row>
    <row r="97" spans="1:17" s="99" customFormat="1" x14ac:dyDescent="0.25">
      <c r="A97" s="135">
        <f>Données!A97</f>
        <v>5560</v>
      </c>
      <c r="B97" s="270" t="str">
        <f>Données!B97</f>
        <v>Grandevent</v>
      </c>
      <c r="C97" s="645">
        <f>Données!AR97</f>
        <v>0</v>
      </c>
      <c r="D97" s="271">
        <f>Données!Z97</f>
        <v>237</v>
      </c>
      <c r="E97" s="101">
        <f>Données!X97</f>
        <v>70</v>
      </c>
      <c r="F97" s="31">
        <f>VPI!L97</f>
        <v>517702.5300000002</v>
      </c>
      <c r="G97" s="8">
        <f t="shared" si="8"/>
        <v>14791.500857142863</v>
      </c>
      <c r="H97" s="26">
        <f t="shared" si="9"/>
        <v>21621.833971194257</v>
      </c>
      <c r="I97" s="8">
        <f t="shared" si="10"/>
        <v>14791.500857142863</v>
      </c>
      <c r="J97" s="8">
        <f>VPI!R97</f>
        <v>8048.598285714289</v>
      </c>
      <c r="K97" s="171">
        <f t="shared" si="11"/>
        <v>9066.7862743874757</v>
      </c>
      <c r="L97" s="260">
        <f t="shared" si="12"/>
        <v>23858.287131530338</v>
      </c>
      <c r="M97" s="102"/>
      <c r="N97" s="103"/>
      <c r="O97" s="100"/>
      <c r="P97" s="100"/>
      <c r="Q97" s="104"/>
    </row>
    <row r="98" spans="1:17" s="99" customFormat="1" x14ac:dyDescent="0.25">
      <c r="A98" s="135">
        <f>Données!A98</f>
        <v>5561</v>
      </c>
      <c r="B98" s="270" t="str">
        <f>Données!B98</f>
        <v>Grandson</v>
      </c>
      <c r="C98" s="645">
        <f>Données!AR98</f>
        <v>0</v>
      </c>
      <c r="D98" s="271">
        <f>Données!Z98</f>
        <v>3386</v>
      </c>
      <c r="E98" s="101">
        <f>Données!X98</f>
        <v>69</v>
      </c>
      <c r="F98" s="31">
        <f>VPI!L98</f>
        <v>11666842.360000001</v>
      </c>
      <c r="G98" s="8">
        <f t="shared" si="8"/>
        <v>338169.34376811597</v>
      </c>
      <c r="H98" s="26">
        <f t="shared" si="9"/>
        <v>308909.40855047997</v>
      </c>
      <c r="I98" s="8">
        <f t="shared" si="10"/>
        <v>308909.40855047997</v>
      </c>
      <c r="J98" s="8">
        <f>VPI!R98</f>
        <v>179345.48057971016</v>
      </c>
      <c r="K98" s="171">
        <f t="shared" si="11"/>
        <v>202033.58199398959</v>
      </c>
      <c r="L98" s="260">
        <f t="shared" si="12"/>
        <v>510942.99054446956</v>
      </c>
      <c r="M98" s="102"/>
      <c r="N98" s="103"/>
      <c r="O98" s="100"/>
      <c r="P98" s="100"/>
      <c r="Q98" s="104"/>
    </row>
    <row r="99" spans="1:17" s="99" customFormat="1" x14ac:dyDescent="0.25">
      <c r="A99" s="135">
        <f>Données!A99</f>
        <v>5562</v>
      </c>
      <c r="B99" s="270" t="str">
        <f>Données!B99</f>
        <v>Mauborget</v>
      </c>
      <c r="C99" s="645">
        <f>Données!AR99</f>
        <v>0</v>
      </c>
      <c r="D99" s="271">
        <f>Données!Z99</f>
        <v>134</v>
      </c>
      <c r="E99" s="101">
        <f>Données!X99</f>
        <v>70</v>
      </c>
      <c r="F99" s="31">
        <f>VPI!L99</f>
        <v>311347.50999999995</v>
      </c>
      <c r="G99" s="8">
        <f t="shared" si="8"/>
        <v>8895.6431428571414</v>
      </c>
      <c r="H99" s="26">
        <f t="shared" si="9"/>
        <v>12225.003173586627</v>
      </c>
      <c r="I99" s="8">
        <f t="shared" si="10"/>
        <v>8895.6431428571414</v>
      </c>
      <c r="J99" s="8">
        <f>VPI!R99</f>
        <v>4951.6888333333327</v>
      </c>
      <c r="K99" s="171">
        <f t="shared" si="11"/>
        <v>5578.1022676695839</v>
      </c>
      <c r="L99" s="260">
        <f t="shared" si="12"/>
        <v>14473.745410526724</v>
      </c>
      <c r="M99" s="102"/>
      <c r="N99" s="103"/>
      <c r="O99" s="100"/>
      <c r="P99" s="100"/>
      <c r="Q99" s="104"/>
    </row>
    <row r="100" spans="1:17" s="99" customFormat="1" x14ac:dyDescent="0.25">
      <c r="A100" s="135">
        <f>Données!A100</f>
        <v>5563</v>
      </c>
      <c r="B100" s="270" t="str">
        <f>Données!B100</f>
        <v>Mutrux</v>
      </c>
      <c r="C100" s="645">
        <f>Données!AR100</f>
        <v>0</v>
      </c>
      <c r="D100" s="271">
        <f>Données!Z100</f>
        <v>145</v>
      </c>
      <c r="E100" s="101">
        <f>Données!X100</f>
        <v>80</v>
      </c>
      <c r="F100" s="31">
        <f>VPI!L100</f>
        <v>208992.92999999996</v>
      </c>
      <c r="G100" s="8">
        <f t="shared" si="8"/>
        <v>5224.8232499999995</v>
      </c>
      <c r="H100" s="26">
        <f t="shared" si="9"/>
        <v>13228.548210224335</v>
      </c>
      <c r="I100" s="8">
        <f t="shared" si="10"/>
        <v>5224.8232499999995</v>
      </c>
      <c r="J100" s="8">
        <f>VPI!R100</f>
        <v>2911.2397499999997</v>
      </c>
      <c r="K100" s="171">
        <f t="shared" si="11"/>
        <v>3279.5261571945503</v>
      </c>
      <c r="L100" s="260">
        <f t="shared" si="12"/>
        <v>8504.3494071945497</v>
      </c>
      <c r="M100" s="102"/>
      <c r="N100" s="103"/>
      <c r="O100" s="100"/>
      <c r="P100" s="100"/>
      <c r="Q100" s="104"/>
    </row>
    <row r="101" spans="1:17" s="99" customFormat="1" x14ac:dyDescent="0.25">
      <c r="A101" s="135">
        <f>Données!A101</f>
        <v>5564</v>
      </c>
      <c r="B101" s="270" t="str">
        <f>Données!B101</f>
        <v>Novalles</v>
      </c>
      <c r="C101" s="645">
        <f>Données!AR101</f>
        <v>0</v>
      </c>
      <c r="D101" s="271">
        <f>Données!Z101</f>
        <v>102</v>
      </c>
      <c r="E101" s="101">
        <f>Données!X101</f>
        <v>76</v>
      </c>
      <c r="F101" s="31">
        <f>VPI!L101</f>
        <v>158596.21000000002</v>
      </c>
      <c r="G101" s="8">
        <f t="shared" si="8"/>
        <v>4173.5844736842109</v>
      </c>
      <c r="H101" s="26">
        <f t="shared" si="9"/>
        <v>9305.5994306405664</v>
      </c>
      <c r="I101" s="8">
        <f t="shared" si="10"/>
        <v>4173.5844736842109</v>
      </c>
      <c r="J101" s="8">
        <f>VPI!R101</f>
        <v>2278.1877960526317</v>
      </c>
      <c r="K101" s="171">
        <f t="shared" si="11"/>
        <v>2566.3899608941551</v>
      </c>
      <c r="L101" s="260">
        <f t="shared" si="12"/>
        <v>6739.9744345783656</v>
      </c>
      <c r="M101" s="102"/>
      <c r="N101" s="103"/>
      <c r="O101" s="100"/>
      <c r="P101" s="100"/>
      <c r="Q101" s="104"/>
    </row>
    <row r="102" spans="1:17" s="99" customFormat="1" x14ac:dyDescent="0.25">
      <c r="A102" s="135">
        <f>Données!A102</f>
        <v>5565</v>
      </c>
      <c r="B102" s="270" t="str">
        <f>Données!B102</f>
        <v>Onnens</v>
      </c>
      <c r="C102" s="645">
        <f>Données!AR102</f>
        <v>0</v>
      </c>
      <c r="D102" s="271">
        <f>Données!Z102</f>
        <v>498</v>
      </c>
      <c r="E102" s="101">
        <f>Données!X102</f>
        <v>63.5</v>
      </c>
      <c r="F102" s="31">
        <f>VPI!L102</f>
        <v>1207335.1000000001</v>
      </c>
      <c r="G102" s="8">
        <f t="shared" si="8"/>
        <v>38026.302362204726</v>
      </c>
      <c r="H102" s="26">
        <f t="shared" si="9"/>
        <v>45433.220749598062</v>
      </c>
      <c r="I102" s="8">
        <f t="shared" si="10"/>
        <v>38026.302362204726</v>
      </c>
      <c r="J102" s="8">
        <f>VPI!R102</f>
        <v>21491.927559055119</v>
      </c>
      <c r="K102" s="171">
        <f t="shared" si="11"/>
        <v>24210.764021909115</v>
      </c>
      <c r="L102" s="260">
        <f t="shared" si="12"/>
        <v>62237.066384113845</v>
      </c>
      <c r="M102" s="102"/>
      <c r="N102" s="103"/>
      <c r="O102" s="100"/>
      <c r="P102" s="100"/>
      <c r="Q102" s="104"/>
    </row>
    <row r="103" spans="1:17" s="99" customFormat="1" x14ac:dyDescent="0.25">
      <c r="A103" s="135">
        <f>Données!A103</f>
        <v>5566</v>
      </c>
      <c r="B103" s="270" t="str">
        <f>Données!B103</f>
        <v>Provence</v>
      </c>
      <c r="C103" s="645">
        <f>Données!AR103</f>
        <v>0</v>
      </c>
      <c r="D103" s="271">
        <f>Données!Z103</f>
        <v>415</v>
      </c>
      <c r="E103" s="101">
        <f>Données!X103</f>
        <v>81</v>
      </c>
      <c r="F103" s="31">
        <f>VPI!L103</f>
        <v>718840.50999999989</v>
      </c>
      <c r="G103" s="8">
        <f t="shared" si="8"/>
        <v>17749.148395061726</v>
      </c>
      <c r="H103" s="26">
        <f t="shared" si="9"/>
        <v>37861.017291331715</v>
      </c>
      <c r="I103" s="8">
        <f t="shared" si="10"/>
        <v>17749.148395061726</v>
      </c>
      <c r="J103" s="8">
        <f>VPI!R103</f>
        <v>9668.921111111109</v>
      </c>
      <c r="K103" s="171">
        <f t="shared" si="11"/>
        <v>10892.08805140129</v>
      </c>
      <c r="L103" s="260">
        <f t="shared" si="12"/>
        <v>28641.236446463015</v>
      </c>
      <c r="M103" s="102"/>
      <c r="N103" s="103"/>
      <c r="O103" s="100"/>
      <c r="P103" s="100"/>
      <c r="Q103" s="104"/>
    </row>
    <row r="104" spans="1:17" s="99" customFormat="1" x14ac:dyDescent="0.25">
      <c r="A104" s="135">
        <f>Données!A104</f>
        <v>5568</v>
      </c>
      <c r="B104" s="270" t="str">
        <f>Données!B104</f>
        <v>Sainte-Croix</v>
      </c>
      <c r="C104" s="645">
        <f>Données!AR104</f>
        <v>0</v>
      </c>
      <c r="D104" s="271">
        <f>Données!Z104</f>
        <v>5051</v>
      </c>
      <c r="E104" s="101">
        <f>Données!X104</f>
        <v>70</v>
      </c>
      <c r="F104" s="31">
        <f>VPI!L104</f>
        <v>6867301.6400000006</v>
      </c>
      <c r="G104" s="8">
        <f t="shared" si="8"/>
        <v>196208.6182857143</v>
      </c>
      <c r="H104" s="26">
        <f t="shared" si="9"/>
        <v>460809.63455064216</v>
      </c>
      <c r="I104" s="8">
        <f t="shared" si="10"/>
        <v>196208.6182857143</v>
      </c>
      <c r="J104" s="8">
        <f>VPI!R104</f>
        <v>108679.35057142857</v>
      </c>
      <c r="K104" s="171">
        <f t="shared" si="11"/>
        <v>122427.83265992315</v>
      </c>
      <c r="L104" s="260">
        <f t="shared" si="12"/>
        <v>318636.45094563742</v>
      </c>
      <c r="M104" s="102"/>
      <c r="N104" s="103"/>
      <c r="O104" s="100"/>
      <c r="P104" s="100"/>
      <c r="Q104" s="104"/>
    </row>
    <row r="105" spans="1:17" s="99" customFormat="1" x14ac:dyDescent="0.25">
      <c r="A105" s="135">
        <f>Données!A105</f>
        <v>5571</v>
      </c>
      <c r="B105" s="270" t="str">
        <f>Données!B105</f>
        <v>Tévenon</v>
      </c>
      <c r="C105" s="645">
        <f>Données!AR105</f>
        <v>0</v>
      </c>
      <c r="D105" s="271">
        <f>Données!Z105</f>
        <v>865</v>
      </c>
      <c r="E105" s="101">
        <f>Données!X105</f>
        <v>71.5</v>
      </c>
      <c r="F105" s="31">
        <f>VPI!L105</f>
        <v>1674518.74</v>
      </c>
      <c r="G105" s="8">
        <f t="shared" si="8"/>
        <v>46839.685034965034</v>
      </c>
      <c r="H105" s="26">
        <f t="shared" si="9"/>
        <v>78915.132426510681</v>
      </c>
      <c r="I105" s="8">
        <f t="shared" si="10"/>
        <v>46839.685034965034</v>
      </c>
      <c r="J105" s="8">
        <f>VPI!R105</f>
        <v>25950.769557109554</v>
      </c>
      <c r="K105" s="171">
        <f t="shared" si="11"/>
        <v>29233.671861573344</v>
      </c>
      <c r="L105" s="260">
        <f t="shared" si="12"/>
        <v>76073.356896538375</v>
      </c>
      <c r="M105" s="102"/>
      <c r="N105" s="103"/>
      <c r="O105" s="100"/>
      <c r="P105" s="100"/>
      <c r="Q105" s="104"/>
    </row>
    <row r="106" spans="1:17" s="99" customFormat="1" x14ac:dyDescent="0.25">
      <c r="A106" s="135">
        <f>Données!A106</f>
        <v>5581</v>
      </c>
      <c r="B106" s="270" t="str">
        <f>Données!B106</f>
        <v>Belmont-sur-Lausanne</v>
      </c>
      <c r="C106" s="645">
        <f>Données!AR106</f>
        <v>1</v>
      </c>
      <c r="D106" s="271">
        <f>Données!Z106</f>
        <v>3896</v>
      </c>
      <c r="E106" s="101">
        <f>Données!X106</f>
        <v>72</v>
      </c>
      <c r="F106" s="31">
        <f>VPI!L106</f>
        <v>14556843.790000001</v>
      </c>
      <c r="G106" s="8">
        <f t="shared" si="8"/>
        <v>404356.77194444445</v>
      </c>
      <c r="H106" s="26">
        <f t="shared" si="9"/>
        <v>355437.4057036828</v>
      </c>
      <c r="I106" s="8">
        <f t="shared" si="10"/>
        <v>0</v>
      </c>
      <c r="J106" s="8">
        <f>VPI!R106</f>
        <v>216786.11745370374</v>
      </c>
      <c r="K106" s="171">
        <f t="shared" si="11"/>
        <v>244210.64692664749</v>
      </c>
      <c r="L106" s="260">
        <f t="shared" si="12"/>
        <v>244210.64692664749</v>
      </c>
      <c r="M106" s="102"/>
      <c r="N106" s="103"/>
      <c r="O106" s="100"/>
      <c r="P106" s="100"/>
      <c r="Q106" s="104"/>
    </row>
    <row r="107" spans="1:17" s="99" customFormat="1" x14ac:dyDescent="0.25">
      <c r="A107" s="135">
        <f>Données!A107</f>
        <v>5582</v>
      </c>
      <c r="B107" s="270" t="str">
        <f>Données!B107</f>
        <v>Cheseaux-sur-Lausanne</v>
      </c>
      <c r="C107" s="645">
        <f>Données!AR107</f>
        <v>0</v>
      </c>
      <c r="D107" s="271">
        <f>Données!Z107</f>
        <v>4842</v>
      </c>
      <c r="E107" s="101">
        <f>Données!X107</f>
        <v>73</v>
      </c>
      <c r="F107" s="31">
        <f>VPI!L107</f>
        <v>12005483.789999999</v>
      </c>
      <c r="G107" s="8">
        <f t="shared" si="8"/>
        <v>328917.36410958902</v>
      </c>
      <c r="H107" s="26">
        <f t="shared" si="9"/>
        <v>441742.27885452571</v>
      </c>
      <c r="I107" s="8">
        <f t="shared" si="10"/>
        <v>328917.36410958902</v>
      </c>
      <c r="J107" s="8">
        <f>VPI!R107</f>
        <v>179452.21630136986</v>
      </c>
      <c r="K107" s="171">
        <f t="shared" si="11"/>
        <v>202153.8203189472</v>
      </c>
      <c r="L107" s="260">
        <f t="shared" si="12"/>
        <v>531071.18442853622</v>
      </c>
      <c r="M107" s="102"/>
      <c r="N107" s="103"/>
      <c r="O107" s="100"/>
      <c r="P107" s="100"/>
      <c r="Q107" s="104"/>
    </row>
    <row r="108" spans="1:17" s="99" customFormat="1" x14ac:dyDescent="0.25">
      <c r="A108" s="135">
        <f>Données!A108</f>
        <v>5583</v>
      </c>
      <c r="B108" s="270" t="str">
        <f>Données!B108</f>
        <v>Crissier</v>
      </c>
      <c r="C108" s="645">
        <f>Données!AR108</f>
        <v>1</v>
      </c>
      <c r="D108" s="271">
        <f>Données!Z108</f>
        <v>9327</v>
      </c>
      <c r="E108" s="101">
        <f>Données!X108</f>
        <v>63.5</v>
      </c>
      <c r="F108" s="31">
        <f>VPI!L108</f>
        <v>19958887.300000001</v>
      </c>
      <c r="G108" s="8">
        <f t="shared" si="8"/>
        <v>628626.37165354332</v>
      </c>
      <c r="H108" s="26">
        <f t="shared" si="9"/>
        <v>850914.95970180945</v>
      </c>
      <c r="I108" s="8">
        <f t="shared" si="10"/>
        <v>0</v>
      </c>
      <c r="J108" s="8">
        <f>VPI!R108</f>
        <v>371804.01181102369</v>
      </c>
      <c r="K108" s="171">
        <f t="shared" si="11"/>
        <v>418839.08121415414</v>
      </c>
      <c r="L108" s="260">
        <f t="shared" si="12"/>
        <v>418839.08121415414</v>
      </c>
      <c r="M108" s="102"/>
      <c r="N108" s="103"/>
      <c r="O108" s="100"/>
      <c r="P108" s="100"/>
      <c r="Q108" s="104"/>
    </row>
    <row r="109" spans="1:17" s="99" customFormat="1" x14ac:dyDescent="0.25">
      <c r="A109" s="135">
        <f>Données!A109</f>
        <v>5584</v>
      </c>
      <c r="B109" s="270" t="str">
        <f>Données!B109</f>
        <v>Epalinges</v>
      </c>
      <c r="C109" s="645">
        <f>Données!AR109</f>
        <v>0</v>
      </c>
      <c r="D109" s="271">
        <f>Données!Z109</f>
        <v>9910</v>
      </c>
      <c r="E109" s="101">
        <f>Données!X109</f>
        <v>64.5</v>
      </c>
      <c r="F109" s="31">
        <f>VPI!L109</f>
        <v>30378451.400000002</v>
      </c>
      <c r="G109" s="8">
        <f t="shared" si="8"/>
        <v>941967.48527131788</v>
      </c>
      <c r="H109" s="26">
        <f t="shared" si="9"/>
        <v>904102.84664360795</v>
      </c>
      <c r="I109" s="8">
        <f t="shared" si="10"/>
        <v>904102.84664360795</v>
      </c>
      <c r="J109" s="8">
        <f>VPI!R109</f>
        <v>516751.95968992251</v>
      </c>
      <c r="K109" s="171">
        <f t="shared" si="11"/>
        <v>582123.67036574183</v>
      </c>
      <c r="L109" s="260">
        <f t="shared" si="12"/>
        <v>1486226.5170093498</v>
      </c>
      <c r="M109" s="102"/>
      <c r="N109" s="103"/>
      <c r="O109" s="100"/>
      <c r="P109" s="100"/>
      <c r="Q109" s="104"/>
    </row>
    <row r="110" spans="1:17" s="99" customFormat="1" x14ac:dyDescent="0.25">
      <c r="A110" s="135">
        <f>Données!A110</f>
        <v>5585</v>
      </c>
      <c r="B110" s="270" t="str">
        <f>Données!B110</f>
        <v>Jouxtens-Mézery</v>
      </c>
      <c r="C110" s="645">
        <f>Données!AR110</f>
        <v>0</v>
      </c>
      <c r="D110" s="271">
        <f>Données!Z110</f>
        <v>1493</v>
      </c>
      <c r="E110" s="101">
        <f>Données!X110</f>
        <v>59</v>
      </c>
      <c r="F110" s="31">
        <f>VPI!L110</f>
        <v>14236278.16</v>
      </c>
      <c r="G110" s="8">
        <f t="shared" si="8"/>
        <v>482585.70033898304</v>
      </c>
      <c r="H110" s="26">
        <f t="shared" si="9"/>
        <v>136208.43088182711</v>
      </c>
      <c r="I110" s="8">
        <f t="shared" si="10"/>
        <v>136208.43088182711</v>
      </c>
      <c r="J110" s="8">
        <f>VPI!R110</f>
        <v>251674.37118644069</v>
      </c>
      <c r="K110" s="171">
        <f t="shared" si="11"/>
        <v>283512.43946893164</v>
      </c>
      <c r="L110" s="260">
        <f t="shared" si="12"/>
        <v>419720.87035075878</v>
      </c>
      <c r="M110" s="102"/>
      <c r="N110" s="103"/>
      <c r="O110" s="100"/>
      <c r="P110" s="100"/>
      <c r="Q110" s="104"/>
    </row>
    <row r="111" spans="1:17" s="99" customFormat="1" x14ac:dyDescent="0.25">
      <c r="A111" s="135">
        <f>Données!A111</f>
        <v>5586</v>
      </c>
      <c r="B111" s="270" t="str">
        <f>Données!B111</f>
        <v>Lausanne</v>
      </c>
      <c r="C111" s="645">
        <f>Données!AR111</f>
        <v>1</v>
      </c>
      <c r="D111" s="271">
        <f>Données!Z111</f>
        <v>144365</v>
      </c>
      <c r="E111" s="101">
        <f>Données!X111</f>
        <v>78.5</v>
      </c>
      <c r="F111" s="31">
        <f>VPI!L111</f>
        <v>505332291.78000009</v>
      </c>
      <c r="G111" s="8">
        <f t="shared" si="8"/>
        <v>12874708.070828028</v>
      </c>
      <c r="H111" s="26">
        <f t="shared" si="9"/>
        <v>13170616.292200249</v>
      </c>
      <c r="I111" s="8">
        <f t="shared" si="10"/>
        <v>0</v>
      </c>
      <c r="J111" s="8">
        <f>VPI!R111</f>
        <v>6915333.6485774955</v>
      </c>
      <c r="K111" s="171">
        <f t="shared" si="11"/>
        <v>7790157.9855240444</v>
      </c>
      <c r="L111" s="260">
        <f t="shared" si="12"/>
        <v>7790157.9855240444</v>
      </c>
      <c r="M111" s="102"/>
      <c r="N111" s="103"/>
      <c r="O111" s="100"/>
      <c r="P111" s="100"/>
      <c r="Q111" s="104"/>
    </row>
    <row r="112" spans="1:17" s="99" customFormat="1" x14ac:dyDescent="0.25">
      <c r="A112" s="135">
        <f>Données!A112</f>
        <v>5587</v>
      </c>
      <c r="B112" s="270" t="str">
        <f>Données!B112</f>
        <v>Le Mont-sur-Lausanne</v>
      </c>
      <c r="C112" s="645">
        <f>Données!AR112</f>
        <v>0</v>
      </c>
      <c r="D112" s="271">
        <f>Données!Z112</f>
        <v>9274</v>
      </c>
      <c r="E112" s="101">
        <f>Données!X112</f>
        <v>73.5</v>
      </c>
      <c r="F112" s="31">
        <f>VPI!L112</f>
        <v>32913695.609999999</v>
      </c>
      <c r="G112" s="8">
        <f t="shared" si="8"/>
        <v>895610.76489795919</v>
      </c>
      <c r="H112" s="26">
        <f t="shared" si="9"/>
        <v>846079.69725255505</v>
      </c>
      <c r="I112" s="8">
        <f t="shared" si="10"/>
        <v>846079.69725255505</v>
      </c>
      <c r="J112" s="8">
        <f>VPI!R112</f>
        <v>490592.89707482996</v>
      </c>
      <c r="K112" s="171">
        <f t="shared" si="11"/>
        <v>552655.35533126688</v>
      </c>
      <c r="L112" s="260">
        <f t="shared" si="12"/>
        <v>1398735.052583822</v>
      </c>
      <c r="M112" s="102"/>
      <c r="N112" s="103"/>
      <c r="O112" s="100"/>
      <c r="P112" s="100"/>
      <c r="Q112" s="104"/>
    </row>
    <row r="113" spans="1:17" s="99" customFormat="1" x14ac:dyDescent="0.25">
      <c r="A113" s="135">
        <f>Données!A113</f>
        <v>5588</v>
      </c>
      <c r="B113" s="270" t="str">
        <f>Données!B113</f>
        <v>Paudex</v>
      </c>
      <c r="C113" s="645">
        <f>Données!AR113</f>
        <v>1</v>
      </c>
      <c r="D113" s="271">
        <f>Données!Z113</f>
        <v>1538</v>
      </c>
      <c r="E113" s="101">
        <f>Données!X113</f>
        <v>66.5</v>
      </c>
      <c r="F113" s="31">
        <f>VPI!L113</f>
        <v>7600538.3499999987</v>
      </c>
      <c r="G113" s="8">
        <f t="shared" si="8"/>
        <v>228587.61954887214</v>
      </c>
      <c r="H113" s="26">
        <f t="shared" si="9"/>
        <v>140313.84239534501</v>
      </c>
      <c r="I113" s="8">
        <f t="shared" si="10"/>
        <v>0</v>
      </c>
      <c r="J113" s="8">
        <f>VPI!R113</f>
        <v>123433.64683136411</v>
      </c>
      <c r="K113" s="171">
        <f t="shared" si="11"/>
        <v>139048.62128286509</v>
      </c>
      <c r="L113" s="260">
        <f t="shared" si="12"/>
        <v>139048.62128286509</v>
      </c>
      <c r="M113" s="102"/>
      <c r="N113" s="103"/>
      <c r="O113" s="100"/>
      <c r="P113" s="100"/>
      <c r="Q113" s="104"/>
    </row>
    <row r="114" spans="1:17" s="99" customFormat="1" x14ac:dyDescent="0.25">
      <c r="A114" s="135">
        <f>Données!A114</f>
        <v>5589</v>
      </c>
      <c r="B114" s="270" t="str">
        <f>Données!B114</f>
        <v>Prilly</v>
      </c>
      <c r="C114" s="645">
        <f>Données!AR114</f>
        <v>1</v>
      </c>
      <c r="D114" s="271">
        <f>Données!Z114</f>
        <v>12439</v>
      </c>
      <c r="E114" s="101">
        <f>Données!X114</f>
        <v>72.5</v>
      </c>
      <c r="F114" s="31">
        <f>VPI!L114</f>
        <v>29869227.520000003</v>
      </c>
      <c r="G114" s="8">
        <f t="shared" si="8"/>
        <v>823978.69020689663</v>
      </c>
      <c r="H114" s="26">
        <f t="shared" si="9"/>
        <v>1134826.9737033139</v>
      </c>
      <c r="I114" s="8">
        <f t="shared" si="10"/>
        <v>0</v>
      </c>
      <c r="J114" s="8">
        <f>VPI!R114</f>
        <v>450278.56075331569</v>
      </c>
      <c r="K114" s="171">
        <f t="shared" si="11"/>
        <v>507241.05358015065</v>
      </c>
      <c r="L114" s="260">
        <f t="shared" si="12"/>
        <v>507241.05358015065</v>
      </c>
      <c r="M114" s="102"/>
      <c r="N114" s="103"/>
      <c r="O114" s="100"/>
      <c r="P114" s="100"/>
      <c r="Q114" s="104"/>
    </row>
    <row r="115" spans="1:17" s="99" customFormat="1" x14ac:dyDescent="0.25">
      <c r="A115" s="135">
        <f>Données!A115</f>
        <v>5590</v>
      </c>
      <c r="B115" s="270" t="str">
        <f>Données!B115</f>
        <v>Pully</v>
      </c>
      <c r="C115" s="645">
        <f>Données!AR115</f>
        <v>1</v>
      </c>
      <c r="D115" s="271">
        <f>Données!Z115</f>
        <v>19298</v>
      </c>
      <c r="E115" s="101">
        <f>Données!X115</f>
        <v>61</v>
      </c>
      <c r="F115" s="31">
        <f>VPI!L115</f>
        <v>91650250.099999979</v>
      </c>
      <c r="G115" s="8">
        <f t="shared" si="8"/>
        <v>3004926.2327868845</v>
      </c>
      <c r="H115" s="26">
        <f t="shared" si="9"/>
        <v>1760582.9197304084</v>
      </c>
      <c r="I115" s="8">
        <f t="shared" si="10"/>
        <v>0</v>
      </c>
      <c r="J115" s="8">
        <f>VPI!R115</f>
        <v>1605465.5341920371</v>
      </c>
      <c r="K115" s="171">
        <f t="shared" si="11"/>
        <v>1808564.9640697257</v>
      </c>
      <c r="L115" s="260">
        <f t="shared" si="12"/>
        <v>1808564.9640697257</v>
      </c>
      <c r="M115" s="102"/>
      <c r="N115" s="103"/>
      <c r="O115" s="100"/>
      <c r="P115" s="100"/>
      <c r="Q115" s="104"/>
    </row>
    <row r="116" spans="1:17" s="99" customFormat="1" x14ac:dyDescent="0.25">
      <c r="A116" s="135">
        <f>Données!A116</f>
        <v>5591</v>
      </c>
      <c r="B116" s="270" t="str">
        <f>Données!B116</f>
        <v>Renens</v>
      </c>
      <c r="C116" s="645">
        <f>Données!AR116</f>
        <v>1</v>
      </c>
      <c r="D116" s="271">
        <f>Données!Z116</f>
        <v>21466</v>
      </c>
      <c r="E116" s="101">
        <f>Données!X116</f>
        <v>77</v>
      </c>
      <c r="F116" s="31">
        <f>VPI!L116</f>
        <v>44385877.589999996</v>
      </c>
      <c r="G116" s="8">
        <f t="shared" si="8"/>
        <v>1152879.9374025974</v>
      </c>
      <c r="H116" s="26">
        <f t="shared" si="9"/>
        <v>1958372.5233150038</v>
      </c>
      <c r="I116" s="8">
        <f t="shared" si="10"/>
        <v>0</v>
      </c>
      <c r="J116" s="8">
        <f>VPI!R116</f>
        <v>640589.63196660485</v>
      </c>
      <c r="K116" s="171">
        <f t="shared" si="11"/>
        <v>721627.42833602452</v>
      </c>
      <c r="L116" s="260">
        <f t="shared" si="12"/>
        <v>721627.42833602452</v>
      </c>
      <c r="M116" s="102"/>
      <c r="N116" s="103"/>
      <c r="O116" s="100"/>
      <c r="P116" s="100"/>
      <c r="Q116" s="104"/>
    </row>
    <row r="117" spans="1:17" s="99" customFormat="1" x14ac:dyDescent="0.25">
      <c r="A117" s="135">
        <f>Données!A117</f>
        <v>5592</v>
      </c>
      <c r="B117" s="270" t="str">
        <f>Données!B117</f>
        <v>Romanel-sur-Lausanne</v>
      </c>
      <c r="C117" s="645">
        <f>Données!AR117</f>
        <v>0</v>
      </c>
      <c r="D117" s="271">
        <f>Données!Z117</f>
        <v>3992</v>
      </c>
      <c r="E117" s="101">
        <f>Données!X117</f>
        <v>70.5</v>
      </c>
      <c r="F117" s="31">
        <f>VPI!L117</f>
        <v>8664050.5499999989</v>
      </c>
      <c r="G117" s="8">
        <f t="shared" si="8"/>
        <v>245788.66808510636</v>
      </c>
      <c r="H117" s="26">
        <f t="shared" si="9"/>
        <v>364195.61693252099</v>
      </c>
      <c r="I117" s="8">
        <f t="shared" si="10"/>
        <v>245788.66808510636</v>
      </c>
      <c r="J117" s="8">
        <f>VPI!R117</f>
        <v>135992.91645390069</v>
      </c>
      <c r="K117" s="171">
        <f t="shared" si="11"/>
        <v>153196.7014065882</v>
      </c>
      <c r="L117" s="260">
        <f t="shared" si="12"/>
        <v>398985.36949169455</v>
      </c>
      <c r="M117" s="102"/>
      <c r="N117" s="103"/>
      <c r="O117" s="100"/>
      <c r="P117" s="100"/>
      <c r="Q117" s="104"/>
    </row>
    <row r="118" spans="1:17" s="99" customFormat="1" x14ac:dyDescent="0.25">
      <c r="A118" s="135">
        <f>Données!A118</f>
        <v>5601</v>
      </c>
      <c r="B118" s="270" t="str">
        <f>Données!B118</f>
        <v>Chexbres</v>
      </c>
      <c r="C118" s="645">
        <f>Données!AR118</f>
        <v>1</v>
      </c>
      <c r="D118" s="271">
        <f>Données!Z118</f>
        <v>2230</v>
      </c>
      <c r="E118" s="101">
        <f>Données!X118</f>
        <v>67.5</v>
      </c>
      <c r="F118" s="31">
        <f>VPI!L118</f>
        <v>6332661.21</v>
      </c>
      <c r="G118" s="8">
        <f t="shared" si="8"/>
        <v>187634.40622222223</v>
      </c>
      <c r="H118" s="26">
        <f t="shared" si="9"/>
        <v>203445.94833655356</v>
      </c>
      <c r="I118" s="8">
        <f t="shared" si="10"/>
        <v>0</v>
      </c>
      <c r="J118" s="8">
        <f>VPI!R118</f>
        <v>102021.70311111111</v>
      </c>
      <c r="K118" s="171">
        <f t="shared" si="11"/>
        <v>114927.95945590724</v>
      </c>
      <c r="L118" s="260">
        <f t="shared" si="12"/>
        <v>114927.95945590724</v>
      </c>
      <c r="M118" s="102"/>
      <c r="N118" s="103"/>
      <c r="O118" s="100"/>
      <c r="P118" s="100"/>
      <c r="Q118" s="104"/>
    </row>
    <row r="119" spans="1:17" s="99" customFormat="1" x14ac:dyDescent="0.25">
      <c r="A119" s="135">
        <f>Données!A119</f>
        <v>5604</v>
      </c>
      <c r="B119" s="270" t="str">
        <f>Données!B119</f>
        <v>Forel (Lavaux)</v>
      </c>
      <c r="C119" s="645">
        <f>Données!AR119</f>
        <v>0</v>
      </c>
      <c r="D119" s="271">
        <f>Données!Z119</f>
        <v>2068</v>
      </c>
      <c r="E119" s="101">
        <f>Données!X119</f>
        <v>69</v>
      </c>
      <c r="F119" s="31">
        <f>VPI!L119</f>
        <v>4759533.71</v>
      </c>
      <c r="G119" s="8">
        <f t="shared" si="8"/>
        <v>137957.4988405797</v>
      </c>
      <c r="H119" s="26">
        <f t="shared" si="9"/>
        <v>188666.46688788914</v>
      </c>
      <c r="I119" s="8">
        <f t="shared" si="10"/>
        <v>137957.4988405797</v>
      </c>
      <c r="J119" s="8">
        <f>VPI!R119</f>
        <v>75702.239275362328</v>
      </c>
      <c r="K119" s="171">
        <f t="shared" si="11"/>
        <v>85278.951643110602</v>
      </c>
      <c r="L119" s="260">
        <f t="shared" si="12"/>
        <v>223236.45048369031</v>
      </c>
      <c r="M119" s="102"/>
      <c r="N119" s="103"/>
      <c r="O119" s="100"/>
      <c r="P119" s="100"/>
      <c r="Q119" s="104"/>
    </row>
    <row r="120" spans="1:17" s="99" customFormat="1" x14ac:dyDescent="0.25">
      <c r="A120" s="135">
        <f>Données!A120</f>
        <v>5606</v>
      </c>
      <c r="B120" s="270" t="str">
        <f>Données!B120</f>
        <v>Lutry</v>
      </c>
      <c r="C120" s="645">
        <f>Données!AR120</f>
        <v>1</v>
      </c>
      <c r="D120" s="271">
        <f>Données!Z120</f>
        <v>10796</v>
      </c>
      <c r="E120" s="101">
        <f>Données!X120</f>
        <v>54</v>
      </c>
      <c r="F120" s="31">
        <f>VPI!L120</f>
        <v>50097348.009999998</v>
      </c>
      <c r="G120" s="8">
        <f t="shared" si="8"/>
        <v>1855457.3337037037</v>
      </c>
      <c r="H120" s="26">
        <f t="shared" si="9"/>
        <v>984933.83777642704</v>
      </c>
      <c r="I120" s="8">
        <f t="shared" si="10"/>
        <v>0</v>
      </c>
      <c r="J120" s="8">
        <f>VPI!R120</f>
        <v>997292.15626984113</v>
      </c>
      <c r="K120" s="171">
        <f t="shared" si="11"/>
        <v>1123454.6082478776</v>
      </c>
      <c r="L120" s="260">
        <f t="shared" si="12"/>
        <v>1123454.6082478776</v>
      </c>
      <c r="M120" s="102"/>
      <c r="N120" s="103"/>
      <c r="O120" s="100"/>
      <c r="P120" s="100"/>
      <c r="Q120" s="104"/>
    </row>
    <row r="121" spans="1:17" s="99" customFormat="1" x14ac:dyDescent="0.25">
      <c r="A121" s="135">
        <f>Données!A121</f>
        <v>5607</v>
      </c>
      <c r="B121" s="270" t="str">
        <f>Données!B121</f>
        <v>Puidoux</v>
      </c>
      <c r="C121" s="645">
        <f>Données!AR121</f>
        <v>1</v>
      </c>
      <c r="D121" s="271">
        <f>Données!Z121</f>
        <v>3012</v>
      </c>
      <c r="E121" s="101">
        <f>Données!X121</f>
        <v>68.5</v>
      </c>
      <c r="F121" s="31">
        <f>VPI!L121</f>
        <v>8290038.9600000009</v>
      </c>
      <c r="G121" s="8">
        <f t="shared" si="8"/>
        <v>242044.93313868614</v>
      </c>
      <c r="H121" s="26">
        <f t="shared" si="9"/>
        <v>274788.87730479788</v>
      </c>
      <c r="I121" s="8">
        <f t="shared" si="10"/>
        <v>0</v>
      </c>
      <c r="J121" s="8">
        <f>VPI!R121</f>
        <v>134658.72766105999</v>
      </c>
      <c r="K121" s="171">
        <f t="shared" si="11"/>
        <v>151693.73105014232</v>
      </c>
      <c r="L121" s="260">
        <f t="shared" si="12"/>
        <v>151693.73105014232</v>
      </c>
      <c r="M121" s="102"/>
      <c r="N121" s="103"/>
      <c r="O121" s="100"/>
      <c r="P121" s="100"/>
      <c r="Q121" s="104"/>
    </row>
    <row r="122" spans="1:17" s="99" customFormat="1" x14ac:dyDescent="0.25">
      <c r="A122" s="135">
        <f>Données!A122</f>
        <v>5609</v>
      </c>
      <c r="B122" s="270" t="str">
        <f>Données!B122</f>
        <v>Rivaz</v>
      </c>
      <c r="C122" s="645">
        <f>Données!AR122</f>
        <v>1</v>
      </c>
      <c r="D122" s="271">
        <f>Données!Z122</f>
        <v>326</v>
      </c>
      <c r="E122" s="101">
        <f>Données!X122</f>
        <v>62</v>
      </c>
      <c r="F122" s="31">
        <f>VPI!L122</f>
        <v>799393.29</v>
      </c>
      <c r="G122" s="8">
        <f t="shared" si="8"/>
        <v>25786.880322580648</v>
      </c>
      <c r="H122" s="26">
        <f t="shared" si="9"/>
        <v>29741.425631262988</v>
      </c>
      <c r="I122" s="8">
        <f t="shared" si="10"/>
        <v>0</v>
      </c>
      <c r="J122" s="8">
        <f>VPI!R122</f>
        <v>13979.892580645163</v>
      </c>
      <c r="K122" s="171">
        <f t="shared" si="11"/>
        <v>15748.41900018569</v>
      </c>
      <c r="L122" s="260">
        <f t="shared" si="12"/>
        <v>15748.41900018569</v>
      </c>
      <c r="M122" s="102"/>
      <c r="N122" s="103"/>
      <c r="O122" s="100"/>
      <c r="P122" s="100"/>
      <c r="Q122" s="104"/>
    </row>
    <row r="123" spans="1:17" s="99" customFormat="1" x14ac:dyDescent="0.25">
      <c r="A123" s="135">
        <f>Données!A123</f>
        <v>5610</v>
      </c>
      <c r="B123" s="270" t="str">
        <f>Données!B123</f>
        <v>St-Saphorin (Lavaux)</v>
      </c>
      <c r="C123" s="645">
        <f>Données!AR123</f>
        <v>1</v>
      </c>
      <c r="D123" s="271">
        <f>Données!Z123</f>
        <v>391</v>
      </c>
      <c r="E123" s="101">
        <f>Données!X123</f>
        <v>72</v>
      </c>
      <c r="F123" s="31">
        <f>VPI!L123</f>
        <v>1268663.8399999999</v>
      </c>
      <c r="G123" s="8">
        <f t="shared" si="8"/>
        <v>35240.662222222221</v>
      </c>
      <c r="H123" s="26">
        <f t="shared" si="9"/>
        <v>35671.464484122167</v>
      </c>
      <c r="I123" s="8">
        <f t="shared" si="10"/>
        <v>0</v>
      </c>
      <c r="J123" s="8">
        <f>VPI!R123</f>
        <v>19286.757384259257</v>
      </c>
      <c r="K123" s="171">
        <f t="shared" si="11"/>
        <v>21726.628777016176</v>
      </c>
      <c r="L123" s="260">
        <f t="shared" si="12"/>
        <v>21726.628777016176</v>
      </c>
      <c r="M123" s="102"/>
      <c r="N123" s="103"/>
      <c r="O123" s="100"/>
      <c r="P123" s="100"/>
      <c r="Q123" s="104"/>
    </row>
    <row r="124" spans="1:17" s="99" customFormat="1" x14ac:dyDescent="0.25">
      <c r="A124" s="135">
        <f>Données!A124</f>
        <v>5611</v>
      </c>
      <c r="B124" s="270" t="str">
        <f>Données!B124</f>
        <v>Savigny</v>
      </c>
      <c r="C124" s="645">
        <f>Données!AR124</f>
        <v>1</v>
      </c>
      <c r="D124" s="271">
        <f>Données!Z124</f>
        <v>3448</v>
      </c>
      <c r="E124" s="101">
        <f>Données!X124</f>
        <v>69</v>
      </c>
      <c r="F124" s="31">
        <f>VPI!L124</f>
        <v>9184697.7999999989</v>
      </c>
      <c r="G124" s="8">
        <f t="shared" si="8"/>
        <v>266223.12463768112</v>
      </c>
      <c r="H124" s="26">
        <f t="shared" si="9"/>
        <v>314565.75330243795</v>
      </c>
      <c r="I124" s="8">
        <f t="shared" si="10"/>
        <v>0</v>
      </c>
      <c r="J124" s="8">
        <f>VPI!R124</f>
        <v>143902.95567632848</v>
      </c>
      <c r="K124" s="171">
        <f t="shared" si="11"/>
        <v>162107.40020231149</v>
      </c>
      <c r="L124" s="260">
        <f t="shared" si="12"/>
        <v>162107.40020231149</v>
      </c>
      <c r="M124" s="102"/>
      <c r="N124" s="103"/>
      <c r="O124" s="100"/>
      <c r="P124" s="100"/>
      <c r="Q124" s="104"/>
    </row>
    <row r="125" spans="1:17" s="99" customFormat="1" x14ac:dyDescent="0.25">
      <c r="A125" s="135">
        <f>Données!A125</f>
        <v>5613</v>
      </c>
      <c r="B125" s="270" t="str">
        <f>Données!B125</f>
        <v>Bourg-en-Lavaux</v>
      </c>
      <c r="C125" s="645">
        <f>Données!AR125</f>
        <v>1</v>
      </c>
      <c r="D125" s="271">
        <f>Données!Z125</f>
        <v>5411</v>
      </c>
      <c r="E125" s="101">
        <f>Données!X125</f>
        <v>62.5</v>
      </c>
      <c r="F125" s="31">
        <f>VPI!L125</f>
        <v>21067445.75</v>
      </c>
      <c r="G125" s="8">
        <f t="shared" si="8"/>
        <v>674158.26399999997</v>
      </c>
      <c r="H125" s="26">
        <f t="shared" si="9"/>
        <v>493652.92665878532</v>
      </c>
      <c r="I125" s="8">
        <f t="shared" si="10"/>
        <v>0</v>
      </c>
      <c r="J125" s="8">
        <f>VPI!R125</f>
        <v>363833.56800000003</v>
      </c>
      <c r="K125" s="171">
        <f t="shared" si="11"/>
        <v>409860.33634688531</v>
      </c>
      <c r="L125" s="260">
        <f t="shared" si="12"/>
        <v>409860.33634688531</v>
      </c>
      <c r="M125" s="102"/>
      <c r="N125" s="103"/>
      <c r="O125" s="100"/>
      <c r="P125" s="100"/>
      <c r="Q125" s="104"/>
    </row>
    <row r="126" spans="1:17" s="99" customFormat="1" x14ac:dyDescent="0.25">
      <c r="A126" s="135">
        <f>Données!A126</f>
        <v>5621</v>
      </c>
      <c r="B126" s="270" t="str">
        <f>Données!B126</f>
        <v>Aclens</v>
      </c>
      <c r="C126" s="645">
        <f>Données!AR126</f>
        <v>0</v>
      </c>
      <c r="D126" s="271">
        <f>Données!Z126</f>
        <v>578</v>
      </c>
      <c r="E126" s="101">
        <f>Données!X126</f>
        <v>62</v>
      </c>
      <c r="F126" s="31">
        <f>VPI!L126</f>
        <v>1748784.74</v>
      </c>
      <c r="G126" s="8">
        <f t="shared" si="8"/>
        <v>56412.410967741933</v>
      </c>
      <c r="H126" s="26">
        <f t="shared" si="9"/>
        <v>52731.730106963209</v>
      </c>
      <c r="I126" s="8">
        <f t="shared" si="10"/>
        <v>52731.730106963209</v>
      </c>
      <c r="J126" s="8">
        <f>VPI!R126</f>
        <v>33787.730043988267</v>
      </c>
      <c r="K126" s="171">
        <f t="shared" si="11"/>
        <v>38062.047095739093</v>
      </c>
      <c r="L126" s="260">
        <f t="shared" si="12"/>
        <v>90793.777202702302</v>
      </c>
      <c r="M126" s="102"/>
      <c r="N126" s="103"/>
      <c r="O126" s="100"/>
      <c r="P126" s="100"/>
      <c r="Q126" s="104"/>
    </row>
    <row r="127" spans="1:17" s="99" customFormat="1" x14ac:dyDescent="0.25">
      <c r="A127" s="135">
        <f>Données!A127</f>
        <v>5622</v>
      </c>
      <c r="B127" s="270" t="str">
        <f>Données!B127</f>
        <v>Bremblens</v>
      </c>
      <c r="C127" s="645">
        <f>Données!AR127</f>
        <v>0</v>
      </c>
      <c r="D127" s="271">
        <f>Données!Z127</f>
        <v>614</v>
      </c>
      <c r="E127" s="101">
        <f>Données!X127</f>
        <v>68</v>
      </c>
      <c r="F127" s="31">
        <f>VPI!L127</f>
        <v>1862129.27</v>
      </c>
      <c r="G127" s="8">
        <f t="shared" si="8"/>
        <v>54768.507941176475</v>
      </c>
      <c r="H127" s="26">
        <f t="shared" si="9"/>
        <v>56016.059317777523</v>
      </c>
      <c r="I127" s="8">
        <f t="shared" si="10"/>
        <v>54768.507941176475</v>
      </c>
      <c r="J127" s="8">
        <f>VPI!R127</f>
        <v>29905.330441176469</v>
      </c>
      <c r="K127" s="171">
        <f t="shared" si="11"/>
        <v>33688.504501006719</v>
      </c>
      <c r="L127" s="260">
        <f t="shared" si="12"/>
        <v>88457.012442183186</v>
      </c>
      <c r="M127" s="102"/>
      <c r="N127" s="103"/>
      <c r="O127" s="100"/>
      <c r="P127" s="100"/>
      <c r="Q127" s="104"/>
    </row>
    <row r="128" spans="1:17" s="99" customFormat="1" x14ac:dyDescent="0.25">
      <c r="A128" s="135">
        <f>Données!A128</f>
        <v>5623</v>
      </c>
      <c r="B128" s="270" t="str">
        <f>Données!B128</f>
        <v>Buchillon</v>
      </c>
      <c r="C128" s="645">
        <f>Données!AR128</f>
        <v>1</v>
      </c>
      <c r="D128" s="271">
        <f>Données!Z128</f>
        <v>687</v>
      </c>
      <c r="E128" s="101">
        <f>Données!X128</f>
        <v>52</v>
      </c>
      <c r="F128" s="31">
        <f>VPI!L128</f>
        <v>4514752.5599999996</v>
      </c>
      <c r="G128" s="8">
        <f t="shared" si="8"/>
        <v>173644.32923076922</v>
      </c>
      <c r="H128" s="26">
        <f t="shared" si="9"/>
        <v>62675.949106373228</v>
      </c>
      <c r="I128" s="8">
        <f t="shared" si="10"/>
        <v>0</v>
      </c>
      <c r="J128" s="8">
        <f>VPI!R128</f>
        <v>94247.214615384597</v>
      </c>
      <c r="K128" s="171">
        <f t="shared" si="11"/>
        <v>106169.95923261982</v>
      </c>
      <c r="L128" s="260">
        <f t="shared" si="12"/>
        <v>106169.95923261982</v>
      </c>
      <c r="M128" s="102"/>
      <c r="N128" s="103"/>
      <c r="O128" s="100"/>
      <c r="P128" s="100"/>
      <c r="Q128" s="104"/>
    </row>
    <row r="129" spans="1:17" s="99" customFormat="1" x14ac:dyDescent="0.25">
      <c r="A129" s="135">
        <f>Données!A129</f>
        <v>5624</v>
      </c>
      <c r="B129" s="270" t="str">
        <f>Données!B129</f>
        <v>Bussigny</v>
      </c>
      <c r="C129" s="645">
        <f>Données!AR129</f>
        <v>1</v>
      </c>
      <c r="D129" s="271">
        <f>Données!Z129</f>
        <v>10645</v>
      </c>
      <c r="E129" s="101">
        <f>Données!X129</f>
        <v>62.5</v>
      </c>
      <c r="F129" s="31">
        <f>VPI!L129</f>
        <v>22725457.159999996</v>
      </c>
      <c r="G129" s="8">
        <f t="shared" si="8"/>
        <v>727214.62911999994</v>
      </c>
      <c r="H129" s="26">
        <f t="shared" si="9"/>
        <v>971157.90136440028</v>
      </c>
      <c r="I129" s="8">
        <f t="shared" si="10"/>
        <v>0</v>
      </c>
      <c r="J129" s="8">
        <f>VPI!R129</f>
        <v>412146.03071999998</v>
      </c>
      <c r="K129" s="171">
        <f t="shared" si="11"/>
        <v>464284.56753867446</v>
      </c>
      <c r="L129" s="260">
        <f t="shared" si="12"/>
        <v>464284.56753867446</v>
      </c>
      <c r="M129" s="102"/>
      <c r="N129" s="103"/>
      <c r="O129" s="100"/>
      <c r="P129" s="100"/>
      <c r="Q129" s="104"/>
    </row>
    <row r="130" spans="1:17" s="99" customFormat="1" x14ac:dyDescent="0.25">
      <c r="A130" s="135">
        <f>Données!A130</f>
        <v>5627</v>
      </c>
      <c r="B130" s="270" t="str">
        <f>Données!B130</f>
        <v>Chavannes-près-Renens</v>
      </c>
      <c r="C130" s="645">
        <f>Données!AR130</f>
        <v>1</v>
      </c>
      <c r="D130" s="271">
        <f>Données!Z130</f>
        <v>9337</v>
      </c>
      <c r="E130" s="101">
        <f>Données!X130</f>
        <v>77.5</v>
      </c>
      <c r="F130" s="31">
        <f>VPI!L130</f>
        <v>13673857.09</v>
      </c>
      <c r="G130" s="8">
        <f t="shared" si="8"/>
        <v>352873.7313548387</v>
      </c>
      <c r="H130" s="26">
        <f t="shared" si="9"/>
        <v>851827.27337148006</v>
      </c>
      <c r="I130" s="8">
        <f t="shared" si="10"/>
        <v>0</v>
      </c>
      <c r="J130" s="8">
        <f>VPI!R130</f>
        <v>197756.36438709678</v>
      </c>
      <c r="K130" s="171">
        <f t="shared" si="11"/>
        <v>222773.53480048515</v>
      </c>
      <c r="L130" s="260">
        <f t="shared" si="12"/>
        <v>222773.53480048515</v>
      </c>
      <c r="M130" s="102"/>
      <c r="N130" s="103"/>
      <c r="O130" s="100"/>
      <c r="P130" s="100"/>
      <c r="Q130" s="104"/>
    </row>
    <row r="131" spans="1:17" s="99" customFormat="1" x14ac:dyDescent="0.25">
      <c r="A131" s="135">
        <f>Données!A131</f>
        <v>5628</v>
      </c>
      <c r="B131" s="270" t="str">
        <f>Données!B131</f>
        <v>Chigny</v>
      </c>
      <c r="C131" s="645">
        <f>Données!AR131</f>
        <v>0</v>
      </c>
      <c r="D131" s="271">
        <f>Données!Z131</f>
        <v>422</v>
      </c>
      <c r="E131" s="101">
        <f>Données!X131</f>
        <v>62</v>
      </c>
      <c r="F131" s="31">
        <f>VPI!L131</f>
        <v>1734599.66</v>
      </c>
      <c r="G131" s="8">
        <f t="shared" si="8"/>
        <v>55954.827741935478</v>
      </c>
      <c r="H131" s="26">
        <f t="shared" si="9"/>
        <v>38499.636860101164</v>
      </c>
      <c r="I131" s="8">
        <f t="shared" si="10"/>
        <v>38499.636860101164</v>
      </c>
      <c r="J131" s="8">
        <f>VPI!R131</f>
        <v>29701.321935483869</v>
      </c>
      <c r="K131" s="171">
        <f t="shared" si="11"/>
        <v>33458.6878977163</v>
      </c>
      <c r="L131" s="260">
        <f t="shared" si="12"/>
        <v>71958.324757817463</v>
      </c>
      <c r="M131" s="102"/>
      <c r="N131" s="103"/>
      <c r="O131" s="100"/>
      <c r="P131" s="100"/>
      <c r="Q131" s="104"/>
    </row>
    <row r="132" spans="1:17" s="99" customFormat="1" x14ac:dyDescent="0.25">
      <c r="A132" s="135">
        <f>Données!A132</f>
        <v>5629</v>
      </c>
      <c r="B132" s="270" t="str">
        <f>Données!B132</f>
        <v>Clarmont</v>
      </c>
      <c r="C132" s="645">
        <f>Données!AR132</f>
        <v>0</v>
      </c>
      <c r="D132" s="271">
        <f>Données!Z132</f>
        <v>219</v>
      </c>
      <c r="E132" s="101">
        <f>Données!X132</f>
        <v>72</v>
      </c>
      <c r="F132" s="31">
        <f>VPI!L132</f>
        <v>767924.09000000008</v>
      </c>
      <c r="G132" s="8">
        <f t="shared" si="8"/>
        <v>21331.224722222225</v>
      </c>
      <c r="H132" s="26">
        <f t="shared" si="9"/>
        <v>19979.669365787096</v>
      </c>
      <c r="I132" s="8">
        <f t="shared" si="10"/>
        <v>19979.669365787096</v>
      </c>
      <c r="J132" s="8">
        <f>VPI!R132</f>
        <v>11214.945694444446</v>
      </c>
      <c r="K132" s="171">
        <f t="shared" si="11"/>
        <v>12633.69248666207</v>
      </c>
      <c r="L132" s="260">
        <f t="shared" si="12"/>
        <v>32613.361852449169</v>
      </c>
      <c r="M132" s="102"/>
      <c r="N132" s="103"/>
      <c r="O132" s="100"/>
      <c r="P132" s="100"/>
      <c r="Q132" s="104"/>
    </row>
    <row r="133" spans="1:17" s="99" customFormat="1" x14ac:dyDescent="0.25">
      <c r="A133" s="135">
        <f>Données!A133</f>
        <v>5631</v>
      </c>
      <c r="B133" s="270" t="str">
        <f>Données!B133</f>
        <v>Denens</v>
      </c>
      <c r="C133" s="645">
        <f>Données!AR133</f>
        <v>0</v>
      </c>
      <c r="D133" s="271">
        <f>Données!Z133</f>
        <v>742</v>
      </c>
      <c r="E133" s="101">
        <f>Données!X133</f>
        <v>65</v>
      </c>
      <c r="F133" s="31">
        <f>VPI!L133</f>
        <v>2862580.6</v>
      </c>
      <c r="G133" s="8">
        <f t="shared" si="8"/>
        <v>88079.403076923074</v>
      </c>
      <c r="H133" s="26">
        <f t="shared" si="9"/>
        <v>67693.674289561764</v>
      </c>
      <c r="I133" s="8">
        <f t="shared" si="10"/>
        <v>67693.674289561764</v>
      </c>
      <c r="J133" s="8">
        <f>VPI!R133</f>
        <v>47500.25692307693</v>
      </c>
      <c r="K133" s="171">
        <f t="shared" si="11"/>
        <v>53509.277294215404</v>
      </c>
      <c r="L133" s="260">
        <f t="shared" si="12"/>
        <v>121202.95158377718</v>
      </c>
      <c r="M133" s="102"/>
      <c r="N133" s="103"/>
      <c r="O133" s="100"/>
      <c r="P133" s="100"/>
      <c r="Q133" s="104"/>
    </row>
    <row r="134" spans="1:17" s="99" customFormat="1" x14ac:dyDescent="0.25">
      <c r="A134" s="135">
        <f>Données!A134</f>
        <v>5632</v>
      </c>
      <c r="B134" s="270" t="str">
        <f>Données!B134</f>
        <v>Denges</v>
      </c>
      <c r="C134" s="645">
        <f>Données!AR134</f>
        <v>0</v>
      </c>
      <c r="D134" s="271">
        <f>Données!Z134</f>
        <v>1821</v>
      </c>
      <c r="E134" s="101">
        <f>Données!X134</f>
        <v>62</v>
      </c>
      <c r="F134" s="31">
        <f>VPI!L134</f>
        <v>5151896.4300000006</v>
      </c>
      <c r="G134" s="8">
        <f t="shared" si="8"/>
        <v>166190.20741935485</v>
      </c>
      <c r="H134" s="26">
        <f t="shared" si="9"/>
        <v>166132.31924702422</v>
      </c>
      <c r="I134" s="8">
        <f t="shared" si="10"/>
        <v>166132.31924702422</v>
      </c>
      <c r="J134" s="8">
        <f>VPI!R134</f>
        <v>89815.216612903241</v>
      </c>
      <c r="K134" s="171">
        <f t="shared" si="11"/>
        <v>101177.29128839722</v>
      </c>
      <c r="L134" s="260">
        <f t="shared" si="12"/>
        <v>267309.61053542141</v>
      </c>
      <c r="M134" s="102"/>
      <c r="N134" s="103"/>
      <c r="O134" s="100"/>
      <c r="P134" s="100"/>
      <c r="Q134" s="104"/>
    </row>
    <row r="135" spans="1:17" s="99" customFormat="1" x14ac:dyDescent="0.25">
      <c r="A135" s="135">
        <f>Données!A135</f>
        <v>5633</v>
      </c>
      <c r="B135" s="270" t="str">
        <f>Données!B135</f>
        <v>Echandens</v>
      </c>
      <c r="C135" s="645">
        <f>Données!AR135</f>
        <v>0</v>
      </c>
      <c r="D135" s="271">
        <f>Données!Z135</f>
        <v>2910</v>
      </c>
      <c r="E135" s="101">
        <f>Données!X135</f>
        <v>60.5</v>
      </c>
      <c r="F135" s="31">
        <f>VPI!L135</f>
        <v>8166935.8699999992</v>
      </c>
      <c r="G135" s="8">
        <f t="shared" ref="G135:G198" si="13">F135/E135*2</f>
        <v>269981.35107438016</v>
      </c>
      <c r="H135" s="26">
        <f t="shared" ref="H135:H198" si="14">+$G$306/$D$306*D135</f>
        <v>265483.27787415736</v>
      </c>
      <c r="I135" s="8">
        <f t="shared" ref="I135:I198" si="15">IF(C135=1,0,IF(H135&gt;G135,G135,H135))</f>
        <v>265483.27787415736</v>
      </c>
      <c r="J135" s="8">
        <f>VPI!R135</f>
        <v>146616.96727272726</v>
      </c>
      <c r="K135" s="171">
        <f t="shared" ref="K135:K198" si="16">+$K$5*J135</f>
        <v>165164.747856801</v>
      </c>
      <c r="L135" s="260">
        <f t="shared" ref="L135:L198" si="17">+K135+I135</f>
        <v>430648.02573095832</v>
      </c>
      <c r="M135" s="102"/>
      <c r="N135" s="103"/>
      <c r="O135" s="100"/>
      <c r="P135" s="100"/>
      <c r="Q135" s="104"/>
    </row>
    <row r="136" spans="1:17" s="99" customFormat="1" x14ac:dyDescent="0.25">
      <c r="A136" s="135">
        <f>Données!A136</f>
        <v>5634</v>
      </c>
      <c r="B136" s="270" t="str">
        <f>Données!B136</f>
        <v>Echichens</v>
      </c>
      <c r="C136" s="645">
        <f>Données!AR136</f>
        <v>0</v>
      </c>
      <c r="D136" s="271">
        <f>Données!Z136</f>
        <v>3181</v>
      </c>
      <c r="E136" s="101">
        <f>Données!X136</f>
        <v>66</v>
      </c>
      <c r="F136" s="31">
        <f>VPI!L136</f>
        <v>11173601.439999998</v>
      </c>
      <c r="G136" s="8">
        <f t="shared" si="13"/>
        <v>338593.98303030297</v>
      </c>
      <c r="H136" s="26">
        <f t="shared" si="14"/>
        <v>290206.97832223179</v>
      </c>
      <c r="I136" s="8">
        <f t="shared" si="15"/>
        <v>290206.97832223179</v>
      </c>
      <c r="J136" s="8">
        <f>VPI!R136</f>
        <v>181424.03242424241</v>
      </c>
      <c r="K136" s="171">
        <f t="shared" si="16"/>
        <v>204375.08105576507</v>
      </c>
      <c r="L136" s="260">
        <f t="shared" si="17"/>
        <v>494582.05937799683</v>
      </c>
      <c r="M136" s="102"/>
      <c r="N136" s="103"/>
      <c r="O136" s="100"/>
      <c r="P136" s="100"/>
      <c r="Q136" s="104"/>
    </row>
    <row r="137" spans="1:17" s="99" customFormat="1" x14ac:dyDescent="0.25">
      <c r="A137" s="135">
        <f>Données!A137</f>
        <v>5635</v>
      </c>
      <c r="B137" s="270" t="str">
        <f>Données!B137</f>
        <v>Ecublens</v>
      </c>
      <c r="C137" s="645">
        <f>Données!AR137</f>
        <v>1</v>
      </c>
      <c r="D137" s="271">
        <f>Données!Z137</f>
        <v>13334</v>
      </c>
      <c r="E137" s="101">
        <f>Données!X137</f>
        <v>62.5</v>
      </c>
      <c r="F137" s="31">
        <f>VPI!L137</f>
        <v>28472503.620000001</v>
      </c>
      <c r="G137" s="8">
        <f t="shared" si="13"/>
        <v>911120.11583999998</v>
      </c>
      <c r="H137" s="26">
        <f t="shared" si="14"/>
        <v>1216479.0471388365</v>
      </c>
      <c r="I137" s="8">
        <f t="shared" si="15"/>
        <v>0</v>
      </c>
      <c r="J137" s="8">
        <f>VPI!R137</f>
        <v>505560.77512000001</v>
      </c>
      <c r="K137" s="171">
        <f t="shared" si="16"/>
        <v>569516.74490484397</v>
      </c>
      <c r="L137" s="260">
        <f t="shared" si="17"/>
        <v>569516.74490484397</v>
      </c>
      <c r="M137" s="102"/>
      <c r="N137" s="103"/>
      <c r="O137" s="100"/>
      <c r="P137" s="100"/>
      <c r="Q137" s="104"/>
    </row>
    <row r="138" spans="1:17" s="99" customFormat="1" x14ac:dyDescent="0.25">
      <c r="A138" s="135">
        <f>Données!A138</f>
        <v>5636</v>
      </c>
      <c r="B138" s="270" t="str">
        <f>Données!B138</f>
        <v>Etoy</v>
      </c>
      <c r="C138" s="645">
        <f>Données!AR138</f>
        <v>0</v>
      </c>
      <c r="D138" s="271">
        <f>Données!Z138</f>
        <v>2920</v>
      </c>
      <c r="E138" s="101">
        <f>Données!X138</f>
        <v>60</v>
      </c>
      <c r="F138" s="31">
        <f>VPI!L138</f>
        <v>12646712.680000002</v>
      </c>
      <c r="G138" s="8">
        <f t="shared" si="13"/>
        <v>421557.08933333337</v>
      </c>
      <c r="H138" s="26">
        <f t="shared" si="14"/>
        <v>266395.59154382796</v>
      </c>
      <c r="I138" s="8">
        <f t="shared" si="15"/>
        <v>266395.59154382796</v>
      </c>
      <c r="J138" s="8">
        <f>VPI!R138</f>
        <v>236704.12550000002</v>
      </c>
      <c r="K138" s="171">
        <f t="shared" si="16"/>
        <v>266648.38273560657</v>
      </c>
      <c r="L138" s="260">
        <f t="shared" si="17"/>
        <v>533043.97427943454</v>
      </c>
      <c r="M138" s="102"/>
      <c r="N138" s="103"/>
      <c r="O138" s="100"/>
      <c r="P138" s="100"/>
      <c r="Q138" s="104"/>
    </row>
    <row r="139" spans="1:17" s="99" customFormat="1" x14ac:dyDescent="0.25">
      <c r="A139" s="135">
        <f>Données!A139</f>
        <v>5637</v>
      </c>
      <c r="B139" s="270" t="str">
        <f>Données!B139</f>
        <v>Lavigny</v>
      </c>
      <c r="C139" s="645">
        <f>Données!AR139</f>
        <v>0</v>
      </c>
      <c r="D139" s="271">
        <f>Données!Z139</f>
        <v>1052</v>
      </c>
      <c r="E139" s="101">
        <f>Données!X139</f>
        <v>73</v>
      </c>
      <c r="F139" s="31">
        <f>VPI!L139</f>
        <v>2583457.2600000002</v>
      </c>
      <c r="G139" s="8">
        <f t="shared" si="13"/>
        <v>70779.650958904123</v>
      </c>
      <c r="H139" s="26">
        <f t="shared" si="14"/>
        <v>95975.398049351716</v>
      </c>
      <c r="I139" s="8">
        <f t="shared" si="15"/>
        <v>70779.650958904123</v>
      </c>
      <c r="J139" s="8">
        <f>VPI!R139</f>
        <v>38282.802876712332</v>
      </c>
      <c r="K139" s="171">
        <f t="shared" si="16"/>
        <v>43125.769152094355</v>
      </c>
      <c r="L139" s="260">
        <f t="shared" si="17"/>
        <v>113905.42011099847</v>
      </c>
      <c r="M139" s="102"/>
      <c r="N139" s="103"/>
      <c r="O139" s="100"/>
      <c r="P139" s="100"/>
      <c r="Q139" s="104"/>
    </row>
    <row r="140" spans="1:17" s="99" customFormat="1" x14ac:dyDescent="0.25">
      <c r="A140" s="135">
        <f>Données!A140</f>
        <v>5638</v>
      </c>
      <c r="B140" s="270" t="str">
        <f>Données!B140</f>
        <v>Lonay</v>
      </c>
      <c r="C140" s="645">
        <f>Données!AR140</f>
        <v>0</v>
      </c>
      <c r="D140" s="271">
        <f>Données!Z140</f>
        <v>2693</v>
      </c>
      <c r="E140" s="101">
        <f>Données!X140</f>
        <v>55</v>
      </c>
      <c r="F140" s="31">
        <f>VPI!L140</f>
        <v>8454964.4699999988</v>
      </c>
      <c r="G140" s="8">
        <f t="shared" si="13"/>
        <v>307453.2534545454</v>
      </c>
      <c r="H140" s="26">
        <f t="shared" si="14"/>
        <v>245686.07124230437</v>
      </c>
      <c r="I140" s="8">
        <f t="shared" si="15"/>
        <v>245686.07124230437</v>
      </c>
      <c r="J140" s="8">
        <f>VPI!R140</f>
        <v>168507.09218181815</v>
      </c>
      <c r="K140" s="171">
        <f t="shared" si="16"/>
        <v>189824.08318760621</v>
      </c>
      <c r="L140" s="260">
        <f t="shared" si="17"/>
        <v>435510.15442991059</v>
      </c>
      <c r="M140" s="102"/>
      <c r="N140" s="103"/>
      <c r="O140" s="100"/>
      <c r="P140" s="100"/>
      <c r="Q140" s="104"/>
    </row>
    <row r="141" spans="1:17" s="99" customFormat="1" x14ac:dyDescent="0.25">
      <c r="A141" s="135">
        <f>Données!A141</f>
        <v>5639</v>
      </c>
      <c r="B141" s="270" t="str">
        <f>Données!B141</f>
        <v>Lully</v>
      </c>
      <c r="C141" s="645">
        <f>Données!AR141</f>
        <v>0</v>
      </c>
      <c r="D141" s="271">
        <f>Données!Z141</f>
        <v>833</v>
      </c>
      <c r="E141" s="101">
        <f>Données!X141</f>
        <v>61</v>
      </c>
      <c r="F141" s="31">
        <f>VPI!L141</f>
        <v>2888482.79</v>
      </c>
      <c r="G141" s="8">
        <f t="shared" si="13"/>
        <v>94704.353770491798</v>
      </c>
      <c r="H141" s="26">
        <f t="shared" si="14"/>
        <v>75995.728683564623</v>
      </c>
      <c r="I141" s="8">
        <f t="shared" si="15"/>
        <v>75995.728683564623</v>
      </c>
      <c r="J141" s="8">
        <f>VPI!R141</f>
        <v>50946.176393442627</v>
      </c>
      <c r="K141" s="171">
        <f t="shared" si="16"/>
        <v>57391.122833955058</v>
      </c>
      <c r="L141" s="260">
        <f t="shared" si="17"/>
        <v>133386.85151751968</v>
      </c>
      <c r="M141" s="102"/>
      <c r="N141" s="103"/>
      <c r="O141" s="100"/>
      <c r="P141" s="100"/>
      <c r="Q141" s="104"/>
    </row>
    <row r="142" spans="1:17" s="99" customFormat="1" x14ac:dyDescent="0.25">
      <c r="A142" s="135">
        <f>Données!A142</f>
        <v>5640</v>
      </c>
      <c r="B142" s="270" t="str">
        <f>Données!B142</f>
        <v>Lussy-sur-Morges</v>
      </c>
      <c r="C142" s="645">
        <f>Données!AR142</f>
        <v>1</v>
      </c>
      <c r="D142" s="271">
        <f>Données!Z142</f>
        <v>732</v>
      </c>
      <c r="E142" s="101">
        <f>Données!X142</f>
        <v>61.5</v>
      </c>
      <c r="F142" s="31">
        <f>VPI!L142</f>
        <v>3070008.8500000006</v>
      </c>
      <c r="G142" s="8">
        <f t="shared" si="13"/>
        <v>99837.686178861812</v>
      </c>
      <c r="H142" s="26">
        <f t="shared" si="14"/>
        <v>66781.360619891129</v>
      </c>
      <c r="I142" s="8">
        <f t="shared" si="15"/>
        <v>0</v>
      </c>
      <c r="J142" s="8">
        <f>VPI!R142</f>
        <v>53692.239837398381</v>
      </c>
      <c r="K142" s="171">
        <f t="shared" si="16"/>
        <v>60484.577055225789</v>
      </c>
      <c r="L142" s="260">
        <f t="shared" si="17"/>
        <v>60484.577055225789</v>
      </c>
      <c r="M142" s="102"/>
      <c r="N142" s="103"/>
      <c r="O142" s="100"/>
      <c r="P142" s="100"/>
      <c r="Q142" s="104"/>
    </row>
    <row r="143" spans="1:17" s="99" customFormat="1" x14ac:dyDescent="0.25">
      <c r="A143" s="135">
        <f>Données!A143</f>
        <v>5642</v>
      </c>
      <c r="B143" s="270" t="str">
        <f>Données!B143</f>
        <v>Morges</v>
      </c>
      <c r="C143" s="645">
        <f>Données!AR143</f>
        <v>1</v>
      </c>
      <c r="D143" s="271">
        <f>Données!Z143</f>
        <v>17755</v>
      </c>
      <c r="E143" s="101">
        <f>Données!X143</f>
        <v>67</v>
      </c>
      <c r="F143" s="31">
        <f>VPI!L143</f>
        <v>71590063.670000002</v>
      </c>
      <c r="G143" s="8">
        <f t="shared" si="13"/>
        <v>2137016.8259701491</v>
      </c>
      <c r="H143" s="26">
        <f t="shared" si="14"/>
        <v>1619812.9205002279</v>
      </c>
      <c r="I143" s="8">
        <f t="shared" si="15"/>
        <v>0</v>
      </c>
      <c r="J143" s="8">
        <f>VPI!R143</f>
        <v>1132235.5279104479</v>
      </c>
      <c r="K143" s="171">
        <f t="shared" si="16"/>
        <v>1275468.9921664111</v>
      </c>
      <c r="L143" s="260">
        <f t="shared" si="17"/>
        <v>1275468.9921664111</v>
      </c>
      <c r="M143" s="102"/>
      <c r="N143" s="103"/>
      <c r="O143" s="100"/>
      <c r="P143" s="100"/>
      <c r="Q143" s="104"/>
    </row>
    <row r="144" spans="1:17" s="99" customFormat="1" x14ac:dyDescent="0.25">
      <c r="A144" s="135">
        <f>Données!A144</f>
        <v>5643</v>
      </c>
      <c r="B144" s="270" t="str">
        <f>Données!B144</f>
        <v>Préverenges</v>
      </c>
      <c r="C144" s="645">
        <f>Données!AR144</f>
        <v>1</v>
      </c>
      <c r="D144" s="271">
        <f>Données!Z144</f>
        <v>5223</v>
      </c>
      <c r="E144" s="101">
        <f>Données!X144</f>
        <v>62.5</v>
      </c>
      <c r="F144" s="31">
        <f>VPI!L144</f>
        <v>14277420.879999999</v>
      </c>
      <c r="G144" s="8">
        <f t="shared" si="13"/>
        <v>456877.46815999999</v>
      </c>
      <c r="H144" s="26">
        <f t="shared" si="14"/>
        <v>476501.42966897722</v>
      </c>
      <c r="I144" s="8">
        <f t="shared" si="15"/>
        <v>0</v>
      </c>
      <c r="J144" s="8">
        <f>VPI!R144</f>
        <v>249027.28047999999</v>
      </c>
      <c r="K144" s="171">
        <f t="shared" si="16"/>
        <v>280530.47853210435</v>
      </c>
      <c r="L144" s="260">
        <f t="shared" si="17"/>
        <v>280530.47853210435</v>
      </c>
      <c r="M144" s="102"/>
      <c r="N144" s="103"/>
      <c r="O144" s="100"/>
      <c r="P144" s="100"/>
      <c r="Q144" s="104"/>
    </row>
    <row r="145" spans="1:17" s="99" customFormat="1" x14ac:dyDescent="0.25">
      <c r="A145" s="135">
        <f>Données!A145</f>
        <v>5645</v>
      </c>
      <c r="B145" s="270" t="str">
        <f>Données!B145</f>
        <v>Romanel-sur-Morges</v>
      </c>
      <c r="C145" s="645">
        <f>Données!AR145</f>
        <v>0</v>
      </c>
      <c r="D145" s="271">
        <f>Données!Z145</f>
        <v>462</v>
      </c>
      <c r="E145" s="101">
        <f>Données!X145</f>
        <v>56</v>
      </c>
      <c r="F145" s="31">
        <f>VPI!L145</f>
        <v>1333619.6200000003</v>
      </c>
      <c r="G145" s="8">
        <f t="shared" si="13"/>
        <v>47629.272142857153</v>
      </c>
      <c r="H145" s="26">
        <f t="shared" si="14"/>
        <v>42148.891538783741</v>
      </c>
      <c r="I145" s="8">
        <f t="shared" si="15"/>
        <v>42148.891538783741</v>
      </c>
      <c r="J145" s="8">
        <f>VPI!R145</f>
        <v>27135.573571428577</v>
      </c>
      <c r="K145" s="171">
        <f t="shared" si="16"/>
        <v>30568.359516929915</v>
      </c>
      <c r="L145" s="260">
        <f t="shared" si="17"/>
        <v>72717.251055713656</v>
      </c>
      <c r="M145" s="102"/>
      <c r="N145" s="103"/>
      <c r="O145" s="100"/>
      <c r="P145" s="100"/>
      <c r="Q145" s="104"/>
    </row>
    <row r="146" spans="1:17" s="99" customFormat="1" x14ac:dyDescent="0.25">
      <c r="A146" s="135">
        <f>Données!A146</f>
        <v>5646</v>
      </c>
      <c r="B146" s="270" t="str">
        <f>Données!B146</f>
        <v>Saint-Prex</v>
      </c>
      <c r="C146" s="645">
        <f>Données!AR146</f>
        <v>1</v>
      </c>
      <c r="D146" s="271">
        <f>Données!Z146</f>
        <v>5907</v>
      </c>
      <c r="E146" s="101">
        <f>Données!X146</f>
        <v>59</v>
      </c>
      <c r="F146" s="31">
        <f>VPI!L146</f>
        <v>29053517.770000003</v>
      </c>
      <c r="G146" s="8">
        <f t="shared" si="13"/>
        <v>984865.00915254245</v>
      </c>
      <c r="H146" s="26">
        <f t="shared" si="14"/>
        <v>538903.68467444927</v>
      </c>
      <c r="I146" s="8">
        <f t="shared" si="15"/>
        <v>0</v>
      </c>
      <c r="J146" s="8">
        <f>VPI!R146</f>
        <v>525095.71629943512</v>
      </c>
      <c r="K146" s="171">
        <f t="shared" si="16"/>
        <v>591522.95396997326</v>
      </c>
      <c r="L146" s="260">
        <f t="shared" si="17"/>
        <v>591522.95396997326</v>
      </c>
      <c r="M146" s="102"/>
      <c r="N146" s="103"/>
      <c r="O146" s="100"/>
      <c r="P146" s="100"/>
      <c r="Q146" s="104"/>
    </row>
    <row r="147" spans="1:17" s="99" customFormat="1" x14ac:dyDescent="0.25">
      <c r="A147" s="135">
        <f>Données!A147</f>
        <v>5648</v>
      </c>
      <c r="B147" s="270" t="str">
        <f>Données!B147</f>
        <v>Saint-Sulpice</v>
      </c>
      <c r="C147" s="645">
        <f>Données!AR147</f>
        <v>1</v>
      </c>
      <c r="D147" s="271">
        <f>Données!Z147</f>
        <v>5138</v>
      </c>
      <c r="E147" s="101">
        <f>Données!X147</f>
        <v>55</v>
      </c>
      <c r="F147" s="31">
        <f>VPI!L147</f>
        <v>19878426.289999999</v>
      </c>
      <c r="G147" s="8">
        <f t="shared" si="13"/>
        <v>722851.86509090906</v>
      </c>
      <c r="H147" s="26">
        <f t="shared" si="14"/>
        <v>468746.76347677677</v>
      </c>
      <c r="I147" s="8">
        <f t="shared" si="15"/>
        <v>0</v>
      </c>
      <c r="J147" s="8">
        <f>VPI!R147</f>
        <v>396373.38209090912</v>
      </c>
      <c r="K147" s="171">
        <f t="shared" si="16"/>
        <v>446516.59987220442</v>
      </c>
      <c r="L147" s="260">
        <f t="shared" si="17"/>
        <v>446516.59987220442</v>
      </c>
      <c r="M147" s="102"/>
      <c r="N147" s="103"/>
      <c r="O147" s="100"/>
      <c r="P147" s="100"/>
      <c r="Q147" s="104"/>
    </row>
    <row r="148" spans="1:17" s="99" customFormat="1" x14ac:dyDescent="0.25">
      <c r="A148" s="135">
        <f>Données!A148</f>
        <v>5649</v>
      </c>
      <c r="B148" s="270" t="str">
        <f>Données!B148</f>
        <v>Tolochenaz</v>
      </c>
      <c r="C148" s="645">
        <f>Données!AR148</f>
        <v>1</v>
      </c>
      <c r="D148" s="271">
        <f>Données!Z148</f>
        <v>1922</v>
      </c>
      <c r="E148" s="101">
        <f>Données!X148</f>
        <v>64</v>
      </c>
      <c r="F148" s="31">
        <f>VPI!L148</f>
        <v>17385436.409999996</v>
      </c>
      <c r="G148" s="8">
        <f t="shared" si="13"/>
        <v>543294.88781249989</v>
      </c>
      <c r="H148" s="26">
        <f t="shared" si="14"/>
        <v>175346.68731069771</v>
      </c>
      <c r="I148" s="8">
        <f t="shared" si="15"/>
        <v>0</v>
      </c>
      <c r="J148" s="8">
        <f>VPI!R148</f>
        <v>281314.52828124992</v>
      </c>
      <c r="K148" s="171">
        <f t="shared" si="16"/>
        <v>316902.22486732854</v>
      </c>
      <c r="L148" s="260">
        <f t="shared" si="17"/>
        <v>316902.22486732854</v>
      </c>
      <c r="M148" s="102"/>
      <c r="N148" s="103"/>
      <c r="O148" s="100"/>
      <c r="P148" s="100"/>
      <c r="Q148" s="104"/>
    </row>
    <row r="149" spans="1:17" s="99" customFormat="1" x14ac:dyDescent="0.25">
      <c r="A149" s="135">
        <f>Données!A149</f>
        <v>5650</v>
      </c>
      <c r="B149" s="270" t="str">
        <f>Données!B149</f>
        <v>Vaux-sur-Morges</v>
      </c>
      <c r="C149" s="645">
        <f>Données!AR149</f>
        <v>0</v>
      </c>
      <c r="D149" s="271">
        <f>Données!Z149</f>
        <v>180</v>
      </c>
      <c r="E149" s="101">
        <f>Données!X149</f>
        <v>56</v>
      </c>
      <c r="F149" s="31">
        <f>VPI!L149</f>
        <v>5333459.5500000007</v>
      </c>
      <c r="G149" s="8">
        <f t="shared" si="13"/>
        <v>190480.69821428575</v>
      </c>
      <c r="H149" s="26">
        <f t="shared" si="14"/>
        <v>16421.646054071589</v>
      </c>
      <c r="I149" s="8">
        <f t="shared" si="15"/>
        <v>16421.646054071589</v>
      </c>
      <c r="J149" s="8">
        <f>VPI!R149</f>
        <v>96067.741964285728</v>
      </c>
      <c r="K149" s="171">
        <f t="shared" si="16"/>
        <v>108220.79240793947</v>
      </c>
      <c r="L149" s="260">
        <f t="shared" si="17"/>
        <v>124642.43846201106</v>
      </c>
      <c r="M149" s="102"/>
      <c r="N149" s="103"/>
      <c r="O149" s="100"/>
      <c r="P149" s="100"/>
      <c r="Q149" s="104"/>
    </row>
    <row r="150" spans="1:17" s="99" customFormat="1" x14ac:dyDescent="0.25">
      <c r="A150" s="135">
        <f>Données!A150</f>
        <v>5651</v>
      </c>
      <c r="B150" s="270" t="str">
        <f>Données!B150</f>
        <v>Villars-Sainte-Croix</v>
      </c>
      <c r="C150" s="645">
        <f>Données!AR150</f>
        <v>1</v>
      </c>
      <c r="D150" s="271">
        <f>Données!Z150</f>
        <v>980</v>
      </c>
      <c r="E150" s="101">
        <f>Données!X150</f>
        <v>60.5</v>
      </c>
      <c r="F150" s="31">
        <f>VPI!L150</f>
        <v>3277423.3599999994</v>
      </c>
      <c r="G150" s="8">
        <f t="shared" si="13"/>
        <v>108344.5738842975</v>
      </c>
      <c r="H150" s="26">
        <f t="shared" si="14"/>
        <v>89406.739627723087</v>
      </c>
      <c r="I150" s="8">
        <f t="shared" si="15"/>
        <v>0</v>
      </c>
      <c r="J150" s="8">
        <f>VPI!R150</f>
        <v>61414.015041322302</v>
      </c>
      <c r="K150" s="171">
        <f t="shared" si="16"/>
        <v>69183.195491321545</v>
      </c>
      <c r="L150" s="260">
        <f t="shared" si="17"/>
        <v>69183.195491321545</v>
      </c>
      <c r="M150" s="102"/>
      <c r="N150" s="103"/>
      <c r="O150" s="100"/>
      <c r="P150" s="100"/>
      <c r="Q150" s="104"/>
    </row>
    <row r="151" spans="1:17" s="99" customFormat="1" x14ac:dyDescent="0.25">
      <c r="A151" s="135">
        <f>Données!A151</f>
        <v>5652</v>
      </c>
      <c r="B151" s="270" t="str">
        <f>Données!B151</f>
        <v>Villars-sous-Yens</v>
      </c>
      <c r="C151" s="645">
        <f>Données!AR151</f>
        <v>0</v>
      </c>
      <c r="D151" s="271">
        <f>Données!Z151</f>
        <v>609</v>
      </c>
      <c r="E151" s="101">
        <f>Données!X151</f>
        <v>76</v>
      </c>
      <c r="F151" s="31">
        <f>VPI!L151</f>
        <v>2096614.8699999999</v>
      </c>
      <c r="G151" s="8">
        <f t="shared" si="13"/>
        <v>55174.075526315784</v>
      </c>
      <c r="H151" s="26">
        <f t="shared" si="14"/>
        <v>55559.902482942205</v>
      </c>
      <c r="I151" s="8">
        <f t="shared" si="15"/>
        <v>55174.075526315784</v>
      </c>
      <c r="J151" s="8">
        <f>VPI!R151</f>
        <v>29186.92625</v>
      </c>
      <c r="K151" s="171">
        <f t="shared" si="16"/>
        <v>32879.218582043351</v>
      </c>
      <c r="L151" s="260">
        <f t="shared" si="17"/>
        <v>88053.294108359143</v>
      </c>
      <c r="M151" s="102"/>
      <c r="N151" s="103"/>
      <c r="O151" s="100"/>
      <c r="P151" s="100"/>
      <c r="Q151" s="104"/>
    </row>
    <row r="152" spans="1:17" s="99" customFormat="1" x14ac:dyDescent="0.25">
      <c r="A152" s="135">
        <f>Données!A152</f>
        <v>5653</v>
      </c>
      <c r="B152" s="270" t="str">
        <f>Données!B152</f>
        <v>Vufflens-le-Château</v>
      </c>
      <c r="C152" s="645">
        <f>Données!AR152</f>
        <v>0</v>
      </c>
      <c r="D152" s="271">
        <f>Données!Z152</f>
        <v>882</v>
      </c>
      <c r="E152" s="101">
        <f>Données!X152</f>
        <v>62.5</v>
      </c>
      <c r="F152" s="31">
        <f>VPI!L152</f>
        <v>3901297.09</v>
      </c>
      <c r="G152" s="8">
        <f t="shared" si="13"/>
        <v>124841.50688</v>
      </c>
      <c r="H152" s="26">
        <f t="shared" si="14"/>
        <v>80466.065664950773</v>
      </c>
      <c r="I152" s="8">
        <f t="shared" si="15"/>
        <v>80466.065664950773</v>
      </c>
      <c r="J152" s="8">
        <f>VPI!R152</f>
        <v>66751.135840000003</v>
      </c>
      <c r="K152" s="171">
        <f t="shared" si="16"/>
        <v>75195.488798106249</v>
      </c>
      <c r="L152" s="260">
        <f t="shared" si="17"/>
        <v>155661.55446305702</v>
      </c>
      <c r="M152" s="102"/>
      <c r="N152" s="103"/>
      <c r="O152" s="100"/>
      <c r="P152" s="100"/>
      <c r="Q152" s="104"/>
    </row>
    <row r="153" spans="1:17" s="99" customFormat="1" x14ac:dyDescent="0.25">
      <c r="A153" s="135">
        <f>Données!A153</f>
        <v>5654</v>
      </c>
      <c r="B153" s="270" t="str">
        <f>Données!B153</f>
        <v>Vullierens</v>
      </c>
      <c r="C153" s="645">
        <f>Données!AR153</f>
        <v>0</v>
      </c>
      <c r="D153" s="271">
        <f>Données!Z153</f>
        <v>571</v>
      </c>
      <c r="E153" s="101">
        <f>Données!X153</f>
        <v>76</v>
      </c>
      <c r="F153" s="31">
        <f>VPI!L153</f>
        <v>1550034.5999999999</v>
      </c>
      <c r="G153" s="8">
        <f t="shared" si="13"/>
        <v>40790.38421052631</v>
      </c>
      <c r="H153" s="26">
        <f t="shared" si="14"/>
        <v>52093.11053819376</v>
      </c>
      <c r="I153" s="8">
        <f t="shared" si="15"/>
        <v>40790.38421052631</v>
      </c>
      <c r="J153" s="8">
        <f>VPI!R153</f>
        <v>21960.434210526313</v>
      </c>
      <c r="K153" s="171">
        <f t="shared" si="16"/>
        <v>24738.539110965045</v>
      </c>
      <c r="L153" s="260">
        <f t="shared" si="17"/>
        <v>65528.923321491355</v>
      </c>
      <c r="M153" s="102"/>
      <c r="N153" s="103"/>
      <c r="O153" s="100"/>
      <c r="P153" s="100"/>
      <c r="Q153" s="104"/>
    </row>
    <row r="154" spans="1:17" s="99" customFormat="1" x14ac:dyDescent="0.25">
      <c r="A154" s="135">
        <f>Données!A154</f>
        <v>5655</v>
      </c>
      <c r="B154" s="270" t="str">
        <f>Données!B154</f>
        <v>Yens</v>
      </c>
      <c r="C154" s="645">
        <f>Données!AR154</f>
        <v>0</v>
      </c>
      <c r="D154" s="271">
        <f>Données!Z154</f>
        <v>1505</v>
      </c>
      <c r="E154" s="101">
        <f>Données!X154</f>
        <v>70</v>
      </c>
      <c r="F154" s="31">
        <f>VPI!L154</f>
        <v>5381723.2399999993</v>
      </c>
      <c r="G154" s="8">
        <f t="shared" si="13"/>
        <v>153763.52114285712</v>
      </c>
      <c r="H154" s="26">
        <f t="shared" si="14"/>
        <v>137303.20728543188</v>
      </c>
      <c r="I154" s="8">
        <f t="shared" si="15"/>
        <v>137303.20728543188</v>
      </c>
      <c r="J154" s="8">
        <f>VPI!R154</f>
        <v>83347.731285714282</v>
      </c>
      <c r="K154" s="171">
        <f t="shared" si="16"/>
        <v>93891.636679638832</v>
      </c>
      <c r="L154" s="260">
        <f t="shared" si="17"/>
        <v>231194.84396507073</v>
      </c>
      <c r="M154" s="102"/>
      <c r="N154" s="103"/>
      <c r="O154" s="100"/>
      <c r="P154" s="100"/>
      <c r="Q154" s="104"/>
    </row>
    <row r="155" spans="1:17" s="99" customFormat="1" x14ac:dyDescent="0.25">
      <c r="A155" s="135">
        <f>Données!A155</f>
        <v>5656</v>
      </c>
      <c r="B155" s="270" t="str">
        <f>Données!B155</f>
        <v>Hautemorges</v>
      </c>
      <c r="C155" s="645">
        <f>Données!AR155</f>
        <v>0</v>
      </c>
      <c r="D155" s="271">
        <f>Données!Z155</f>
        <v>4343</v>
      </c>
      <c r="E155" s="101">
        <f>Données!X155</f>
        <v>71</v>
      </c>
      <c r="F155" s="31">
        <f>VPI!L155</f>
        <v>10988616.32</v>
      </c>
      <c r="G155" s="8">
        <f t="shared" si="13"/>
        <v>309538.48788732395</v>
      </c>
      <c r="H155" s="26">
        <f t="shared" si="14"/>
        <v>396217.82673796057</v>
      </c>
      <c r="I155" s="8">
        <f t="shared" si="15"/>
        <v>309538.48788732395</v>
      </c>
      <c r="J155" s="8">
        <f>VPI!R155</f>
        <v>167962.47422535214</v>
      </c>
      <c r="K155" s="171">
        <f t="shared" si="16"/>
        <v>189210.56833232573</v>
      </c>
      <c r="L155" s="260">
        <f t="shared" si="17"/>
        <v>498749.05621964968</v>
      </c>
      <c r="M155" s="102"/>
      <c r="N155" s="103"/>
      <c r="O155" s="100"/>
      <c r="P155" s="100"/>
      <c r="Q155" s="104"/>
    </row>
    <row r="156" spans="1:17" s="99" customFormat="1" x14ac:dyDescent="0.25">
      <c r="A156" s="135">
        <f>Données!A156</f>
        <v>5661</v>
      </c>
      <c r="B156" s="270" t="str">
        <f>Données!B156</f>
        <v>Boulens</v>
      </c>
      <c r="C156" s="645">
        <f>Données!AR156</f>
        <v>0</v>
      </c>
      <c r="D156" s="271">
        <f>Données!Z156</f>
        <v>379</v>
      </c>
      <c r="E156" s="101">
        <f>Données!X156</f>
        <v>71.5</v>
      </c>
      <c r="F156" s="31">
        <f>VPI!L156</f>
        <v>654472.49</v>
      </c>
      <c r="G156" s="8">
        <f t="shared" si="13"/>
        <v>18306.922797202798</v>
      </c>
      <c r="H156" s="26">
        <f t="shared" si="14"/>
        <v>34576.688080517401</v>
      </c>
      <c r="I156" s="8">
        <f t="shared" si="15"/>
        <v>18306.922797202798</v>
      </c>
      <c r="J156" s="8">
        <f>VPI!R156</f>
        <v>10042.510349650349</v>
      </c>
      <c r="K156" s="171">
        <f t="shared" si="16"/>
        <v>11312.938199464785</v>
      </c>
      <c r="L156" s="260">
        <f t="shared" si="17"/>
        <v>29619.860996667583</v>
      </c>
      <c r="M156" s="102"/>
      <c r="N156" s="103"/>
      <c r="O156" s="100"/>
      <c r="P156" s="100"/>
      <c r="Q156" s="104"/>
    </row>
    <row r="157" spans="1:17" s="99" customFormat="1" x14ac:dyDescent="0.25">
      <c r="A157" s="135">
        <f>Données!A157</f>
        <v>5663</v>
      </c>
      <c r="B157" s="270" t="str">
        <f>Données!B157</f>
        <v>Bussy-sur-Moudon</v>
      </c>
      <c r="C157" s="645">
        <f>Données!AR157</f>
        <v>0</v>
      </c>
      <c r="D157" s="271">
        <f>Données!Z157</f>
        <v>251</v>
      </c>
      <c r="E157" s="101">
        <f>Données!X157</f>
        <v>78.5</v>
      </c>
      <c r="F157" s="31">
        <f>VPI!L157</f>
        <v>522956.53</v>
      </c>
      <c r="G157" s="8">
        <f t="shared" si="13"/>
        <v>13323.733248407643</v>
      </c>
      <c r="H157" s="26">
        <f t="shared" si="14"/>
        <v>22899.073108733159</v>
      </c>
      <c r="I157" s="8">
        <f t="shared" si="15"/>
        <v>13323.733248407643</v>
      </c>
      <c r="J157" s="8">
        <f>VPI!R157</f>
        <v>7115.4099363057312</v>
      </c>
      <c r="K157" s="171">
        <f t="shared" si="16"/>
        <v>8015.5449255859658</v>
      </c>
      <c r="L157" s="260">
        <f t="shared" si="17"/>
        <v>21339.278173993611</v>
      </c>
      <c r="M157" s="102"/>
      <c r="N157" s="103"/>
      <c r="O157" s="100"/>
      <c r="P157" s="100"/>
      <c r="Q157" s="104"/>
    </row>
    <row r="158" spans="1:17" s="99" customFormat="1" x14ac:dyDescent="0.25">
      <c r="A158" s="135">
        <f>Données!A158</f>
        <v>5665</v>
      </c>
      <c r="B158" s="270" t="str">
        <f>Données!B158</f>
        <v>Chavannes-sur-Moudon</v>
      </c>
      <c r="C158" s="645">
        <f>Données!AR158</f>
        <v>0</v>
      </c>
      <c r="D158" s="271">
        <f>Données!Z158</f>
        <v>238</v>
      </c>
      <c r="E158" s="101">
        <f>Données!X158</f>
        <v>70</v>
      </c>
      <c r="F158" s="31">
        <f>VPI!L158</f>
        <v>383218.18</v>
      </c>
      <c r="G158" s="8">
        <f t="shared" si="13"/>
        <v>10949.090857142857</v>
      </c>
      <c r="H158" s="26">
        <f t="shared" si="14"/>
        <v>21713.065338161323</v>
      </c>
      <c r="I158" s="8">
        <f t="shared" si="15"/>
        <v>10949.090857142857</v>
      </c>
      <c r="J158" s="8">
        <f>VPI!R158</f>
        <v>5907.4868571428569</v>
      </c>
      <c r="K158" s="171">
        <f t="shared" si="16"/>
        <v>6654.813527907836</v>
      </c>
      <c r="L158" s="260">
        <f t="shared" si="17"/>
        <v>17603.904385050693</v>
      </c>
      <c r="M158" s="102"/>
      <c r="N158" s="103"/>
      <c r="O158" s="100"/>
      <c r="P158" s="100"/>
      <c r="Q158" s="104"/>
    </row>
    <row r="159" spans="1:17" s="99" customFormat="1" x14ac:dyDescent="0.25">
      <c r="A159" s="135">
        <f>Données!A159</f>
        <v>5669</v>
      </c>
      <c r="B159" s="270" t="str">
        <f>Données!B159</f>
        <v>Curtilles</v>
      </c>
      <c r="C159" s="645">
        <f>Données!AR159</f>
        <v>0</v>
      </c>
      <c r="D159" s="271">
        <f>Données!Z159</f>
        <v>310</v>
      </c>
      <c r="E159" s="101">
        <f>Données!X159</f>
        <v>73</v>
      </c>
      <c r="F159" s="31">
        <f>VPI!L159</f>
        <v>641177.03</v>
      </c>
      <c r="G159" s="8">
        <f t="shared" si="13"/>
        <v>17566.493972602741</v>
      </c>
      <c r="H159" s="26">
        <f t="shared" si="14"/>
        <v>28281.723759789955</v>
      </c>
      <c r="I159" s="8">
        <f t="shared" si="15"/>
        <v>17566.493972602741</v>
      </c>
      <c r="J159" s="8">
        <f>VPI!R159</f>
        <v>9466.6579452054793</v>
      </c>
      <c r="K159" s="171">
        <f t="shared" si="16"/>
        <v>10664.237582121152</v>
      </c>
      <c r="L159" s="260">
        <f t="shared" si="17"/>
        <v>28230.73155472389</v>
      </c>
      <c r="M159" s="102"/>
      <c r="N159" s="103"/>
      <c r="O159" s="100"/>
      <c r="P159" s="100"/>
      <c r="Q159" s="104"/>
    </row>
    <row r="160" spans="1:17" s="99" customFormat="1" x14ac:dyDescent="0.25">
      <c r="A160" s="135">
        <f>Données!A160</f>
        <v>5671</v>
      </c>
      <c r="B160" s="270" t="str">
        <f>Données!B160</f>
        <v>Dompierre</v>
      </c>
      <c r="C160" s="645">
        <f>Données!AR160</f>
        <v>0</v>
      </c>
      <c r="D160" s="271">
        <f>Données!Z160</f>
        <v>253</v>
      </c>
      <c r="E160" s="101">
        <f>Données!X160</f>
        <v>78</v>
      </c>
      <c r="F160" s="31">
        <f>VPI!L160</f>
        <v>593197.26</v>
      </c>
      <c r="G160" s="8">
        <f t="shared" si="13"/>
        <v>15210.186153846154</v>
      </c>
      <c r="H160" s="26">
        <f t="shared" si="14"/>
        <v>23081.535842667286</v>
      </c>
      <c r="I160" s="8">
        <f t="shared" si="15"/>
        <v>15210.186153846154</v>
      </c>
      <c r="J160" s="8">
        <f>VPI!R160</f>
        <v>8071.3430769230772</v>
      </c>
      <c r="K160" s="171">
        <f t="shared" si="16"/>
        <v>9092.4083955848637</v>
      </c>
      <c r="L160" s="260">
        <f t="shared" si="17"/>
        <v>24302.594549431018</v>
      </c>
      <c r="M160" s="102"/>
      <c r="N160" s="103"/>
      <c r="O160" s="100"/>
      <c r="P160" s="100"/>
      <c r="Q160" s="104"/>
    </row>
    <row r="161" spans="1:17" s="99" customFormat="1" x14ac:dyDescent="0.25">
      <c r="A161" s="135">
        <f>Données!A161</f>
        <v>5673</v>
      </c>
      <c r="B161" s="270" t="str">
        <f>Données!B161</f>
        <v>Hermenches</v>
      </c>
      <c r="C161" s="645">
        <f>Données!AR161</f>
        <v>0</v>
      </c>
      <c r="D161" s="271">
        <f>Données!Z161</f>
        <v>377</v>
      </c>
      <c r="E161" s="101">
        <f>Données!X161</f>
        <v>73.5</v>
      </c>
      <c r="F161" s="31">
        <f>VPI!L161</f>
        <v>759384.51000000013</v>
      </c>
      <c r="G161" s="8">
        <f t="shared" si="13"/>
        <v>20663.524081632655</v>
      </c>
      <c r="H161" s="26">
        <f t="shared" si="14"/>
        <v>34394.225346583269</v>
      </c>
      <c r="I161" s="8">
        <f t="shared" si="15"/>
        <v>20663.524081632655</v>
      </c>
      <c r="J161" s="8">
        <f>VPI!R161</f>
        <v>11048.340272108846</v>
      </c>
      <c r="K161" s="171">
        <f t="shared" si="16"/>
        <v>12446.010644079353</v>
      </c>
      <c r="L161" s="260">
        <f t="shared" si="17"/>
        <v>33109.534725712008</v>
      </c>
      <c r="M161" s="102"/>
      <c r="N161" s="103"/>
      <c r="O161" s="100"/>
      <c r="P161" s="100"/>
      <c r="Q161" s="104"/>
    </row>
    <row r="162" spans="1:17" s="99" customFormat="1" x14ac:dyDescent="0.25">
      <c r="A162" s="135">
        <f>Données!A162</f>
        <v>5674</v>
      </c>
      <c r="B162" s="270" t="str">
        <f>Données!B162</f>
        <v>Lovatens</v>
      </c>
      <c r="C162" s="645">
        <f>Données!AR162</f>
        <v>0</v>
      </c>
      <c r="D162" s="271">
        <f>Données!Z162</f>
        <v>142</v>
      </c>
      <c r="E162" s="101">
        <f>Données!X162</f>
        <v>75</v>
      </c>
      <c r="F162" s="31">
        <f>VPI!L162</f>
        <v>286626.19999999995</v>
      </c>
      <c r="G162" s="8">
        <f t="shared" si="13"/>
        <v>7643.3653333333323</v>
      </c>
      <c r="H162" s="26">
        <f t="shared" si="14"/>
        <v>12954.854109323142</v>
      </c>
      <c r="I162" s="8">
        <f t="shared" si="15"/>
        <v>7643.3653333333323</v>
      </c>
      <c r="J162" s="8">
        <f>VPI!R162</f>
        <v>4104.2373333333326</v>
      </c>
      <c r="K162" s="171">
        <f t="shared" si="16"/>
        <v>4623.4439090772494</v>
      </c>
      <c r="L162" s="260">
        <f t="shared" si="17"/>
        <v>12266.809242410582</v>
      </c>
      <c r="M162" s="102"/>
      <c r="N162" s="103"/>
      <c r="O162" s="100"/>
      <c r="P162" s="100"/>
      <c r="Q162" s="104"/>
    </row>
    <row r="163" spans="1:17" s="99" customFormat="1" x14ac:dyDescent="0.25">
      <c r="A163" s="135">
        <f>Données!A163</f>
        <v>5675</v>
      </c>
      <c r="B163" s="270" t="str">
        <f>Données!B163</f>
        <v>Lucens</v>
      </c>
      <c r="C163" s="645">
        <f>Données!AR163</f>
        <v>0</v>
      </c>
      <c r="D163" s="271">
        <f>Données!Z163</f>
        <v>4599</v>
      </c>
      <c r="E163" s="101">
        <f>Données!X163</f>
        <v>69.5</v>
      </c>
      <c r="F163" s="31">
        <f>VPI!L163</f>
        <v>6049085.6100000013</v>
      </c>
      <c r="G163" s="8">
        <f t="shared" si="13"/>
        <v>174074.40604316551</v>
      </c>
      <c r="H163" s="152">
        <f t="shared" si="14"/>
        <v>419573.05668152904</v>
      </c>
      <c r="I163" s="8">
        <f t="shared" si="15"/>
        <v>174074.40604316551</v>
      </c>
      <c r="J163" s="8">
        <f>VPI!R163</f>
        <v>97920.060444735136</v>
      </c>
      <c r="K163" s="171">
        <f t="shared" si="16"/>
        <v>110307.43845215095</v>
      </c>
      <c r="L163" s="260">
        <f t="shared" si="17"/>
        <v>284381.84449531644</v>
      </c>
      <c r="M163" s="102"/>
      <c r="N163" s="103"/>
      <c r="O163" s="100"/>
      <c r="P163" s="100"/>
      <c r="Q163" s="104"/>
    </row>
    <row r="164" spans="1:17" s="99" customFormat="1" x14ac:dyDescent="0.25">
      <c r="A164" s="135">
        <f>Données!A164</f>
        <v>5678</v>
      </c>
      <c r="B164" s="270" t="str">
        <f>Données!B164</f>
        <v>Moudon</v>
      </c>
      <c r="C164" s="645">
        <f>Données!AR164</f>
        <v>0</v>
      </c>
      <c r="D164" s="271">
        <f>Données!Z164</f>
        <v>6375</v>
      </c>
      <c r="E164" s="101">
        <f>Données!X164</f>
        <v>72.5</v>
      </c>
      <c r="F164" s="31">
        <f>VPI!L164</f>
        <v>8670883.1999999993</v>
      </c>
      <c r="G164" s="8">
        <f t="shared" si="13"/>
        <v>239196.77793103445</v>
      </c>
      <c r="H164" s="26">
        <f t="shared" si="14"/>
        <v>581599.96441503544</v>
      </c>
      <c r="I164" s="8">
        <f t="shared" si="15"/>
        <v>239196.77793103445</v>
      </c>
      <c r="J164" s="8">
        <f>VPI!R164</f>
        <v>133786.12827586205</v>
      </c>
      <c r="K164" s="171">
        <f t="shared" si="16"/>
        <v>150710.74347293968</v>
      </c>
      <c r="L164" s="260">
        <f t="shared" si="17"/>
        <v>389907.52140397415</v>
      </c>
      <c r="M164" s="102"/>
      <c r="N164" s="103"/>
      <c r="O164" s="100"/>
      <c r="P164" s="100"/>
      <c r="Q164" s="104"/>
    </row>
    <row r="165" spans="1:17" s="99" customFormat="1" x14ac:dyDescent="0.25">
      <c r="A165" s="135">
        <f>Données!A165</f>
        <v>5680</v>
      </c>
      <c r="B165" s="270" t="str">
        <f>Données!B165</f>
        <v>Ogens</v>
      </c>
      <c r="C165" s="645">
        <f>Données!AR165</f>
        <v>0</v>
      </c>
      <c r="D165" s="271">
        <f>Données!Z165</f>
        <v>332</v>
      </c>
      <c r="E165" s="101">
        <f>Données!X165</f>
        <v>78</v>
      </c>
      <c r="F165" s="31">
        <f>VPI!L165</f>
        <v>555729.61</v>
      </c>
      <c r="G165" s="8">
        <f t="shared" si="13"/>
        <v>14249.477179487179</v>
      </c>
      <c r="H165" s="26">
        <f t="shared" si="14"/>
        <v>30288.813833065371</v>
      </c>
      <c r="I165" s="8">
        <f t="shared" si="15"/>
        <v>14249.477179487179</v>
      </c>
      <c r="J165" s="8">
        <f>VPI!R165</f>
        <v>7909.509316239315</v>
      </c>
      <c r="K165" s="171">
        <f t="shared" si="16"/>
        <v>8910.1018537483269</v>
      </c>
      <c r="L165" s="260">
        <f t="shared" si="17"/>
        <v>23159.579033235506</v>
      </c>
      <c r="M165" s="102"/>
      <c r="N165" s="103"/>
      <c r="O165" s="100"/>
      <c r="P165" s="100"/>
      <c r="Q165" s="104"/>
    </row>
    <row r="166" spans="1:17" s="99" customFormat="1" x14ac:dyDescent="0.25">
      <c r="A166" s="135">
        <f>Données!A166</f>
        <v>5683</v>
      </c>
      <c r="B166" s="270" t="str">
        <f>Données!B166</f>
        <v>Prévonloup</v>
      </c>
      <c r="C166" s="645">
        <f>Données!AR166</f>
        <v>0</v>
      </c>
      <c r="D166" s="271">
        <f>Données!Z166</f>
        <v>226</v>
      </c>
      <c r="E166" s="101">
        <f>Données!X166</f>
        <v>72.5</v>
      </c>
      <c r="F166" s="31">
        <f>VPI!L166</f>
        <v>435920.27</v>
      </c>
      <c r="G166" s="8">
        <f t="shared" si="13"/>
        <v>12025.386758620691</v>
      </c>
      <c r="H166" s="26">
        <f t="shared" si="14"/>
        <v>20618.288934556549</v>
      </c>
      <c r="I166" s="8">
        <f t="shared" si="15"/>
        <v>12025.386758620691</v>
      </c>
      <c r="J166" s="8">
        <f>VPI!R166</f>
        <v>6488.9761379310348</v>
      </c>
      <c r="K166" s="171">
        <f t="shared" si="16"/>
        <v>7309.8641146803875</v>
      </c>
      <c r="L166" s="260">
        <f t="shared" si="17"/>
        <v>19335.250873301076</v>
      </c>
      <c r="M166" s="102"/>
      <c r="N166" s="103"/>
      <c r="O166" s="100"/>
      <c r="P166" s="100"/>
      <c r="Q166" s="104"/>
    </row>
    <row r="167" spans="1:17" s="99" customFormat="1" x14ac:dyDescent="0.25">
      <c r="A167" s="135">
        <f>Données!A167</f>
        <v>5684</v>
      </c>
      <c r="B167" s="270" t="str">
        <f>Données!B167</f>
        <v>Rossenges</v>
      </c>
      <c r="C167" s="645">
        <f>Données!AR167</f>
        <v>0</v>
      </c>
      <c r="D167" s="271">
        <f>Données!Z167</f>
        <v>88</v>
      </c>
      <c r="E167" s="101">
        <f>Données!X167</f>
        <v>70</v>
      </c>
      <c r="F167" s="31">
        <f>VPI!L167</f>
        <v>338024.60000000003</v>
      </c>
      <c r="G167" s="8">
        <f t="shared" si="13"/>
        <v>9657.8457142857151</v>
      </c>
      <c r="H167" s="26">
        <f t="shared" si="14"/>
        <v>8028.3602931016649</v>
      </c>
      <c r="I167" s="8">
        <f t="shared" si="15"/>
        <v>8028.3602931016649</v>
      </c>
      <c r="J167" s="8">
        <f>VPI!R167</f>
        <v>5023.6746428571432</v>
      </c>
      <c r="K167" s="171">
        <f t="shared" si="16"/>
        <v>5659.1946425865453</v>
      </c>
      <c r="L167" s="260">
        <f t="shared" si="17"/>
        <v>13687.554935688211</v>
      </c>
      <c r="M167" s="102"/>
      <c r="N167" s="103"/>
      <c r="O167" s="100"/>
      <c r="P167" s="100"/>
      <c r="Q167" s="104"/>
    </row>
    <row r="168" spans="1:17" s="99" customFormat="1" x14ac:dyDescent="0.25">
      <c r="A168" s="135">
        <f>Données!A168</f>
        <v>5688</v>
      </c>
      <c r="B168" s="270" t="str">
        <f>Données!B168</f>
        <v>Syens</v>
      </c>
      <c r="C168" s="645">
        <f>Données!AR168</f>
        <v>0</v>
      </c>
      <c r="D168" s="271">
        <f>Données!Z168</f>
        <v>166</v>
      </c>
      <c r="E168" s="101">
        <f>Données!X168</f>
        <v>65</v>
      </c>
      <c r="F168" s="31">
        <f>VPI!L168</f>
        <v>314102.8</v>
      </c>
      <c r="G168" s="8">
        <f t="shared" si="13"/>
        <v>9664.7015384615388</v>
      </c>
      <c r="H168" s="26">
        <f t="shared" si="14"/>
        <v>15144.406916532685</v>
      </c>
      <c r="I168" s="8">
        <f t="shared" si="15"/>
        <v>9664.7015384615388</v>
      </c>
      <c r="J168" s="8">
        <f>VPI!R168</f>
        <v>5225.3353846153841</v>
      </c>
      <c r="K168" s="171">
        <f t="shared" si="16"/>
        <v>5886.3664780478484</v>
      </c>
      <c r="L168" s="260">
        <f t="shared" si="17"/>
        <v>15551.068016509387</v>
      </c>
      <c r="M168" s="102"/>
      <c r="N168" s="103"/>
      <c r="O168" s="100"/>
      <c r="P168" s="100"/>
      <c r="Q168" s="104"/>
    </row>
    <row r="169" spans="1:17" s="99" customFormat="1" x14ac:dyDescent="0.25">
      <c r="A169" s="135">
        <f>Données!A169</f>
        <v>5690</v>
      </c>
      <c r="B169" s="270" t="str">
        <f>Données!B169</f>
        <v>Villars-le-Comte</v>
      </c>
      <c r="C169" s="645">
        <f>Données!AR169</f>
        <v>0</v>
      </c>
      <c r="D169" s="271">
        <f>Données!Z169</f>
        <v>135</v>
      </c>
      <c r="E169" s="101">
        <f>Données!X169</f>
        <v>68</v>
      </c>
      <c r="F169" s="31">
        <f>VPI!L169</f>
        <v>275086.34000000003</v>
      </c>
      <c r="G169" s="8">
        <f t="shared" si="13"/>
        <v>8090.7747058823534</v>
      </c>
      <c r="H169" s="26">
        <f t="shared" si="14"/>
        <v>12316.234540553691</v>
      </c>
      <c r="I169" s="8">
        <f t="shared" si="15"/>
        <v>8090.7747058823534</v>
      </c>
      <c r="J169" s="8">
        <f>VPI!R169</f>
        <v>4383.2226470588239</v>
      </c>
      <c r="K169" s="171">
        <f t="shared" si="16"/>
        <v>4937.7222620833445</v>
      </c>
      <c r="L169" s="260">
        <f t="shared" si="17"/>
        <v>13028.496967965697</v>
      </c>
      <c r="M169" s="102"/>
      <c r="N169" s="103"/>
      <c r="O169" s="100"/>
      <c r="P169" s="100"/>
      <c r="Q169" s="104"/>
    </row>
    <row r="170" spans="1:17" s="99" customFormat="1" x14ac:dyDescent="0.25">
      <c r="A170" s="135">
        <f>Données!A170</f>
        <v>5692</v>
      </c>
      <c r="B170" s="270" t="str">
        <f>Données!B170</f>
        <v>Vucherens</v>
      </c>
      <c r="C170" s="645">
        <f>Données!AR170</f>
        <v>0</v>
      </c>
      <c r="D170" s="271">
        <f>Données!Z170</f>
        <v>635</v>
      </c>
      <c r="E170" s="101">
        <f>Données!X170</f>
        <v>77</v>
      </c>
      <c r="F170" s="31">
        <f>VPI!L170</f>
        <v>1301483.78</v>
      </c>
      <c r="G170" s="8">
        <f t="shared" si="13"/>
        <v>33804.773506493504</v>
      </c>
      <c r="H170" s="26">
        <f t="shared" si="14"/>
        <v>57931.918024085877</v>
      </c>
      <c r="I170" s="8">
        <f t="shared" si="15"/>
        <v>33804.773506493504</v>
      </c>
      <c r="J170" s="8">
        <f>VPI!R170</f>
        <v>18408.334805194805</v>
      </c>
      <c r="K170" s="171">
        <f t="shared" si="16"/>
        <v>20737.081342761692</v>
      </c>
      <c r="L170" s="260">
        <f t="shared" si="17"/>
        <v>54541.854849255193</v>
      </c>
      <c r="M170" s="102"/>
      <c r="N170" s="103"/>
      <c r="O170" s="100"/>
      <c r="P170" s="100"/>
      <c r="Q170" s="104"/>
    </row>
    <row r="171" spans="1:17" s="99" customFormat="1" x14ac:dyDescent="0.25">
      <c r="A171" s="135">
        <f>Données!A171</f>
        <v>5693</v>
      </c>
      <c r="B171" s="270" t="str">
        <f>Données!B171</f>
        <v>Montanaire</v>
      </c>
      <c r="C171" s="645">
        <f>Données!AR171</f>
        <v>0</v>
      </c>
      <c r="D171" s="271">
        <f>Données!Z171</f>
        <v>2835</v>
      </c>
      <c r="E171" s="101">
        <f>Données!X171</f>
        <v>70</v>
      </c>
      <c r="F171" s="31">
        <f>VPI!L171</f>
        <v>4752873.9200000009</v>
      </c>
      <c r="G171" s="8">
        <f t="shared" si="13"/>
        <v>135796.39771428573</v>
      </c>
      <c r="H171" s="26">
        <f t="shared" si="14"/>
        <v>258640.92535162749</v>
      </c>
      <c r="I171" s="8">
        <f t="shared" si="15"/>
        <v>135796.39771428573</v>
      </c>
      <c r="J171" s="8">
        <f>VPI!R171</f>
        <v>74596.156714285724</v>
      </c>
      <c r="K171" s="171">
        <f t="shared" si="16"/>
        <v>84032.944099050554</v>
      </c>
      <c r="L171" s="260">
        <f t="shared" si="17"/>
        <v>219829.3418133363</v>
      </c>
      <c r="M171" s="102"/>
      <c r="N171" s="103"/>
      <c r="O171" s="100"/>
      <c r="P171" s="100"/>
      <c r="Q171" s="104"/>
    </row>
    <row r="172" spans="1:17" s="99" customFormat="1" x14ac:dyDescent="0.25">
      <c r="A172" s="135">
        <f>Données!A172</f>
        <v>5701</v>
      </c>
      <c r="B172" s="270" t="str">
        <f>Données!B172</f>
        <v>Arnex-sur-Nyon</v>
      </c>
      <c r="C172" s="645">
        <f>Données!AR172</f>
        <v>0</v>
      </c>
      <c r="D172" s="271">
        <f>Données!Z172</f>
        <v>242</v>
      </c>
      <c r="E172" s="101">
        <f>Données!X172</f>
        <v>70</v>
      </c>
      <c r="F172" s="31">
        <f>VPI!L172</f>
        <v>934875.17999999993</v>
      </c>
      <c r="G172" s="8">
        <f t="shared" si="13"/>
        <v>26710.719428571425</v>
      </c>
      <c r="H172" s="26">
        <f t="shared" si="14"/>
        <v>22077.990806029578</v>
      </c>
      <c r="I172" s="8">
        <f t="shared" si="15"/>
        <v>22077.990806029578</v>
      </c>
      <c r="J172" s="8">
        <f>VPI!R172</f>
        <v>14428.628999999999</v>
      </c>
      <c r="K172" s="171">
        <f t="shared" si="16"/>
        <v>16253.922823757763</v>
      </c>
      <c r="L172" s="260">
        <f t="shared" si="17"/>
        <v>38331.913629787341</v>
      </c>
      <c r="M172" s="102"/>
      <c r="N172" s="103"/>
      <c r="O172" s="100"/>
      <c r="P172" s="100"/>
      <c r="Q172" s="104"/>
    </row>
    <row r="173" spans="1:17" s="99" customFormat="1" x14ac:dyDescent="0.25">
      <c r="A173" s="135">
        <f>Données!A173</f>
        <v>5702</v>
      </c>
      <c r="B173" s="270" t="str">
        <f>Données!B173</f>
        <v>Arzier-Le Muids</v>
      </c>
      <c r="C173" s="645">
        <f>Données!AR173</f>
        <v>0</v>
      </c>
      <c r="D173" s="271">
        <f>Données!Z173</f>
        <v>2971</v>
      </c>
      <c r="E173" s="101">
        <f>Données!X173</f>
        <v>64</v>
      </c>
      <c r="F173" s="31">
        <f>VPI!L173</f>
        <v>11156630.92</v>
      </c>
      <c r="G173" s="8">
        <f t="shared" si="13"/>
        <v>348644.71625</v>
      </c>
      <c r="H173" s="26">
        <f t="shared" si="14"/>
        <v>271048.39125914825</v>
      </c>
      <c r="I173" s="8">
        <f t="shared" si="15"/>
        <v>271048.39125914825</v>
      </c>
      <c r="J173" s="8">
        <f>VPI!R173</f>
        <v>188642.38078125002</v>
      </c>
      <c r="K173" s="171">
        <f t="shared" si="16"/>
        <v>212506.58662776364</v>
      </c>
      <c r="L173" s="260">
        <f t="shared" si="17"/>
        <v>483554.97788691189</v>
      </c>
      <c r="M173" s="102"/>
      <c r="N173" s="103"/>
      <c r="O173" s="100"/>
      <c r="P173" s="100"/>
      <c r="Q173" s="104"/>
    </row>
    <row r="174" spans="1:17" s="99" customFormat="1" x14ac:dyDescent="0.25">
      <c r="A174" s="135">
        <f>Données!A174</f>
        <v>5703</v>
      </c>
      <c r="B174" s="270" t="str">
        <f>Données!B174</f>
        <v>Bassins</v>
      </c>
      <c r="C174" s="645">
        <f>Données!AR174</f>
        <v>0</v>
      </c>
      <c r="D174" s="271">
        <f>Données!Z174</f>
        <v>1483</v>
      </c>
      <c r="E174" s="101">
        <f>Données!X174</f>
        <v>72.5</v>
      </c>
      <c r="F174" s="31">
        <f>VPI!L174</f>
        <v>4437805.29</v>
      </c>
      <c r="G174" s="8">
        <f t="shared" si="13"/>
        <v>122422.21489655173</v>
      </c>
      <c r="H174" s="26">
        <f t="shared" si="14"/>
        <v>135296.11721215647</v>
      </c>
      <c r="I174" s="8">
        <f t="shared" si="15"/>
        <v>122422.21489655173</v>
      </c>
      <c r="J174" s="8">
        <f>VPI!R174</f>
        <v>66120.332571428575</v>
      </c>
      <c r="K174" s="171">
        <f t="shared" si="16"/>
        <v>74484.885757142751</v>
      </c>
      <c r="L174" s="260">
        <f t="shared" si="17"/>
        <v>196907.10065369448</v>
      </c>
      <c r="M174" s="102"/>
      <c r="N174" s="103"/>
      <c r="O174" s="100"/>
      <c r="P174" s="100"/>
      <c r="Q174" s="104"/>
    </row>
    <row r="175" spans="1:17" s="99" customFormat="1" x14ac:dyDescent="0.25">
      <c r="A175" s="135">
        <f>Données!A175</f>
        <v>5704</v>
      </c>
      <c r="B175" s="270" t="str">
        <f>Données!B175</f>
        <v>Begnins</v>
      </c>
      <c r="C175" s="645">
        <f>Données!AR175</f>
        <v>0</v>
      </c>
      <c r="D175" s="271">
        <f>Données!Z175</f>
        <v>2008</v>
      </c>
      <c r="E175" s="101">
        <f>Données!X175</f>
        <v>62.5</v>
      </c>
      <c r="F175" s="31">
        <f>VPI!L175</f>
        <v>8189004.2400000002</v>
      </c>
      <c r="G175" s="8">
        <f t="shared" si="13"/>
        <v>262048.13568000001</v>
      </c>
      <c r="H175" s="26">
        <f t="shared" si="14"/>
        <v>183192.58486986527</v>
      </c>
      <c r="I175" s="8">
        <f t="shared" si="15"/>
        <v>183192.58486986527</v>
      </c>
      <c r="J175" s="8">
        <f>VPI!R175</f>
        <v>140338.01370666668</v>
      </c>
      <c r="K175" s="171">
        <f t="shared" si="16"/>
        <v>158091.47522107745</v>
      </c>
      <c r="L175" s="260">
        <f t="shared" si="17"/>
        <v>341284.06009094272</v>
      </c>
      <c r="M175" s="102"/>
      <c r="N175" s="103"/>
      <c r="O175" s="100"/>
      <c r="P175" s="100"/>
      <c r="Q175" s="104"/>
    </row>
    <row r="176" spans="1:17" s="99" customFormat="1" x14ac:dyDescent="0.25">
      <c r="A176" s="135">
        <f>Données!A176</f>
        <v>5705</v>
      </c>
      <c r="B176" s="270" t="str">
        <f>Données!B176</f>
        <v>Bogis-Bossey</v>
      </c>
      <c r="C176" s="645">
        <f>Données!AR176</f>
        <v>0</v>
      </c>
      <c r="D176" s="271">
        <f>Données!Z176</f>
        <v>983</v>
      </c>
      <c r="E176" s="101">
        <f>Données!X176</f>
        <v>72</v>
      </c>
      <c r="F176" s="31">
        <f>VPI!L176</f>
        <v>3763651.94</v>
      </c>
      <c r="G176" s="8">
        <f t="shared" si="13"/>
        <v>104545.88722222223</v>
      </c>
      <c r="H176" s="26">
        <f t="shared" si="14"/>
        <v>89680.433728624281</v>
      </c>
      <c r="I176" s="8">
        <f t="shared" si="15"/>
        <v>89680.433728624281</v>
      </c>
      <c r="J176" s="8">
        <f>VPI!R176</f>
        <v>55817.342916666668</v>
      </c>
      <c r="K176" s="171">
        <f t="shared" si="16"/>
        <v>62878.516316049303</v>
      </c>
      <c r="L176" s="260">
        <f t="shared" si="17"/>
        <v>152558.95004467358</v>
      </c>
      <c r="M176" s="102"/>
      <c r="N176" s="103"/>
      <c r="O176" s="100"/>
      <c r="P176" s="100"/>
      <c r="Q176" s="104"/>
    </row>
    <row r="177" spans="1:17" s="99" customFormat="1" x14ac:dyDescent="0.25">
      <c r="A177" s="135">
        <f>Données!A177</f>
        <v>5706</v>
      </c>
      <c r="B177" s="270" t="str">
        <f>Données!B177</f>
        <v>Borex</v>
      </c>
      <c r="C177" s="645">
        <f>Données!AR177</f>
        <v>0</v>
      </c>
      <c r="D177" s="271">
        <f>Données!Z177</f>
        <v>1135</v>
      </c>
      <c r="E177" s="101">
        <f>Données!X177</f>
        <v>57</v>
      </c>
      <c r="F177" s="31">
        <f>VPI!L177</f>
        <v>3766986.0000000009</v>
      </c>
      <c r="G177" s="8">
        <f t="shared" si="13"/>
        <v>132174.9473684211</v>
      </c>
      <c r="H177" s="26">
        <f t="shared" si="14"/>
        <v>103547.60150761806</v>
      </c>
      <c r="I177" s="8">
        <f t="shared" si="15"/>
        <v>103547.60150761806</v>
      </c>
      <c r="J177" s="8">
        <f>VPI!R177</f>
        <v>71534.631578947388</v>
      </c>
      <c r="K177" s="171">
        <f t="shared" si="16"/>
        <v>80584.120702677697</v>
      </c>
      <c r="L177" s="260">
        <f t="shared" si="17"/>
        <v>184131.72221029576</v>
      </c>
      <c r="M177" s="102"/>
      <c r="N177" s="103"/>
      <c r="O177" s="100"/>
      <c r="P177" s="100"/>
      <c r="Q177" s="104"/>
    </row>
    <row r="178" spans="1:17" s="99" customFormat="1" x14ac:dyDescent="0.25">
      <c r="A178" s="135">
        <f>Données!A178</f>
        <v>5707</v>
      </c>
      <c r="B178" s="270" t="str">
        <f>Données!B178</f>
        <v>Chavannes-de-Bogis</v>
      </c>
      <c r="C178" s="645">
        <f>Données!AR178</f>
        <v>0</v>
      </c>
      <c r="D178" s="271">
        <f>Données!Z178</f>
        <v>1394</v>
      </c>
      <c r="E178" s="101">
        <f>Données!X178</f>
        <v>58</v>
      </c>
      <c r="F178" s="31">
        <f>VPI!L178</f>
        <v>4783035.38</v>
      </c>
      <c r="G178" s="8">
        <f t="shared" si="13"/>
        <v>164932.25448275861</v>
      </c>
      <c r="H178" s="26">
        <f t="shared" si="14"/>
        <v>127176.52555208774</v>
      </c>
      <c r="I178" s="8">
        <f t="shared" si="15"/>
        <v>127176.52555208774</v>
      </c>
      <c r="J178" s="8">
        <f>VPI!R178</f>
        <v>92416.422643678146</v>
      </c>
      <c r="K178" s="171">
        <f t="shared" si="16"/>
        <v>104107.5629083071</v>
      </c>
      <c r="L178" s="260">
        <f t="shared" si="17"/>
        <v>231284.08846039482</v>
      </c>
      <c r="M178" s="102"/>
      <c r="N178" s="103"/>
      <c r="O178" s="100"/>
      <c r="P178" s="100"/>
      <c r="Q178" s="104"/>
    </row>
    <row r="179" spans="1:17" s="99" customFormat="1" x14ac:dyDescent="0.25">
      <c r="A179" s="135">
        <f>Données!A179</f>
        <v>5708</v>
      </c>
      <c r="B179" s="270" t="str">
        <f>Données!B179</f>
        <v>Chavannes-des-Bois</v>
      </c>
      <c r="C179" s="645">
        <f>Données!AR179</f>
        <v>0</v>
      </c>
      <c r="D179" s="271">
        <f>Données!Z179</f>
        <v>1011</v>
      </c>
      <c r="E179" s="101">
        <f>Données!X179</f>
        <v>68</v>
      </c>
      <c r="F179" s="31">
        <f>VPI!L179</f>
        <v>5011207.59</v>
      </c>
      <c r="G179" s="8">
        <f t="shared" si="13"/>
        <v>147388.45852941176</v>
      </c>
      <c r="H179" s="26">
        <f t="shared" si="14"/>
        <v>92234.912003702077</v>
      </c>
      <c r="I179" s="8">
        <f t="shared" si="15"/>
        <v>92234.912003702077</v>
      </c>
      <c r="J179" s="8">
        <f>VPI!R179</f>
        <v>78320.692500000005</v>
      </c>
      <c r="K179" s="171">
        <f t="shared" si="16"/>
        <v>88228.652313276863</v>
      </c>
      <c r="L179" s="260">
        <f t="shared" si="17"/>
        <v>180463.56431697894</v>
      </c>
      <c r="M179" s="102"/>
      <c r="N179" s="103"/>
      <c r="O179" s="100"/>
      <c r="P179" s="100"/>
      <c r="Q179" s="104"/>
    </row>
    <row r="180" spans="1:17" s="99" customFormat="1" x14ac:dyDescent="0.25">
      <c r="A180" s="135">
        <f>Données!A180</f>
        <v>5709</v>
      </c>
      <c r="B180" s="270" t="str">
        <f>Données!B180</f>
        <v>Chéserex</v>
      </c>
      <c r="C180" s="645">
        <f>Données!AR180</f>
        <v>0</v>
      </c>
      <c r="D180" s="271">
        <f>Données!Z180</f>
        <v>1276</v>
      </c>
      <c r="E180" s="101">
        <f>Données!X180</f>
        <v>57</v>
      </c>
      <c r="F180" s="31">
        <f>VPI!L180</f>
        <v>5877023.379999999</v>
      </c>
      <c r="G180" s="8">
        <f t="shared" si="13"/>
        <v>206211.34666666662</v>
      </c>
      <c r="H180" s="26">
        <f t="shared" si="14"/>
        <v>116411.22424997414</v>
      </c>
      <c r="I180" s="8">
        <f t="shared" si="15"/>
        <v>116411.22424997414</v>
      </c>
      <c r="J180" s="8">
        <f>VPI!R180</f>
        <v>110451.70315789471</v>
      </c>
      <c r="K180" s="171">
        <f t="shared" si="16"/>
        <v>124424.39672411165</v>
      </c>
      <c r="L180" s="260">
        <f t="shared" si="17"/>
        <v>240835.62097408579</v>
      </c>
      <c r="M180" s="102"/>
      <c r="N180" s="103"/>
      <c r="O180" s="100"/>
      <c r="P180" s="100"/>
      <c r="Q180" s="104"/>
    </row>
    <row r="181" spans="1:17" s="99" customFormat="1" x14ac:dyDescent="0.25">
      <c r="A181" s="135">
        <f>Données!A181</f>
        <v>5710</v>
      </c>
      <c r="B181" s="270" t="str">
        <f>Données!B181</f>
        <v>Coinsins</v>
      </c>
      <c r="C181" s="645">
        <f>Données!AR181</f>
        <v>0</v>
      </c>
      <c r="D181" s="271">
        <f>Données!Z181</f>
        <v>519</v>
      </c>
      <c r="E181" s="101">
        <f>Données!X181</f>
        <v>51</v>
      </c>
      <c r="F181" s="31">
        <f>VPI!L181</f>
        <v>1450933.35</v>
      </c>
      <c r="G181" s="8">
        <f t="shared" si="13"/>
        <v>56899.347058823536</v>
      </c>
      <c r="H181" s="26">
        <f t="shared" si="14"/>
        <v>47349.079455906409</v>
      </c>
      <c r="I181" s="8">
        <f t="shared" si="15"/>
        <v>47349.079455906409</v>
      </c>
      <c r="J181" s="8">
        <f>VPI!R181</f>
        <v>31247.070588235296</v>
      </c>
      <c r="K181" s="171">
        <f t="shared" si="16"/>
        <v>35199.98149579476</v>
      </c>
      <c r="L181" s="260">
        <f t="shared" si="17"/>
        <v>82549.060951701162</v>
      </c>
      <c r="M181" s="102"/>
      <c r="N181" s="103"/>
      <c r="O181" s="100"/>
      <c r="P181" s="100"/>
      <c r="Q181" s="104"/>
    </row>
    <row r="182" spans="1:17" s="99" customFormat="1" x14ac:dyDescent="0.25">
      <c r="A182" s="135">
        <f>Données!A182</f>
        <v>5711</v>
      </c>
      <c r="B182" s="270" t="str">
        <f>Données!B182</f>
        <v>Commugny</v>
      </c>
      <c r="C182" s="645">
        <f>Données!AR182</f>
        <v>0</v>
      </c>
      <c r="D182" s="271">
        <f>Données!Z182</f>
        <v>2993</v>
      </c>
      <c r="E182" s="101">
        <f>Données!X182</f>
        <v>57</v>
      </c>
      <c r="F182" s="31">
        <f>VPI!L182</f>
        <v>14027819.91</v>
      </c>
      <c r="G182" s="8">
        <f t="shared" si="13"/>
        <v>492204.20736842108</v>
      </c>
      <c r="H182" s="26">
        <f t="shared" si="14"/>
        <v>273055.48133242369</v>
      </c>
      <c r="I182" s="8">
        <f t="shared" si="15"/>
        <v>273055.48133242369</v>
      </c>
      <c r="J182" s="8">
        <f>VPI!R182</f>
        <v>264202.11623481783</v>
      </c>
      <c r="K182" s="171">
        <f t="shared" si="16"/>
        <v>297625.00700199633</v>
      </c>
      <c r="L182" s="260">
        <f t="shared" si="17"/>
        <v>570680.48833442002</v>
      </c>
      <c r="M182" s="102"/>
      <c r="N182" s="103"/>
      <c r="O182" s="100"/>
      <c r="P182" s="100"/>
      <c r="Q182" s="104"/>
    </row>
    <row r="183" spans="1:17" s="99" customFormat="1" x14ac:dyDescent="0.25">
      <c r="A183" s="135">
        <f>Données!A183</f>
        <v>5712</v>
      </c>
      <c r="B183" s="270" t="str">
        <f>Données!B183</f>
        <v>Coppet</v>
      </c>
      <c r="C183" s="645">
        <f>Données!AR183</f>
        <v>0</v>
      </c>
      <c r="D183" s="271">
        <f>Données!Z183</f>
        <v>3183</v>
      </c>
      <c r="E183" s="101">
        <f>Données!X183</f>
        <v>55</v>
      </c>
      <c r="F183" s="31">
        <f>VPI!L183</f>
        <v>19712183.899999999</v>
      </c>
      <c r="G183" s="8">
        <f t="shared" si="13"/>
        <v>716806.68727272726</v>
      </c>
      <c r="H183" s="26">
        <f t="shared" si="14"/>
        <v>290389.4410561659</v>
      </c>
      <c r="I183" s="8">
        <f t="shared" si="15"/>
        <v>290389.4410561659</v>
      </c>
      <c r="J183" s="8">
        <f>VPI!R183</f>
        <v>381890.66242424241</v>
      </c>
      <c r="K183" s="171">
        <f t="shared" si="16"/>
        <v>430201.743641573</v>
      </c>
      <c r="L183" s="260">
        <f t="shared" si="17"/>
        <v>720591.18469773885</v>
      </c>
      <c r="M183" s="102"/>
      <c r="N183" s="103"/>
      <c r="O183" s="100"/>
      <c r="P183" s="100"/>
      <c r="Q183" s="104"/>
    </row>
    <row r="184" spans="1:17" s="99" customFormat="1" x14ac:dyDescent="0.25">
      <c r="A184" s="135">
        <f>Données!A184</f>
        <v>5713</v>
      </c>
      <c r="B184" s="270" t="str">
        <f>Données!B184</f>
        <v>Crans</v>
      </c>
      <c r="C184" s="645">
        <f>Données!AR184</f>
        <v>1</v>
      </c>
      <c r="D184" s="271">
        <f>Données!Z184</f>
        <v>2424</v>
      </c>
      <c r="E184" s="101">
        <f>Données!X184</f>
        <v>59</v>
      </c>
      <c r="F184" s="31">
        <f>VPI!L184</f>
        <v>16921299.710000001</v>
      </c>
      <c r="G184" s="8">
        <f t="shared" si="13"/>
        <v>573603.38</v>
      </c>
      <c r="H184" s="26">
        <f t="shared" si="14"/>
        <v>221144.83352816405</v>
      </c>
      <c r="I184" s="8">
        <f t="shared" si="15"/>
        <v>0</v>
      </c>
      <c r="J184" s="8">
        <f>VPI!R184</f>
        <v>303238.4722033898</v>
      </c>
      <c r="K184" s="171">
        <f t="shared" si="16"/>
        <v>341599.65748569125</v>
      </c>
      <c r="L184" s="260">
        <f t="shared" si="17"/>
        <v>341599.65748569125</v>
      </c>
      <c r="M184" s="102"/>
      <c r="N184" s="103"/>
      <c r="O184" s="100"/>
      <c r="P184" s="100"/>
      <c r="Q184" s="104"/>
    </row>
    <row r="185" spans="1:17" s="99" customFormat="1" x14ac:dyDescent="0.25">
      <c r="A185" s="135">
        <f>Données!A185</f>
        <v>5714</v>
      </c>
      <c r="B185" s="270" t="str">
        <f>Données!B185</f>
        <v>Crassier</v>
      </c>
      <c r="C185" s="645">
        <f>Données!AR185</f>
        <v>0</v>
      </c>
      <c r="D185" s="271">
        <f>Données!Z185</f>
        <v>1273</v>
      </c>
      <c r="E185" s="101">
        <f>Données!X185</f>
        <v>66.5</v>
      </c>
      <c r="F185" s="31">
        <f>VPI!L185</f>
        <v>4075755.8</v>
      </c>
      <c r="G185" s="8">
        <f t="shared" si="13"/>
        <v>122579.12180451128</v>
      </c>
      <c r="H185" s="26">
        <f t="shared" si="14"/>
        <v>116137.53014907295</v>
      </c>
      <c r="I185" s="8">
        <f t="shared" si="15"/>
        <v>116137.53014907295</v>
      </c>
      <c r="J185" s="8">
        <f>VPI!R185</f>
        <v>66120.939097744369</v>
      </c>
      <c r="K185" s="171">
        <f t="shared" si="16"/>
        <v>74485.569012074833</v>
      </c>
      <c r="L185" s="260">
        <f t="shared" si="17"/>
        <v>190623.09916114778</v>
      </c>
      <c r="M185" s="102"/>
      <c r="N185" s="103"/>
      <c r="O185" s="100"/>
      <c r="P185" s="100"/>
      <c r="Q185" s="104"/>
    </row>
    <row r="186" spans="1:17" s="99" customFormat="1" x14ac:dyDescent="0.25">
      <c r="A186" s="135">
        <f>Données!A186</f>
        <v>5715</v>
      </c>
      <c r="B186" s="270" t="str">
        <f>Données!B186</f>
        <v>Duillier</v>
      </c>
      <c r="C186" s="645">
        <f>Données!AR186</f>
        <v>0</v>
      </c>
      <c r="D186" s="271">
        <f>Données!Z186</f>
        <v>1115</v>
      </c>
      <c r="E186" s="101">
        <f>Données!X186</f>
        <v>66</v>
      </c>
      <c r="F186" s="31">
        <f>VPI!L186</f>
        <v>3789252.22</v>
      </c>
      <c r="G186" s="8">
        <f t="shared" si="13"/>
        <v>114825.82484848486</v>
      </c>
      <c r="H186" s="26">
        <f t="shared" si="14"/>
        <v>101722.97416827678</v>
      </c>
      <c r="I186" s="8">
        <f t="shared" si="15"/>
        <v>101722.97416827678</v>
      </c>
      <c r="J186" s="8">
        <f>VPI!R186</f>
        <v>62085.974545454548</v>
      </c>
      <c r="K186" s="171">
        <f t="shared" si="16"/>
        <v>69940.161237745269</v>
      </c>
      <c r="L186" s="260">
        <f t="shared" si="17"/>
        <v>171663.13540602205</v>
      </c>
      <c r="M186" s="102"/>
      <c r="N186" s="103"/>
      <c r="O186" s="100"/>
      <c r="P186" s="100"/>
      <c r="Q186" s="104"/>
    </row>
    <row r="187" spans="1:17" s="99" customFormat="1" x14ac:dyDescent="0.25">
      <c r="A187" s="135">
        <f>Données!A187</f>
        <v>5716</v>
      </c>
      <c r="B187" s="270" t="str">
        <f>Données!B187</f>
        <v>Eysins</v>
      </c>
      <c r="C187" s="645">
        <f>Données!AR187</f>
        <v>0</v>
      </c>
      <c r="D187" s="271">
        <f>Données!Z187</f>
        <v>1739</v>
      </c>
      <c r="E187" s="101">
        <f>Données!X187</f>
        <v>59.5</v>
      </c>
      <c r="F187" s="31">
        <f>VPI!L187</f>
        <v>14830115.610000001</v>
      </c>
      <c r="G187" s="8">
        <f t="shared" si="13"/>
        <v>498491.2810084034</v>
      </c>
      <c r="H187" s="26">
        <f t="shared" si="14"/>
        <v>158651.34715572494</v>
      </c>
      <c r="I187" s="8">
        <f t="shared" si="15"/>
        <v>158651.34715572494</v>
      </c>
      <c r="J187" s="8">
        <f>VPI!R187</f>
        <v>264344.77579831937</v>
      </c>
      <c r="K187" s="171">
        <f t="shared" si="16"/>
        <v>297785.71371468715</v>
      </c>
      <c r="L187" s="260">
        <f t="shared" si="17"/>
        <v>456437.0608704121</v>
      </c>
      <c r="M187" s="102"/>
      <c r="N187" s="103"/>
      <c r="O187" s="100"/>
      <c r="P187" s="100"/>
      <c r="Q187" s="104"/>
    </row>
    <row r="188" spans="1:17" s="99" customFormat="1" x14ac:dyDescent="0.25">
      <c r="A188" s="135">
        <f>Données!A188</f>
        <v>5717</v>
      </c>
      <c r="B188" s="270" t="str">
        <f>Données!B188</f>
        <v>Founex</v>
      </c>
      <c r="C188" s="645">
        <f>Données!AR188</f>
        <v>0</v>
      </c>
      <c r="D188" s="271">
        <f>Données!Z188</f>
        <v>3792</v>
      </c>
      <c r="E188" s="101">
        <f>Données!X188</f>
        <v>57</v>
      </c>
      <c r="F188" s="31">
        <f>VPI!L188</f>
        <v>20809728.840000004</v>
      </c>
      <c r="G188" s="8">
        <f t="shared" si="13"/>
        <v>730165.9242105264</v>
      </c>
      <c r="H188" s="26">
        <f t="shared" si="14"/>
        <v>345949.34353910811</v>
      </c>
      <c r="I188" s="8">
        <f t="shared" si="15"/>
        <v>345949.34353910811</v>
      </c>
      <c r="J188" s="8">
        <f>VPI!R188</f>
        <v>391171.86561403517</v>
      </c>
      <c r="K188" s="171">
        <f t="shared" si="16"/>
        <v>440657.06551300688</v>
      </c>
      <c r="L188" s="260">
        <f t="shared" si="17"/>
        <v>786606.40905211493</v>
      </c>
      <c r="M188" s="102"/>
      <c r="N188" s="103"/>
      <c r="O188" s="100"/>
      <c r="P188" s="100"/>
      <c r="Q188" s="104"/>
    </row>
    <row r="189" spans="1:17" s="99" customFormat="1" x14ac:dyDescent="0.25">
      <c r="A189" s="135">
        <f>Données!A189</f>
        <v>5718</v>
      </c>
      <c r="B189" s="270" t="str">
        <f>Données!B189</f>
        <v>Genolier</v>
      </c>
      <c r="C189" s="645">
        <f>Données!AR189</f>
        <v>0</v>
      </c>
      <c r="D189" s="271">
        <f>Données!Z189</f>
        <v>2038</v>
      </c>
      <c r="E189" s="101">
        <f>Données!X189</f>
        <v>52</v>
      </c>
      <c r="F189" s="31">
        <f>VPI!L189</f>
        <v>9605799.4899999984</v>
      </c>
      <c r="G189" s="8">
        <f t="shared" si="13"/>
        <v>369453.82653846149</v>
      </c>
      <c r="H189" s="26">
        <f t="shared" si="14"/>
        <v>185929.5258788772</v>
      </c>
      <c r="I189" s="8">
        <f t="shared" si="15"/>
        <v>185929.5258788772</v>
      </c>
      <c r="J189" s="8">
        <f>VPI!R189</f>
        <v>199612.23730769227</v>
      </c>
      <c r="K189" s="171">
        <f t="shared" si="16"/>
        <v>224864.18493932101</v>
      </c>
      <c r="L189" s="260">
        <f t="shared" si="17"/>
        <v>410793.71081819822</v>
      </c>
      <c r="M189" s="102"/>
      <c r="N189" s="103"/>
      <c r="O189" s="100"/>
      <c r="P189" s="100"/>
      <c r="Q189" s="104"/>
    </row>
    <row r="190" spans="1:17" s="99" customFormat="1" x14ac:dyDescent="0.25">
      <c r="A190" s="135">
        <f>Données!A190</f>
        <v>5719</v>
      </c>
      <c r="B190" s="270" t="str">
        <f>Données!B190</f>
        <v>Gingins</v>
      </c>
      <c r="C190" s="645">
        <f>Données!AR190</f>
        <v>0</v>
      </c>
      <c r="D190" s="271">
        <f>Données!Z190</f>
        <v>1262</v>
      </c>
      <c r="E190" s="101">
        <f>Données!X190</f>
        <v>60</v>
      </c>
      <c r="F190" s="31">
        <f>VPI!L190</f>
        <v>8172570.8099999996</v>
      </c>
      <c r="G190" s="8">
        <f t="shared" si="13"/>
        <v>272419.027</v>
      </c>
      <c r="H190" s="26">
        <f t="shared" si="14"/>
        <v>115133.98511243524</v>
      </c>
      <c r="I190" s="8">
        <f t="shared" si="15"/>
        <v>115133.98511243524</v>
      </c>
      <c r="J190" s="8">
        <f>VPI!R190</f>
        <v>144024.32127777775</v>
      </c>
      <c r="K190" s="171">
        <f t="shared" si="16"/>
        <v>162244.11916011514</v>
      </c>
      <c r="L190" s="260">
        <f t="shared" si="17"/>
        <v>277378.10427255038</v>
      </c>
      <c r="M190" s="102"/>
      <c r="N190" s="103"/>
      <c r="O190" s="100"/>
      <c r="P190" s="100"/>
      <c r="Q190" s="104"/>
    </row>
    <row r="191" spans="1:17" s="99" customFormat="1" x14ac:dyDescent="0.25">
      <c r="A191" s="135">
        <f>Données!A191</f>
        <v>5720</v>
      </c>
      <c r="B191" s="270" t="str">
        <f>Données!B191</f>
        <v>Givrins</v>
      </c>
      <c r="C191" s="645">
        <f>Données!AR191</f>
        <v>0</v>
      </c>
      <c r="D191" s="271">
        <f>Données!Z191</f>
        <v>1019</v>
      </c>
      <c r="E191" s="101">
        <f>Données!X191</f>
        <v>67</v>
      </c>
      <c r="F191" s="31">
        <f>VPI!L191</f>
        <v>4989874.1499999994</v>
      </c>
      <c r="G191" s="8">
        <f t="shared" si="13"/>
        <v>148951.46716417908</v>
      </c>
      <c r="H191" s="26">
        <f t="shared" si="14"/>
        <v>92964.762939438602</v>
      </c>
      <c r="I191" s="8">
        <f t="shared" si="15"/>
        <v>92964.762939438602</v>
      </c>
      <c r="J191" s="8">
        <f>VPI!R191</f>
        <v>79448.9027363184</v>
      </c>
      <c r="K191" s="171">
        <f t="shared" si="16"/>
        <v>89499.586794307092</v>
      </c>
      <c r="L191" s="260">
        <f t="shared" si="17"/>
        <v>182464.34973374568</v>
      </c>
      <c r="M191" s="102"/>
      <c r="N191" s="103"/>
      <c r="O191" s="100"/>
      <c r="P191" s="100"/>
      <c r="Q191" s="104"/>
    </row>
    <row r="192" spans="1:17" s="99" customFormat="1" x14ac:dyDescent="0.25">
      <c r="A192" s="135">
        <f>Données!A192</f>
        <v>5721</v>
      </c>
      <c r="B192" s="270" t="str">
        <f>Données!B192</f>
        <v>Gland</v>
      </c>
      <c r="C192" s="645">
        <f>Données!AR192</f>
        <v>0</v>
      </c>
      <c r="D192" s="271">
        <f>Données!Z192</f>
        <v>13976</v>
      </c>
      <c r="E192" s="101">
        <f>Données!X192</f>
        <v>61</v>
      </c>
      <c r="F192" s="31">
        <f>VPI!L192</f>
        <v>40880137.509999998</v>
      </c>
      <c r="G192" s="8">
        <f t="shared" si="13"/>
        <v>1340332.3773770491</v>
      </c>
      <c r="H192" s="26">
        <f t="shared" si="14"/>
        <v>1275049.5847316917</v>
      </c>
      <c r="I192" s="8">
        <f t="shared" si="15"/>
        <v>1275049.5847316917</v>
      </c>
      <c r="J192" s="8">
        <f>VPI!R192</f>
        <v>729933.83950819669</v>
      </c>
      <c r="K192" s="171">
        <f t="shared" si="16"/>
        <v>822274.12554688426</v>
      </c>
      <c r="L192" s="260">
        <f t="shared" si="17"/>
        <v>2097323.7102785762</v>
      </c>
      <c r="M192" s="102"/>
      <c r="N192" s="103"/>
      <c r="O192" s="100"/>
      <c r="P192" s="100"/>
      <c r="Q192" s="104"/>
    </row>
    <row r="193" spans="1:17" s="99" customFormat="1" x14ac:dyDescent="0.25">
      <c r="A193" s="135">
        <f>Données!A193</f>
        <v>5722</v>
      </c>
      <c r="B193" s="270" t="str">
        <f>Données!B193</f>
        <v>Grens</v>
      </c>
      <c r="C193" s="645">
        <f>Données!AR193</f>
        <v>0</v>
      </c>
      <c r="D193" s="271">
        <f>Données!Z193</f>
        <v>392</v>
      </c>
      <c r="E193" s="101">
        <f>Données!X193</f>
        <v>62</v>
      </c>
      <c r="F193" s="31">
        <f>VPI!L193</f>
        <v>1175421.5100000002</v>
      </c>
      <c r="G193" s="8">
        <f t="shared" si="13"/>
        <v>37916.822903225817</v>
      </c>
      <c r="H193" s="26">
        <f t="shared" si="14"/>
        <v>35762.695851089236</v>
      </c>
      <c r="I193" s="8">
        <f t="shared" si="15"/>
        <v>35762.695851089236</v>
      </c>
      <c r="J193" s="8">
        <f>VPI!R193</f>
        <v>21839.736451612909</v>
      </c>
      <c r="K193" s="171">
        <f t="shared" si="16"/>
        <v>24602.572481122461</v>
      </c>
      <c r="L193" s="260">
        <f t="shared" si="17"/>
        <v>60365.268332211694</v>
      </c>
      <c r="M193" s="102"/>
      <c r="N193" s="103"/>
      <c r="O193" s="100"/>
      <c r="P193" s="100"/>
      <c r="Q193" s="104"/>
    </row>
    <row r="194" spans="1:17" s="99" customFormat="1" x14ac:dyDescent="0.25">
      <c r="A194" s="135">
        <f>Données!A194</f>
        <v>5723</v>
      </c>
      <c r="B194" s="270" t="str">
        <f>Données!B194</f>
        <v>Mies</v>
      </c>
      <c r="C194" s="645">
        <f>Données!AR194</f>
        <v>0</v>
      </c>
      <c r="D194" s="271">
        <f>Données!Z194</f>
        <v>2171</v>
      </c>
      <c r="E194" s="101">
        <f>Données!X194</f>
        <v>52</v>
      </c>
      <c r="F194" s="31">
        <f>VPI!L194</f>
        <v>12155734.609999999</v>
      </c>
      <c r="G194" s="8">
        <f t="shared" si="13"/>
        <v>467528.25423076923</v>
      </c>
      <c r="H194" s="26">
        <f t="shared" si="14"/>
        <v>198063.29768549677</v>
      </c>
      <c r="I194" s="8">
        <f t="shared" si="15"/>
        <v>198063.29768549677</v>
      </c>
      <c r="J194" s="8">
        <f>VPI!R194</f>
        <v>253199.57134615383</v>
      </c>
      <c r="K194" s="171">
        <f t="shared" si="16"/>
        <v>285230.58508670033</v>
      </c>
      <c r="L194" s="260">
        <f t="shared" si="17"/>
        <v>483293.88277219713</v>
      </c>
      <c r="M194" s="102"/>
      <c r="N194" s="103"/>
      <c r="O194" s="100"/>
      <c r="P194" s="100"/>
      <c r="Q194" s="104"/>
    </row>
    <row r="195" spans="1:17" s="99" customFormat="1" x14ac:dyDescent="0.25">
      <c r="A195" s="135">
        <f>Données!A195</f>
        <v>5724</v>
      </c>
      <c r="B195" s="270" t="str">
        <f>Données!B195</f>
        <v>Nyon</v>
      </c>
      <c r="C195" s="645">
        <f>Données!AR195</f>
        <v>1</v>
      </c>
      <c r="D195" s="271">
        <f>Données!Z195</f>
        <v>22978</v>
      </c>
      <c r="E195" s="101">
        <f>Données!X195</f>
        <v>61</v>
      </c>
      <c r="F195" s="31">
        <f>VPI!L195</f>
        <v>94444808.349999994</v>
      </c>
      <c r="G195" s="8">
        <f t="shared" si="13"/>
        <v>3096551.0934426226</v>
      </c>
      <c r="H195" s="26">
        <f t="shared" si="14"/>
        <v>2096314.3501692051</v>
      </c>
      <c r="I195" s="8">
        <f t="shared" si="15"/>
        <v>0</v>
      </c>
      <c r="J195" s="8">
        <f>VPI!R195</f>
        <v>1663090.0153005463</v>
      </c>
      <c r="K195" s="171">
        <f t="shared" si="16"/>
        <v>1873479.2306086184</v>
      </c>
      <c r="L195" s="260">
        <f t="shared" si="17"/>
        <v>1873479.2306086184</v>
      </c>
      <c r="M195" s="102"/>
      <c r="N195" s="103"/>
      <c r="O195" s="100"/>
      <c r="P195" s="100"/>
      <c r="Q195" s="104"/>
    </row>
    <row r="196" spans="1:17" s="99" customFormat="1" x14ac:dyDescent="0.25">
      <c r="A196" s="135">
        <f>Données!A196</f>
        <v>5725</v>
      </c>
      <c r="B196" s="270" t="str">
        <f>Données!B196</f>
        <v>Prangins</v>
      </c>
      <c r="C196" s="645">
        <f>Données!AR196</f>
        <v>1</v>
      </c>
      <c r="D196" s="271">
        <f>Données!Z196</f>
        <v>4284</v>
      </c>
      <c r="E196" s="101">
        <f>Données!X196</f>
        <v>55</v>
      </c>
      <c r="F196" s="31">
        <f>VPI!L196</f>
        <v>17491730.700000003</v>
      </c>
      <c r="G196" s="8">
        <f t="shared" si="13"/>
        <v>636062.93454545469</v>
      </c>
      <c r="H196" s="26">
        <f t="shared" si="14"/>
        <v>390835.17608690378</v>
      </c>
      <c r="I196" s="8">
        <f t="shared" si="15"/>
        <v>0</v>
      </c>
      <c r="J196" s="8">
        <f>VPI!R196</f>
        <v>341674.87389610388</v>
      </c>
      <c r="K196" s="171">
        <f t="shared" si="16"/>
        <v>384898.45647319913</v>
      </c>
      <c r="L196" s="260">
        <f t="shared" si="17"/>
        <v>384898.45647319913</v>
      </c>
      <c r="M196" s="102"/>
      <c r="N196" s="103"/>
      <c r="O196" s="100"/>
      <c r="P196" s="100"/>
      <c r="Q196" s="104"/>
    </row>
    <row r="197" spans="1:17" s="99" customFormat="1" x14ac:dyDescent="0.25">
      <c r="A197" s="135">
        <f>Données!A197</f>
        <v>5726</v>
      </c>
      <c r="B197" s="270" t="str">
        <f>Données!B197</f>
        <v>La Rippe</v>
      </c>
      <c r="C197" s="645">
        <f>Données!AR197</f>
        <v>0</v>
      </c>
      <c r="D197" s="271">
        <f>Données!Z197</f>
        <v>1206</v>
      </c>
      <c r="E197" s="101">
        <f>Données!X197</f>
        <v>63.5</v>
      </c>
      <c r="F197" s="31">
        <f>VPI!L197</f>
        <v>4230884.09</v>
      </c>
      <c r="G197" s="8">
        <f t="shared" si="13"/>
        <v>133256.19181102363</v>
      </c>
      <c r="H197" s="26">
        <f t="shared" si="14"/>
        <v>110025.02856227964</v>
      </c>
      <c r="I197" s="8">
        <f t="shared" si="15"/>
        <v>110025.02856227964</v>
      </c>
      <c r="J197" s="8">
        <f>VPI!R197</f>
        <v>71131.071496062999</v>
      </c>
      <c r="K197" s="171">
        <f t="shared" si="16"/>
        <v>80129.508248372294</v>
      </c>
      <c r="L197" s="260">
        <f t="shared" si="17"/>
        <v>190154.53681065195</v>
      </c>
      <c r="M197" s="102"/>
      <c r="N197" s="103"/>
      <c r="O197" s="100"/>
      <c r="P197" s="100"/>
      <c r="Q197" s="104"/>
    </row>
    <row r="198" spans="1:17" s="99" customFormat="1" x14ac:dyDescent="0.25">
      <c r="A198" s="135">
        <f>Données!A198</f>
        <v>5727</v>
      </c>
      <c r="B198" s="270" t="str">
        <f>Données!B198</f>
        <v>Saint-Cergue</v>
      </c>
      <c r="C198" s="645">
        <f>Données!AR198</f>
        <v>0</v>
      </c>
      <c r="D198" s="271">
        <f>Données!Z198</f>
        <v>2916</v>
      </c>
      <c r="E198" s="101">
        <f>Données!X198</f>
        <v>66</v>
      </c>
      <c r="F198" s="31">
        <f>VPI!L198</f>
        <v>6586437.6799999997</v>
      </c>
      <c r="G198" s="8">
        <f t="shared" si="13"/>
        <v>199589.0206060606</v>
      </c>
      <c r="H198" s="26">
        <f t="shared" si="14"/>
        <v>266030.66607595974</v>
      </c>
      <c r="I198" s="8">
        <f t="shared" si="15"/>
        <v>199589.0206060606</v>
      </c>
      <c r="J198" s="8">
        <f>VPI!R198</f>
        <v>108766.91914141414</v>
      </c>
      <c r="K198" s="171">
        <f t="shared" si="16"/>
        <v>122526.47909253517</v>
      </c>
      <c r="L198" s="260">
        <f t="shared" si="17"/>
        <v>322115.49969859578</v>
      </c>
      <c r="M198" s="102"/>
      <c r="N198" s="103"/>
      <c r="O198" s="100"/>
      <c r="P198" s="100"/>
      <c r="Q198" s="104"/>
    </row>
    <row r="199" spans="1:17" s="99" customFormat="1" x14ac:dyDescent="0.25">
      <c r="A199" s="135">
        <f>Données!A199</f>
        <v>5728</v>
      </c>
      <c r="B199" s="270" t="str">
        <f>Données!B199</f>
        <v>Signy-Avenex</v>
      </c>
      <c r="C199" s="645">
        <f>Données!AR199</f>
        <v>0</v>
      </c>
      <c r="D199" s="271">
        <f>Données!Z199</f>
        <v>606</v>
      </c>
      <c r="E199" s="101">
        <f>Données!X199</f>
        <v>58</v>
      </c>
      <c r="F199" s="31">
        <f>VPI!L199</f>
        <v>2889648.3899999997</v>
      </c>
      <c r="G199" s="8">
        <f t="shared" ref="G199:G262" si="18">F199/E199*2</f>
        <v>99643.047931034467</v>
      </c>
      <c r="H199" s="26">
        <f t="shared" ref="H199:H262" si="19">+$G$306/$D$306*D199</f>
        <v>55286.208382041012</v>
      </c>
      <c r="I199" s="8">
        <f t="shared" ref="I199:I262" si="20">IF(C199=1,0,IF(H199&gt;G199,G199,H199))</f>
        <v>55286.208382041012</v>
      </c>
      <c r="J199" s="8">
        <f>VPI!R199</f>
        <v>54935.229999999996</v>
      </c>
      <c r="K199" s="171">
        <f t="shared" ref="K199:K262" si="21">+$K$5*J199</f>
        <v>61884.811698005557</v>
      </c>
      <c r="L199" s="260">
        <f t="shared" ref="L199:L262" si="22">+K199+I199</f>
        <v>117171.02008004657</v>
      </c>
      <c r="M199" s="102"/>
      <c r="N199" s="103"/>
      <c r="O199" s="100"/>
      <c r="P199" s="100"/>
      <c r="Q199" s="104"/>
    </row>
    <row r="200" spans="1:17" s="99" customFormat="1" x14ac:dyDescent="0.25">
      <c r="A200" s="135">
        <f>Données!A200</f>
        <v>5729</v>
      </c>
      <c r="B200" s="270" t="str">
        <f>Données!B200</f>
        <v>Tannay</v>
      </c>
      <c r="C200" s="645">
        <f>Données!AR200</f>
        <v>0</v>
      </c>
      <c r="D200" s="271">
        <f>Données!Z200</f>
        <v>1715</v>
      </c>
      <c r="E200" s="101">
        <f>Données!X200</f>
        <v>60.5</v>
      </c>
      <c r="F200" s="31">
        <f>VPI!L200</f>
        <v>11488103.25</v>
      </c>
      <c r="G200" s="8">
        <f t="shared" si="18"/>
        <v>379772.00826446281</v>
      </c>
      <c r="H200" s="26">
        <f t="shared" si="19"/>
        <v>156461.7943485154</v>
      </c>
      <c r="I200" s="8">
        <f t="shared" si="20"/>
        <v>156461.7943485154</v>
      </c>
      <c r="J200" s="8">
        <f>VPI!R200</f>
        <v>200776.3305785124</v>
      </c>
      <c r="K200" s="171">
        <f t="shared" si="21"/>
        <v>226175.54183841145</v>
      </c>
      <c r="L200" s="260">
        <f t="shared" si="22"/>
        <v>382637.33618692681</v>
      </c>
      <c r="M200" s="102"/>
      <c r="N200" s="103"/>
      <c r="O200" s="100"/>
      <c r="P200" s="100"/>
      <c r="Q200" s="104"/>
    </row>
    <row r="201" spans="1:17" s="99" customFormat="1" x14ac:dyDescent="0.25">
      <c r="A201" s="135">
        <f>Données!A201</f>
        <v>5730</v>
      </c>
      <c r="B201" s="270" t="str">
        <f>Données!B201</f>
        <v>Trélex</v>
      </c>
      <c r="C201" s="645">
        <f>Données!AR201</f>
        <v>0</v>
      </c>
      <c r="D201" s="271">
        <f>Données!Z201</f>
        <v>1447</v>
      </c>
      <c r="E201" s="101">
        <f>Données!X201</f>
        <v>55.5</v>
      </c>
      <c r="F201" s="31">
        <f>VPI!L201</f>
        <v>7636807.1200000001</v>
      </c>
      <c r="G201" s="8">
        <f t="shared" si="18"/>
        <v>275200.25657657656</v>
      </c>
      <c r="H201" s="26">
        <f t="shared" si="19"/>
        <v>132011.78800134215</v>
      </c>
      <c r="I201" s="8">
        <f t="shared" si="20"/>
        <v>132011.78800134215</v>
      </c>
      <c r="J201" s="8">
        <f>VPI!R201</f>
        <v>146462.65611611609</v>
      </c>
      <c r="K201" s="171">
        <f t="shared" si="21"/>
        <v>164990.91556612373</v>
      </c>
      <c r="L201" s="260">
        <f t="shared" si="22"/>
        <v>297002.70356746588</v>
      </c>
      <c r="M201" s="102"/>
      <c r="N201" s="103"/>
      <c r="O201" s="100"/>
      <c r="P201" s="100"/>
      <c r="Q201" s="104"/>
    </row>
    <row r="202" spans="1:17" s="99" customFormat="1" x14ac:dyDescent="0.25">
      <c r="A202" s="135">
        <f>Données!A202</f>
        <v>5731</v>
      </c>
      <c r="B202" s="270" t="str">
        <f>Données!B202</f>
        <v>Le Vaud</v>
      </c>
      <c r="C202" s="645">
        <f>Données!AR202</f>
        <v>0</v>
      </c>
      <c r="D202" s="271">
        <f>Données!Z202</f>
        <v>1413</v>
      </c>
      <c r="E202" s="101">
        <f>Données!X202</f>
        <v>73</v>
      </c>
      <c r="F202" s="31">
        <f>VPI!L202</f>
        <v>4863992.7700000005</v>
      </c>
      <c r="G202" s="8">
        <f t="shared" si="18"/>
        <v>133260.07589041098</v>
      </c>
      <c r="H202" s="26">
        <f t="shared" si="19"/>
        <v>128909.92152446196</v>
      </c>
      <c r="I202" s="8">
        <f t="shared" si="20"/>
        <v>128909.92152446196</v>
      </c>
      <c r="J202" s="8">
        <f>VPI!R202</f>
        <v>70899.219223744294</v>
      </c>
      <c r="K202" s="171">
        <f t="shared" si="21"/>
        <v>79868.325502542386</v>
      </c>
      <c r="L202" s="260">
        <f t="shared" si="22"/>
        <v>208778.24702700434</v>
      </c>
      <c r="M202" s="102"/>
      <c r="N202" s="103"/>
      <c r="O202" s="100"/>
      <c r="P202" s="100"/>
      <c r="Q202" s="104"/>
    </row>
    <row r="203" spans="1:17" s="99" customFormat="1" x14ac:dyDescent="0.25">
      <c r="A203" s="135">
        <f>Données!A203</f>
        <v>5732</v>
      </c>
      <c r="B203" s="270" t="str">
        <f>Données!B203</f>
        <v>Vich</v>
      </c>
      <c r="C203" s="645">
        <f>Données!AR203</f>
        <v>0</v>
      </c>
      <c r="D203" s="271">
        <f>Données!Z203</f>
        <v>1174</v>
      </c>
      <c r="E203" s="101">
        <f>Données!X203</f>
        <v>63</v>
      </c>
      <c r="F203" s="31">
        <f>VPI!L203</f>
        <v>4878888.08</v>
      </c>
      <c r="G203" s="8">
        <f t="shared" si="18"/>
        <v>154885.33587301587</v>
      </c>
      <c r="H203" s="26">
        <f t="shared" si="19"/>
        <v>107105.62481933358</v>
      </c>
      <c r="I203" s="8">
        <f t="shared" si="20"/>
        <v>107105.62481933358</v>
      </c>
      <c r="J203" s="8">
        <f>VPI!R203</f>
        <v>83913.803650793649</v>
      </c>
      <c r="K203" s="171">
        <f t="shared" si="21"/>
        <v>94529.320033661032</v>
      </c>
      <c r="L203" s="260">
        <f t="shared" si="22"/>
        <v>201634.94485299461</v>
      </c>
      <c r="M203" s="102"/>
      <c r="N203" s="103"/>
      <c r="O203" s="100"/>
      <c r="P203" s="100"/>
      <c r="Q203" s="104"/>
    </row>
    <row r="204" spans="1:17" s="99" customFormat="1" x14ac:dyDescent="0.25">
      <c r="A204" s="135">
        <f>Données!A204</f>
        <v>5741</v>
      </c>
      <c r="B204" s="270" t="str">
        <f>Données!B204</f>
        <v>L'Abergement</v>
      </c>
      <c r="C204" s="645">
        <f>Données!AR204</f>
        <v>0</v>
      </c>
      <c r="D204" s="271">
        <f>Données!Z204</f>
        <v>268</v>
      </c>
      <c r="E204" s="101">
        <f>Données!X204</f>
        <v>80</v>
      </c>
      <c r="F204" s="31">
        <f>VPI!L204</f>
        <v>617703.88</v>
      </c>
      <c r="G204" s="8">
        <f t="shared" si="18"/>
        <v>15442.597</v>
      </c>
      <c r="H204" s="26">
        <f t="shared" si="19"/>
        <v>24450.006347173254</v>
      </c>
      <c r="I204" s="8">
        <f t="shared" si="20"/>
        <v>15442.597</v>
      </c>
      <c r="J204" s="8">
        <f>VPI!R204</f>
        <v>8275.7188124999993</v>
      </c>
      <c r="K204" s="171">
        <f t="shared" si="21"/>
        <v>9322.6386851789757</v>
      </c>
      <c r="L204" s="260">
        <f t="shared" si="22"/>
        <v>24765.235685178974</v>
      </c>
      <c r="M204" s="102"/>
      <c r="N204" s="103"/>
      <c r="O204" s="100"/>
      <c r="P204" s="100"/>
      <c r="Q204" s="104"/>
    </row>
    <row r="205" spans="1:17" s="99" customFormat="1" x14ac:dyDescent="0.25">
      <c r="A205" s="135">
        <f>Données!A205</f>
        <v>5742</v>
      </c>
      <c r="B205" s="270" t="str">
        <f>Données!B205</f>
        <v>Agiez</v>
      </c>
      <c r="C205" s="645">
        <f>Données!AR205</f>
        <v>0</v>
      </c>
      <c r="D205" s="271">
        <f>Données!Z205</f>
        <v>383</v>
      </c>
      <c r="E205" s="101">
        <f>Données!X205</f>
        <v>76</v>
      </c>
      <c r="F205" s="31">
        <f>VPI!L205</f>
        <v>638090.1100000001</v>
      </c>
      <c r="G205" s="8">
        <f t="shared" si="18"/>
        <v>16791.845000000001</v>
      </c>
      <c r="H205" s="26">
        <f t="shared" si="19"/>
        <v>34941.613548385656</v>
      </c>
      <c r="I205" s="8">
        <f t="shared" si="20"/>
        <v>16791.845000000001</v>
      </c>
      <c r="J205" s="8">
        <f>VPI!R205</f>
        <v>9208.6422368421081</v>
      </c>
      <c r="K205" s="171">
        <f t="shared" si="21"/>
        <v>10373.581594566449</v>
      </c>
      <c r="L205" s="260">
        <f t="shared" si="22"/>
        <v>27165.426594566452</v>
      </c>
      <c r="M205" s="102"/>
      <c r="N205" s="103"/>
      <c r="O205" s="100"/>
      <c r="P205" s="100"/>
      <c r="Q205" s="104"/>
    </row>
    <row r="206" spans="1:17" s="99" customFormat="1" x14ac:dyDescent="0.25">
      <c r="A206" s="135">
        <f>Données!A206</f>
        <v>5743</v>
      </c>
      <c r="B206" s="270" t="str">
        <f>Données!B206</f>
        <v>Arnex-sur-Orbe</v>
      </c>
      <c r="C206" s="645">
        <f>Données!AR206</f>
        <v>0</v>
      </c>
      <c r="D206" s="271">
        <f>Données!Z206</f>
        <v>661</v>
      </c>
      <c r="E206" s="101">
        <f>Données!X206</f>
        <v>71</v>
      </c>
      <c r="F206" s="31">
        <f>VPI!L206</f>
        <v>1258169.58</v>
      </c>
      <c r="G206" s="8">
        <f t="shared" si="18"/>
        <v>35441.396619718311</v>
      </c>
      <c r="H206" s="26">
        <f t="shared" si="19"/>
        <v>60303.933565229549</v>
      </c>
      <c r="I206" s="8">
        <f t="shared" si="20"/>
        <v>35441.396619718311</v>
      </c>
      <c r="J206" s="8">
        <f>VPI!R206</f>
        <v>19122.067147887326</v>
      </c>
      <c r="K206" s="171">
        <f t="shared" si="21"/>
        <v>21541.104401012344</v>
      </c>
      <c r="L206" s="260">
        <f t="shared" si="22"/>
        <v>56982.501020730655</v>
      </c>
      <c r="M206" s="102"/>
      <c r="N206" s="103"/>
      <c r="O206" s="100"/>
      <c r="P206" s="100"/>
      <c r="Q206" s="104"/>
    </row>
    <row r="207" spans="1:17" s="99" customFormat="1" x14ac:dyDescent="0.25">
      <c r="A207" s="135">
        <f>Données!A207</f>
        <v>5744</v>
      </c>
      <c r="B207" s="270" t="str">
        <f>Données!B207</f>
        <v>Ballaigues</v>
      </c>
      <c r="C207" s="645">
        <f>Données!AR207</f>
        <v>0</v>
      </c>
      <c r="D207" s="271">
        <f>Données!Z207</f>
        <v>1193</v>
      </c>
      <c r="E207" s="101">
        <f>Données!X207</f>
        <v>65</v>
      </c>
      <c r="F207" s="31">
        <f>VPI!L207</f>
        <v>3767019.8599999994</v>
      </c>
      <c r="G207" s="8">
        <f t="shared" si="18"/>
        <v>115908.30338461537</v>
      </c>
      <c r="H207" s="26">
        <f t="shared" si="19"/>
        <v>108839.02079170779</v>
      </c>
      <c r="I207" s="8">
        <f t="shared" si="20"/>
        <v>108839.02079170779</v>
      </c>
      <c r="J207" s="8">
        <f>VPI!R207</f>
        <v>60998.783230769215</v>
      </c>
      <c r="K207" s="171">
        <f t="shared" si="21"/>
        <v>68715.434777348011</v>
      </c>
      <c r="L207" s="260">
        <f t="shared" si="22"/>
        <v>177554.4555690558</v>
      </c>
      <c r="M207" s="102"/>
      <c r="N207" s="103"/>
      <c r="O207" s="100"/>
      <c r="P207" s="100"/>
      <c r="Q207" s="104"/>
    </row>
    <row r="208" spans="1:17" s="99" customFormat="1" x14ac:dyDescent="0.25">
      <c r="A208" s="135">
        <f>Données!A208</f>
        <v>5745</v>
      </c>
      <c r="B208" s="270" t="str">
        <f>Données!B208</f>
        <v>Baulmes</v>
      </c>
      <c r="C208" s="645">
        <f>Données!AR208</f>
        <v>0</v>
      </c>
      <c r="D208" s="271">
        <f>Données!Z208</f>
        <v>1146</v>
      </c>
      <c r="E208" s="101">
        <f>Données!X208</f>
        <v>76.5</v>
      </c>
      <c r="F208" s="31">
        <f>VPI!L208</f>
        <v>2066728.63</v>
      </c>
      <c r="G208" s="8">
        <f t="shared" si="18"/>
        <v>54032.121045751628</v>
      </c>
      <c r="H208" s="26">
        <f t="shared" si="19"/>
        <v>104551.14654425577</v>
      </c>
      <c r="I208" s="8">
        <f t="shared" si="20"/>
        <v>54032.121045751628</v>
      </c>
      <c r="J208" s="8">
        <f>VPI!R208</f>
        <v>29147.980130718955</v>
      </c>
      <c r="K208" s="171">
        <f t="shared" si="21"/>
        <v>32835.345583640046</v>
      </c>
      <c r="L208" s="260">
        <f t="shared" si="22"/>
        <v>86867.466629391682</v>
      </c>
      <c r="M208" s="102"/>
      <c r="N208" s="103"/>
      <c r="O208" s="100"/>
      <c r="P208" s="100"/>
      <c r="Q208" s="104"/>
    </row>
    <row r="209" spans="1:17" s="99" customFormat="1" x14ac:dyDescent="0.25">
      <c r="A209" s="135">
        <f>Données!A209</f>
        <v>5746</v>
      </c>
      <c r="B209" s="270" t="str">
        <f>Données!B209</f>
        <v>Bavois</v>
      </c>
      <c r="C209" s="645">
        <f>Données!AR209</f>
        <v>0</v>
      </c>
      <c r="D209" s="271">
        <f>Données!Z209</f>
        <v>1037</v>
      </c>
      <c r="E209" s="101">
        <f>Données!X209</f>
        <v>72</v>
      </c>
      <c r="F209" s="31">
        <f>VPI!L209</f>
        <v>2213173.5099999998</v>
      </c>
      <c r="G209" s="8">
        <f t="shared" si="18"/>
        <v>61477.041944444441</v>
      </c>
      <c r="H209" s="26">
        <f t="shared" si="19"/>
        <v>94606.927544845763</v>
      </c>
      <c r="I209" s="8">
        <f t="shared" si="20"/>
        <v>61477.041944444441</v>
      </c>
      <c r="J209" s="8">
        <f>VPI!R209</f>
        <v>33851.911712962959</v>
      </c>
      <c r="K209" s="171">
        <f t="shared" si="21"/>
        <v>38134.34806724613</v>
      </c>
      <c r="L209" s="260">
        <f t="shared" si="22"/>
        <v>99611.390011690572</v>
      </c>
      <c r="M209" s="102"/>
      <c r="N209" s="103"/>
      <c r="O209" s="100"/>
      <c r="P209" s="100"/>
      <c r="Q209" s="104"/>
    </row>
    <row r="210" spans="1:17" s="99" customFormat="1" x14ac:dyDescent="0.25">
      <c r="A210" s="135">
        <f>Données!A210</f>
        <v>5747</v>
      </c>
      <c r="B210" s="270" t="str">
        <f>Données!B210</f>
        <v>Bofflens</v>
      </c>
      <c r="C210" s="645">
        <f>Données!AR210</f>
        <v>0</v>
      </c>
      <c r="D210" s="271">
        <f>Données!Z210</f>
        <v>194</v>
      </c>
      <c r="E210" s="101">
        <f>Données!X210</f>
        <v>69</v>
      </c>
      <c r="F210" s="31">
        <f>VPI!L210</f>
        <v>451795.3</v>
      </c>
      <c r="G210" s="8">
        <f t="shared" si="18"/>
        <v>13095.515942028986</v>
      </c>
      <c r="H210" s="26">
        <f t="shared" si="19"/>
        <v>17698.88519161049</v>
      </c>
      <c r="I210" s="8">
        <f t="shared" si="20"/>
        <v>13095.515942028986</v>
      </c>
      <c r="J210" s="8">
        <f>VPI!R210</f>
        <v>7065.5449275362316</v>
      </c>
      <c r="K210" s="171">
        <f t="shared" si="21"/>
        <v>7959.3717434946211</v>
      </c>
      <c r="L210" s="260">
        <f t="shared" si="22"/>
        <v>21054.887685523609</v>
      </c>
      <c r="M210" s="102"/>
      <c r="N210" s="103"/>
      <c r="O210" s="100"/>
      <c r="P210" s="100"/>
      <c r="Q210" s="104"/>
    </row>
    <row r="211" spans="1:17" s="99" customFormat="1" x14ac:dyDescent="0.25">
      <c r="A211" s="135">
        <f>Données!A211</f>
        <v>5748</v>
      </c>
      <c r="B211" s="270" t="str">
        <f>Données!B211</f>
        <v>Bretonnières</v>
      </c>
      <c r="C211" s="645">
        <f>Données!AR211</f>
        <v>0</v>
      </c>
      <c r="D211" s="271">
        <f>Données!Z211</f>
        <v>259</v>
      </c>
      <c r="E211" s="101">
        <f>Données!X211</f>
        <v>70.5</v>
      </c>
      <c r="F211" s="31">
        <f>VPI!L211</f>
        <v>441827.45</v>
      </c>
      <c r="G211" s="8">
        <f t="shared" si="18"/>
        <v>12534.112056737589</v>
      </c>
      <c r="H211" s="26">
        <f t="shared" si="19"/>
        <v>23628.924044469673</v>
      </c>
      <c r="I211" s="8">
        <f t="shared" si="20"/>
        <v>12534.112056737589</v>
      </c>
      <c r="J211" s="8">
        <f>VPI!R211</f>
        <v>6864.9177304964542</v>
      </c>
      <c r="K211" s="171">
        <f t="shared" si="21"/>
        <v>7733.3642013344215</v>
      </c>
      <c r="L211" s="260">
        <f t="shared" si="22"/>
        <v>20267.476258072013</v>
      </c>
      <c r="M211" s="102"/>
      <c r="N211" s="103"/>
      <c r="O211" s="100"/>
      <c r="P211" s="100"/>
      <c r="Q211" s="104"/>
    </row>
    <row r="212" spans="1:17" s="99" customFormat="1" x14ac:dyDescent="0.25">
      <c r="A212" s="135">
        <f>Données!A212</f>
        <v>5749</v>
      </c>
      <c r="B212" s="270" t="str">
        <f>Données!B212</f>
        <v>Chavornay</v>
      </c>
      <c r="C212" s="645">
        <f>Données!AR212</f>
        <v>0</v>
      </c>
      <c r="D212" s="271">
        <f>Données!Z212</f>
        <v>5423</v>
      </c>
      <c r="E212" s="101">
        <f>Données!X212</f>
        <v>70.5</v>
      </c>
      <c r="F212" s="31">
        <f>VPI!L212</f>
        <v>9547397.0299999993</v>
      </c>
      <c r="G212" s="8">
        <f t="shared" si="18"/>
        <v>270848.14269503544</v>
      </c>
      <c r="H212" s="26">
        <f t="shared" si="19"/>
        <v>494747.70306239009</v>
      </c>
      <c r="I212" s="8">
        <f t="shared" si="20"/>
        <v>270848.14269503544</v>
      </c>
      <c r="J212" s="8">
        <f>VPI!R212</f>
        <v>149579.8465248227</v>
      </c>
      <c r="K212" s="171">
        <f t="shared" si="21"/>
        <v>168502.44617170483</v>
      </c>
      <c r="L212" s="260">
        <f t="shared" si="22"/>
        <v>439350.58886674023</v>
      </c>
      <c r="M212" s="102"/>
      <c r="N212" s="103"/>
      <c r="O212" s="100"/>
      <c r="P212" s="100"/>
      <c r="Q212" s="104"/>
    </row>
    <row r="213" spans="1:17" s="99" customFormat="1" x14ac:dyDescent="0.25">
      <c r="A213" s="135">
        <f>Données!A213</f>
        <v>5750</v>
      </c>
      <c r="B213" s="270" t="str">
        <f>Données!B213</f>
        <v>Les Clées</v>
      </c>
      <c r="C213" s="645">
        <f>Données!AR213</f>
        <v>0</v>
      </c>
      <c r="D213" s="271">
        <f>Données!Z213</f>
        <v>192</v>
      </c>
      <c r="E213" s="101">
        <f>Données!X213</f>
        <v>80</v>
      </c>
      <c r="F213" s="31">
        <f>VPI!L213</f>
        <v>399743.37000000005</v>
      </c>
      <c r="G213" s="8">
        <f t="shared" si="18"/>
        <v>9993.5842500000017</v>
      </c>
      <c r="H213" s="26">
        <f t="shared" si="19"/>
        <v>17516.422457676359</v>
      </c>
      <c r="I213" s="8">
        <f t="shared" si="20"/>
        <v>9993.5842500000017</v>
      </c>
      <c r="J213" s="8">
        <f>VPI!R213</f>
        <v>5320.5294166666672</v>
      </c>
      <c r="K213" s="171">
        <f t="shared" si="21"/>
        <v>5993.6030318634521</v>
      </c>
      <c r="L213" s="260">
        <f t="shared" si="22"/>
        <v>15987.187281863455</v>
      </c>
      <c r="M213" s="102"/>
      <c r="N213" s="103"/>
      <c r="O213" s="100"/>
      <c r="P213" s="100"/>
      <c r="Q213" s="104"/>
    </row>
    <row r="214" spans="1:17" s="99" customFormat="1" x14ac:dyDescent="0.25">
      <c r="A214" s="135">
        <f>Données!A214</f>
        <v>5752</v>
      </c>
      <c r="B214" s="270" t="str">
        <f>Données!B214</f>
        <v>Croy</v>
      </c>
      <c r="C214" s="645">
        <f>Données!AR214</f>
        <v>0</v>
      </c>
      <c r="D214" s="271">
        <f>Données!Z214</f>
        <v>397</v>
      </c>
      <c r="E214" s="101">
        <f>Données!X214</f>
        <v>74</v>
      </c>
      <c r="F214" s="31">
        <f>VPI!L214</f>
        <v>665225.72999999986</v>
      </c>
      <c r="G214" s="8">
        <f t="shared" si="18"/>
        <v>17979.073783783781</v>
      </c>
      <c r="H214" s="26">
        <f t="shared" si="19"/>
        <v>36218.852685924554</v>
      </c>
      <c r="I214" s="8">
        <f t="shared" si="20"/>
        <v>17979.073783783781</v>
      </c>
      <c r="J214" s="8">
        <f>VPI!R214</f>
        <v>9858.3588996138969</v>
      </c>
      <c r="K214" s="171">
        <f t="shared" si="21"/>
        <v>11105.490668810586</v>
      </c>
      <c r="L214" s="260">
        <f t="shared" si="22"/>
        <v>29084.564452594364</v>
      </c>
      <c r="M214" s="102"/>
      <c r="N214" s="103"/>
      <c r="O214" s="100"/>
      <c r="P214" s="100"/>
      <c r="Q214" s="104"/>
    </row>
    <row r="215" spans="1:17" s="99" customFormat="1" x14ac:dyDescent="0.25">
      <c r="A215" s="135">
        <f>Données!A215</f>
        <v>5754</v>
      </c>
      <c r="B215" s="270" t="str">
        <f>Données!B215</f>
        <v>Juriens</v>
      </c>
      <c r="C215" s="645">
        <f>Données!AR215</f>
        <v>0</v>
      </c>
      <c r="D215" s="271">
        <f>Données!Z215</f>
        <v>351</v>
      </c>
      <c r="E215" s="101">
        <f>Données!X215</f>
        <v>79</v>
      </c>
      <c r="F215" s="31">
        <f>VPI!L215</f>
        <v>645199.9</v>
      </c>
      <c r="G215" s="8">
        <f t="shared" si="18"/>
        <v>16334.174683544305</v>
      </c>
      <c r="H215" s="26">
        <f t="shared" si="19"/>
        <v>32022.209805439594</v>
      </c>
      <c r="I215" s="8">
        <f t="shared" si="20"/>
        <v>16334.174683544305</v>
      </c>
      <c r="J215" s="8">
        <f>VPI!R215</f>
        <v>8812.2215189873423</v>
      </c>
      <c r="K215" s="171">
        <f t="shared" si="21"/>
        <v>9927.0116707192119</v>
      </c>
      <c r="L215" s="260">
        <f t="shared" si="22"/>
        <v>26261.186354263518</v>
      </c>
      <c r="M215" s="102"/>
      <c r="N215" s="103"/>
      <c r="O215" s="100"/>
      <c r="P215" s="100"/>
      <c r="Q215" s="104"/>
    </row>
    <row r="216" spans="1:17" s="99" customFormat="1" x14ac:dyDescent="0.25">
      <c r="A216" s="135">
        <f>Données!A216</f>
        <v>5755</v>
      </c>
      <c r="B216" s="270" t="str">
        <f>Données!B216</f>
        <v>Lignerolle</v>
      </c>
      <c r="C216" s="645">
        <f>Données!AR216</f>
        <v>0</v>
      </c>
      <c r="D216" s="271">
        <f>Données!Z216</f>
        <v>462</v>
      </c>
      <c r="E216" s="101">
        <f>Données!X216</f>
        <v>78.5</v>
      </c>
      <c r="F216" s="31">
        <f>VPI!L216</f>
        <v>800705.95000000007</v>
      </c>
      <c r="G216" s="8">
        <f t="shared" si="18"/>
        <v>20400.151592356691</v>
      </c>
      <c r="H216" s="26">
        <f t="shared" si="19"/>
        <v>42148.891538783741</v>
      </c>
      <c r="I216" s="8">
        <f t="shared" si="20"/>
        <v>20400.151592356691</v>
      </c>
      <c r="J216" s="8">
        <f>VPI!R216</f>
        <v>11116.576615104641</v>
      </c>
      <c r="K216" s="171">
        <f t="shared" si="21"/>
        <v>12522.879226176039</v>
      </c>
      <c r="L216" s="260">
        <f t="shared" si="22"/>
        <v>32923.03081853273</v>
      </c>
      <c r="M216" s="102"/>
      <c r="N216" s="103"/>
      <c r="O216" s="100"/>
      <c r="P216" s="100"/>
      <c r="Q216" s="104"/>
    </row>
    <row r="217" spans="1:17" s="99" customFormat="1" x14ac:dyDescent="0.25">
      <c r="A217" s="135">
        <f>Données!A217</f>
        <v>5756</v>
      </c>
      <c r="B217" s="270" t="str">
        <f>Données!B217</f>
        <v>Montcherand</v>
      </c>
      <c r="C217" s="645">
        <f>Données!AR217</f>
        <v>0</v>
      </c>
      <c r="D217" s="271">
        <f>Données!Z217</f>
        <v>494</v>
      </c>
      <c r="E217" s="101">
        <f>Données!X217</f>
        <v>72</v>
      </c>
      <c r="F217" s="31">
        <f>VPI!L217</f>
        <v>1416982.1700000002</v>
      </c>
      <c r="G217" s="8">
        <f t="shared" si="18"/>
        <v>39360.615833333337</v>
      </c>
      <c r="H217" s="26">
        <f t="shared" si="19"/>
        <v>45068.295281729799</v>
      </c>
      <c r="I217" s="8">
        <f t="shared" si="20"/>
        <v>39360.615833333337</v>
      </c>
      <c r="J217" s="8">
        <f>VPI!R217</f>
        <v>20941.594027777777</v>
      </c>
      <c r="K217" s="171">
        <f t="shared" si="21"/>
        <v>23590.810542981355</v>
      </c>
      <c r="L217" s="260">
        <f t="shared" si="22"/>
        <v>62951.426376314688</v>
      </c>
      <c r="M217" s="102"/>
      <c r="N217" s="103"/>
      <c r="O217" s="100"/>
      <c r="P217" s="100"/>
      <c r="Q217" s="104"/>
    </row>
    <row r="218" spans="1:17" s="99" customFormat="1" x14ac:dyDescent="0.25">
      <c r="A218" s="135">
        <f>Données!A218</f>
        <v>5757</v>
      </c>
      <c r="B218" s="270" t="str">
        <f>Données!B218</f>
        <v>Orbe</v>
      </c>
      <c r="C218" s="645">
        <f>Données!AR218</f>
        <v>0</v>
      </c>
      <c r="D218" s="271">
        <f>Données!Z218</f>
        <v>7827</v>
      </c>
      <c r="E218" s="101">
        <f>Données!X218</f>
        <v>75.5</v>
      </c>
      <c r="F218" s="31">
        <f>VPI!L218</f>
        <v>15421885.91</v>
      </c>
      <c r="G218" s="8">
        <f t="shared" si="18"/>
        <v>408526.77907284768</v>
      </c>
      <c r="H218" s="26">
        <f t="shared" si="19"/>
        <v>714067.90925121284</v>
      </c>
      <c r="I218" s="8">
        <f t="shared" si="20"/>
        <v>408526.77907284768</v>
      </c>
      <c r="J218" s="8">
        <f>VPI!R218</f>
        <v>226209.22728476822</v>
      </c>
      <c r="K218" s="171">
        <f t="shared" si="21"/>
        <v>254825.82734010986</v>
      </c>
      <c r="L218" s="260">
        <f t="shared" si="22"/>
        <v>663352.60641295754</v>
      </c>
      <c r="M218" s="102"/>
      <c r="N218" s="103"/>
      <c r="O218" s="100"/>
      <c r="P218" s="100"/>
      <c r="Q218" s="104"/>
    </row>
    <row r="219" spans="1:17" s="99" customFormat="1" x14ac:dyDescent="0.25">
      <c r="A219" s="135">
        <f>Données!A219</f>
        <v>5758</v>
      </c>
      <c r="B219" s="270" t="str">
        <f>Données!B219</f>
        <v>La Praz</v>
      </c>
      <c r="C219" s="645">
        <f>Données!AR219</f>
        <v>0</v>
      </c>
      <c r="D219" s="271">
        <f>Données!Z219</f>
        <v>206</v>
      </c>
      <c r="E219" s="101">
        <f>Données!X219</f>
        <v>83</v>
      </c>
      <c r="F219" s="31">
        <f>VPI!L219</f>
        <v>432425.88000000006</v>
      </c>
      <c r="G219" s="8">
        <f t="shared" si="18"/>
        <v>10419.900722891567</v>
      </c>
      <c r="H219" s="26">
        <f t="shared" si="19"/>
        <v>18793.661595215261</v>
      </c>
      <c r="I219" s="8">
        <f t="shared" si="20"/>
        <v>10419.900722891567</v>
      </c>
      <c r="J219" s="8">
        <f>VPI!R219</f>
        <v>5593.0973493975916</v>
      </c>
      <c r="K219" s="171">
        <f t="shared" si="21"/>
        <v>6300.6521730423983</v>
      </c>
      <c r="L219" s="260">
        <f t="shared" si="22"/>
        <v>16720.552895933964</v>
      </c>
      <c r="M219" s="102"/>
      <c r="N219" s="103"/>
      <c r="O219" s="100"/>
      <c r="P219" s="100"/>
      <c r="Q219" s="104"/>
    </row>
    <row r="220" spans="1:17" s="99" customFormat="1" x14ac:dyDescent="0.25">
      <c r="A220" s="135">
        <f>Données!A220</f>
        <v>5759</v>
      </c>
      <c r="B220" s="270" t="str">
        <f>Données!B220</f>
        <v>Premier</v>
      </c>
      <c r="C220" s="645">
        <f>Données!AR220</f>
        <v>0</v>
      </c>
      <c r="D220" s="271">
        <f>Données!Z220</f>
        <v>233</v>
      </c>
      <c r="E220" s="101">
        <f>Données!X220</f>
        <v>79.5</v>
      </c>
      <c r="F220" s="31">
        <f>VPI!L220</f>
        <v>391728.95000000007</v>
      </c>
      <c r="G220" s="8">
        <f t="shared" si="18"/>
        <v>9854.8163522012601</v>
      </c>
      <c r="H220" s="26">
        <f t="shared" si="19"/>
        <v>21256.908503325998</v>
      </c>
      <c r="I220" s="8">
        <f t="shared" si="20"/>
        <v>9854.8163522012601</v>
      </c>
      <c r="J220" s="8">
        <f>VPI!R220</f>
        <v>5351.6616352201272</v>
      </c>
      <c r="K220" s="171">
        <f t="shared" si="21"/>
        <v>6028.6736319669199</v>
      </c>
      <c r="L220" s="260">
        <f t="shared" si="22"/>
        <v>15883.48998416818</v>
      </c>
      <c r="M220" s="102"/>
      <c r="N220" s="103"/>
      <c r="O220" s="100"/>
      <c r="P220" s="100"/>
      <c r="Q220" s="104"/>
    </row>
    <row r="221" spans="1:17" s="99" customFormat="1" x14ac:dyDescent="0.25">
      <c r="A221" s="135">
        <f>Données!A221</f>
        <v>5760</v>
      </c>
      <c r="B221" s="270" t="str">
        <f>Données!B221</f>
        <v>Rances</v>
      </c>
      <c r="C221" s="645">
        <f>Données!AR221</f>
        <v>0</v>
      </c>
      <c r="D221" s="271">
        <f>Données!Z221</f>
        <v>525</v>
      </c>
      <c r="E221" s="101">
        <f>Données!X221</f>
        <v>76.5</v>
      </c>
      <c r="F221" s="31">
        <f>VPI!L221</f>
        <v>1166441.72</v>
      </c>
      <c r="G221" s="8">
        <f t="shared" si="18"/>
        <v>30495.20836601307</v>
      </c>
      <c r="H221" s="26">
        <f t="shared" si="19"/>
        <v>47896.467657708796</v>
      </c>
      <c r="I221" s="8">
        <f t="shared" si="20"/>
        <v>30495.20836601307</v>
      </c>
      <c r="J221" s="8">
        <f>VPI!R221</f>
        <v>16377.081307189543</v>
      </c>
      <c r="K221" s="171">
        <f t="shared" si="21"/>
        <v>18448.864105208108</v>
      </c>
      <c r="L221" s="260">
        <f t="shared" si="22"/>
        <v>48944.072471221181</v>
      </c>
      <c r="M221" s="102"/>
      <c r="N221" s="103"/>
      <c r="O221" s="100"/>
      <c r="P221" s="100"/>
      <c r="Q221" s="104"/>
    </row>
    <row r="222" spans="1:17" s="99" customFormat="1" x14ac:dyDescent="0.25">
      <c r="A222" s="135">
        <f>Données!A222</f>
        <v>5761</v>
      </c>
      <c r="B222" s="270" t="str">
        <f>Données!B222</f>
        <v>Romainmôtier-Envy</v>
      </c>
      <c r="C222" s="645">
        <f>Données!AR222</f>
        <v>0</v>
      </c>
      <c r="D222" s="271">
        <f>Données!Z222</f>
        <v>575</v>
      </c>
      <c r="E222" s="101">
        <f>Données!X222</f>
        <v>81</v>
      </c>
      <c r="F222" s="31">
        <f>VPI!L222</f>
        <v>995111.62</v>
      </c>
      <c r="G222" s="8">
        <f t="shared" si="18"/>
        <v>24570.657283950619</v>
      </c>
      <c r="H222" s="26">
        <f t="shared" si="19"/>
        <v>52458.036006062015</v>
      </c>
      <c r="I222" s="8">
        <f t="shared" si="20"/>
        <v>24570.657283950619</v>
      </c>
      <c r="J222" s="8">
        <f>VPI!R222</f>
        <v>13471.82785634119</v>
      </c>
      <c r="K222" s="171">
        <f t="shared" si="21"/>
        <v>15176.081543985898</v>
      </c>
      <c r="L222" s="260">
        <f t="shared" si="22"/>
        <v>39746.738827936519</v>
      </c>
      <c r="M222" s="102"/>
      <c r="N222" s="103"/>
      <c r="O222" s="100"/>
      <c r="P222" s="100"/>
      <c r="Q222" s="104"/>
    </row>
    <row r="223" spans="1:17" s="99" customFormat="1" x14ac:dyDescent="0.25">
      <c r="A223" s="135">
        <f>Données!A223</f>
        <v>5762</v>
      </c>
      <c r="B223" s="270" t="str">
        <f>Données!B223</f>
        <v>Sergey</v>
      </c>
      <c r="C223" s="645">
        <f>Données!AR223</f>
        <v>0</v>
      </c>
      <c r="D223" s="271">
        <f>Données!Z223</f>
        <v>137</v>
      </c>
      <c r="E223" s="101">
        <f>Données!X223</f>
        <v>78</v>
      </c>
      <c r="F223" s="31">
        <f>VPI!L223</f>
        <v>256108.36000000002</v>
      </c>
      <c r="G223" s="8">
        <f t="shared" si="18"/>
        <v>6566.8810256410261</v>
      </c>
      <c r="H223" s="26">
        <f t="shared" si="19"/>
        <v>12498.697274487819</v>
      </c>
      <c r="I223" s="8">
        <f t="shared" si="20"/>
        <v>6566.8810256410261</v>
      </c>
      <c r="J223" s="8">
        <f>VPI!R223</f>
        <v>3564.2302564102565</v>
      </c>
      <c r="K223" s="171">
        <f t="shared" si="21"/>
        <v>4015.1232326920776</v>
      </c>
      <c r="L223" s="260">
        <f t="shared" si="22"/>
        <v>10582.004258333103</v>
      </c>
      <c r="M223" s="102"/>
      <c r="N223" s="103"/>
      <c r="O223" s="100"/>
      <c r="P223" s="100"/>
      <c r="Q223" s="104"/>
    </row>
    <row r="224" spans="1:17" s="99" customFormat="1" x14ac:dyDescent="0.25">
      <c r="A224" s="135">
        <f>Données!A224</f>
        <v>5763</v>
      </c>
      <c r="B224" s="270" t="str">
        <f>Données!B224</f>
        <v>Valeyres-sous-Rances</v>
      </c>
      <c r="C224" s="645">
        <f>Données!AR224</f>
        <v>0</v>
      </c>
      <c r="D224" s="271">
        <f>Données!Z224</f>
        <v>583</v>
      </c>
      <c r="E224" s="101">
        <f>Données!X224</f>
        <v>71</v>
      </c>
      <c r="F224" s="31">
        <f>VPI!L224</f>
        <v>1410233.04</v>
      </c>
      <c r="G224" s="8">
        <f t="shared" si="18"/>
        <v>39724.874366197182</v>
      </c>
      <c r="H224" s="26">
        <f t="shared" si="19"/>
        <v>53187.886941798533</v>
      </c>
      <c r="I224" s="8">
        <f t="shared" si="20"/>
        <v>39724.874366197182</v>
      </c>
      <c r="J224" s="8">
        <f>VPI!R224</f>
        <v>21279.080140845068</v>
      </c>
      <c r="K224" s="171">
        <f t="shared" si="21"/>
        <v>23970.990339404543</v>
      </c>
      <c r="L224" s="260">
        <f t="shared" si="22"/>
        <v>63695.864705601722</v>
      </c>
      <c r="M224" s="102"/>
      <c r="N224" s="103"/>
      <c r="O224" s="100"/>
      <c r="P224" s="100"/>
      <c r="Q224" s="104"/>
    </row>
    <row r="225" spans="1:17" s="99" customFormat="1" x14ac:dyDescent="0.25">
      <c r="A225" s="135">
        <f>Données!A225</f>
        <v>5764</v>
      </c>
      <c r="B225" s="270" t="str">
        <f>Données!B225</f>
        <v>Vallorbe</v>
      </c>
      <c r="C225" s="645">
        <f>Données!AR225</f>
        <v>0</v>
      </c>
      <c r="D225" s="271">
        <f>Données!Z225</f>
        <v>4121</v>
      </c>
      <c r="E225" s="101">
        <f>Données!X225</f>
        <v>71.5</v>
      </c>
      <c r="F225" s="31">
        <f>VPI!L225</f>
        <v>6161226.6399999997</v>
      </c>
      <c r="G225" s="8">
        <f t="shared" si="18"/>
        <v>172342.00391608389</v>
      </c>
      <c r="H225" s="26">
        <f t="shared" si="19"/>
        <v>375964.46327127231</v>
      </c>
      <c r="I225" s="8">
        <f t="shared" si="20"/>
        <v>172342.00391608389</v>
      </c>
      <c r="J225" s="8">
        <f>VPI!R225</f>
        <v>94417.86909090908</v>
      </c>
      <c r="K225" s="171">
        <f t="shared" si="21"/>
        <v>106362.20235389654</v>
      </c>
      <c r="L225" s="260">
        <f t="shared" si="22"/>
        <v>278704.20626998041</v>
      </c>
      <c r="M225" s="102"/>
      <c r="N225" s="103"/>
      <c r="O225" s="100"/>
      <c r="P225" s="100"/>
      <c r="Q225" s="104"/>
    </row>
    <row r="226" spans="1:17" s="99" customFormat="1" x14ac:dyDescent="0.25">
      <c r="A226" s="135">
        <f>Données!A226</f>
        <v>5765</v>
      </c>
      <c r="B226" s="270" t="str">
        <f>Données!B226</f>
        <v>Vaulion</v>
      </c>
      <c r="C226" s="645">
        <f>Données!AR226</f>
        <v>0</v>
      </c>
      <c r="D226" s="271">
        <f>Données!Z226</f>
        <v>486</v>
      </c>
      <c r="E226" s="101">
        <f>Données!X226</f>
        <v>81</v>
      </c>
      <c r="F226" s="31">
        <f>VPI!L226</f>
        <v>865995.41</v>
      </c>
      <c r="G226" s="8">
        <f t="shared" si="18"/>
        <v>21382.602716049383</v>
      </c>
      <c r="H226" s="26">
        <f t="shared" si="19"/>
        <v>44338.444345993288</v>
      </c>
      <c r="I226" s="8">
        <f t="shared" si="20"/>
        <v>21382.602716049383</v>
      </c>
      <c r="J226" s="8">
        <f>VPI!R226</f>
        <v>11559.011234567901</v>
      </c>
      <c r="K226" s="171">
        <f t="shared" si="21"/>
        <v>13021.284040612287</v>
      </c>
      <c r="L226" s="260">
        <f t="shared" si="22"/>
        <v>34403.886756661668</v>
      </c>
      <c r="M226" s="102"/>
      <c r="N226" s="103"/>
      <c r="O226" s="100"/>
      <c r="P226" s="100"/>
      <c r="Q226" s="104"/>
    </row>
    <row r="227" spans="1:17" s="99" customFormat="1" x14ac:dyDescent="0.25">
      <c r="A227" s="135">
        <f>Données!A227</f>
        <v>5766</v>
      </c>
      <c r="B227" s="270" t="str">
        <f>Données!B227</f>
        <v>Vuiteboeuf</v>
      </c>
      <c r="C227" s="645">
        <f>Données!AR227</f>
        <v>0</v>
      </c>
      <c r="D227" s="271">
        <f>Données!Z227</f>
        <v>586</v>
      </c>
      <c r="E227" s="101">
        <f>Données!X227</f>
        <v>75</v>
      </c>
      <c r="F227" s="31">
        <f>VPI!L227</f>
        <v>987430.41999999981</v>
      </c>
      <c r="G227" s="8">
        <f t="shared" si="18"/>
        <v>26331.477866666661</v>
      </c>
      <c r="H227" s="26">
        <f t="shared" si="19"/>
        <v>53461.581042699727</v>
      </c>
      <c r="I227" s="8">
        <f t="shared" si="20"/>
        <v>26331.477866666661</v>
      </c>
      <c r="J227" s="8">
        <f>VPI!R227</f>
        <v>14621.166361904759</v>
      </c>
      <c r="K227" s="171">
        <f t="shared" si="21"/>
        <v>16470.817126126331</v>
      </c>
      <c r="L227" s="260">
        <f t="shared" si="22"/>
        <v>42802.294992792988</v>
      </c>
      <c r="M227" s="102"/>
      <c r="N227" s="103"/>
      <c r="O227" s="100"/>
      <c r="P227" s="100"/>
      <c r="Q227" s="104"/>
    </row>
    <row r="228" spans="1:17" s="99" customFormat="1" x14ac:dyDescent="0.25">
      <c r="A228" s="135">
        <f>Données!A228</f>
        <v>5785</v>
      </c>
      <c r="B228" s="270" t="str">
        <f>Données!B228</f>
        <v>Corcelles-le-Jorat</v>
      </c>
      <c r="C228" s="645">
        <f>Données!AR228</f>
        <v>0</v>
      </c>
      <c r="D228" s="271">
        <f>Données!Z228</f>
        <v>500</v>
      </c>
      <c r="E228" s="101">
        <f>Données!X228</f>
        <v>75</v>
      </c>
      <c r="F228" s="31">
        <f>VPI!L228</f>
        <v>1265568.02</v>
      </c>
      <c r="G228" s="8">
        <f t="shared" si="18"/>
        <v>33748.480533333335</v>
      </c>
      <c r="H228" s="26">
        <f t="shared" si="19"/>
        <v>45615.683483532186</v>
      </c>
      <c r="I228" s="8">
        <f t="shared" si="20"/>
        <v>33748.480533333335</v>
      </c>
      <c r="J228" s="8">
        <f>VPI!R228</f>
        <v>17967.826266666671</v>
      </c>
      <c r="K228" s="171">
        <f t="shared" si="21"/>
        <v>20240.846268144232</v>
      </c>
      <c r="L228" s="260">
        <f t="shared" si="22"/>
        <v>53989.326801477568</v>
      </c>
      <c r="M228" s="102"/>
      <c r="N228" s="103"/>
      <c r="O228" s="100"/>
      <c r="P228" s="100"/>
      <c r="Q228" s="104"/>
    </row>
    <row r="229" spans="1:17" s="99" customFormat="1" x14ac:dyDescent="0.25">
      <c r="A229" s="135">
        <f>Données!A229</f>
        <v>5790</v>
      </c>
      <c r="B229" s="270" t="str">
        <f>Données!B229</f>
        <v>Maracon</v>
      </c>
      <c r="C229" s="645">
        <f>Données!AR229</f>
        <v>0</v>
      </c>
      <c r="D229" s="271">
        <f>Données!Z229</f>
        <v>567</v>
      </c>
      <c r="E229" s="101">
        <f>Données!X229</f>
        <v>74.5</v>
      </c>
      <c r="F229" s="31">
        <f>VPI!L229</f>
        <v>1209686.8799999999</v>
      </c>
      <c r="G229" s="8">
        <f t="shared" si="18"/>
        <v>32474.815570469797</v>
      </c>
      <c r="H229" s="26">
        <f t="shared" si="19"/>
        <v>51728.185070325504</v>
      </c>
      <c r="I229" s="8">
        <f t="shared" si="20"/>
        <v>32474.815570469797</v>
      </c>
      <c r="J229" s="8">
        <f>VPI!R229</f>
        <v>17556.382281879196</v>
      </c>
      <c r="K229" s="171">
        <f t="shared" si="21"/>
        <v>19777.352558864233</v>
      </c>
      <c r="L229" s="260">
        <f t="shared" si="22"/>
        <v>52252.16812933403</v>
      </c>
      <c r="M229" s="102"/>
      <c r="N229" s="103"/>
      <c r="O229" s="100"/>
      <c r="P229" s="100"/>
      <c r="Q229" s="104"/>
    </row>
    <row r="230" spans="1:17" s="99" customFormat="1" x14ac:dyDescent="0.25">
      <c r="A230" s="135">
        <f>Données!A230</f>
        <v>5792</v>
      </c>
      <c r="B230" s="270" t="str">
        <f>Données!B230</f>
        <v>Montpreveyres</v>
      </c>
      <c r="C230" s="645">
        <f>Données!AR230</f>
        <v>0</v>
      </c>
      <c r="D230" s="271">
        <f>Données!Z230</f>
        <v>632</v>
      </c>
      <c r="E230" s="101">
        <f>Données!X230</f>
        <v>75</v>
      </c>
      <c r="F230" s="31">
        <f>VPI!L230</f>
        <v>1342210.8599999999</v>
      </c>
      <c r="G230" s="8">
        <f t="shared" si="18"/>
        <v>35792.289599999996</v>
      </c>
      <c r="H230" s="26">
        <f t="shared" si="19"/>
        <v>57658.223923184683</v>
      </c>
      <c r="I230" s="8">
        <f t="shared" si="20"/>
        <v>35792.289599999996</v>
      </c>
      <c r="J230" s="8">
        <f>VPI!R230</f>
        <v>19503.116799999996</v>
      </c>
      <c r="K230" s="171">
        <f t="shared" si="21"/>
        <v>21970.358742326345</v>
      </c>
      <c r="L230" s="260">
        <f t="shared" si="22"/>
        <v>57762.648342326342</v>
      </c>
      <c r="M230" s="102"/>
      <c r="N230" s="103"/>
      <c r="O230" s="100"/>
      <c r="P230" s="100"/>
      <c r="Q230" s="104"/>
    </row>
    <row r="231" spans="1:17" s="99" customFormat="1" x14ac:dyDescent="0.25">
      <c r="A231" s="135">
        <f>Données!A231</f>
        <v>5798</v>
      </c>
      <c r="B231" s="270" t="str">
        <f>Données!B231</f>
        <v>Ropraz</v>
      </c>
      <c r="C231" s="645">
        <f>Données!AR231</f>
        <v>0</v>
      </c>
      <c r="D231" s="271">
        <f>Données!Z231</f>
        <v>535</v>
      </c>
      <c r="E231" s="101">
        <f>Données!X231</f>
        <v>77.5</v>
      </c>
      <c r="F231" s="31">
        <f>VPI!L231</f>
        <v>1135937.5999999999</v>
      </c>
      <c r="G231" s="8">
        <f t="shared" si="18"/>
        <v>29314.518709677417</v>
      </c>
      <c r="H231" s="26">
        <f t="shared" si="19"/>
        <v>48808.781327379438</v>
      </c>
      <c r="I231" s="8">
        <f t="shared" si="20"/>
        <v>29314.518709677417</v>
      </c>
      <c r="J231" s="8">
        <f>VPI!R231</f>
        <v>16096.874193548387</v>
      </c>
      <c r="K231" s="171">
        <f t="shared" si="21"/>
        <v>18133.209388478524</v>
      </c>
      <c r="L231" s="260">
        <f t="shared" si="22"/>
        <v>47447.728098155945</v>
      </c>
      <c r="M231" s="102"/>
      <c r="N231" s="103"/>
      <c r="O231" s="100"/>
      <c r="P231" s="100"/>
      <c r="Q231" s="104"/>
    </row>
    <row r="232" spans="1:17" s="99" customFormat="1" x14ac:dyDescent="0.25">
      <c r="A232" s="135">
        <f>Données!A232</f>
        <v>5799</v>
      </c>
      <c r="B232" s="270" t="str">
        <f>Données!B232</f>
        <v>Servion</v>
      </c>
      <c r="C232" s="645">
        <f>Données!AR232</f>
        <v>0</v>
      </c>
      <c r="D232" s="271">
        <f>Données!Z232</f>
        <v>2172</v>
      </c>
      <c r="E232" s="101">
        <f>Données!X232</f>
        <v>69</v>
      </c>
      <c r="F232" s="31">
        <f>VPI!L232</f>
        <v>4948718.2600000007</v>
      </c>
      <c r="G232" s="8">
        <f t="shared" si="18"/>
        <v>143441.10898550728</v>
      </c>
      <c r="H232" s="26">
        <f t="shared" si="19"/>
        <v>198154.52905246383</v>
      </c>
      <c r="I232" s="8">
        <f t="shared" si="20"/>
        <v>143441.10898550728</v>
      </c>
      <c r="J232" s="8">
        <f>VPI!R232</f>
        <v>78403.185652173925</v>
      </c>
      <c r="K232" s="171">
        <f t="shared" si="21"/>
        <v>88321.581262307533</v>
      </c>
      <c r="L232" s="260">
        <f t="shared" si="22"/>
        <v>231762.69024781481</v>
      </c>
      <c r="M232" s="102"/>
      <c r="N232" s="103"/>
      <c r="O232" s="100"/>
      <c r="P232" s="100"/>
      <c r="Q232" s="104"/>
    </row>
    <row r="233" spans="1:17" s="99" customFormat="1" x14ac:dyDescent="0.25">
      <c r="A233" s="135">
        <f>Données!A233</f>
        <v>5803</v>
      </c>
      <c r="B233" s="270" t="str">
        <f>Données!B233</f>
        <v>Vulliens</v>
      </c>
      <c r="C233" s="645">
        <f>Données!AR233</f>
        <v>0</v>
      </c>
      <c r="D233" s="271">
        <f>Données!Z233</f>
        <v>646</v>
      </c>
      <c r="E233" s="101">
        <f>Données!X233</f>
        <v>74</v>
      </c>
      <c r="F233" s="31">
        <f>VPI!L233</f>
        <v>1257951.5200000003</v>
      </c>
      <c r="G233" s="8">
        <f t="shared" si="18"/>
        <v>33998.68972972974</v>
      </c>
      <c r="H233" s="26">
        <f t="shared" si="19"/>
        <v>58935.463060723589</v>
      </c>
      <c r="I233" s="8">
        <f t="shared" si="20"/>
        <v>33998.68972972974</v>
      </c>
      <c r="J233" s="8">
        <f>VPI!R233</f>
        <v>18504.850945945949</v>
      </c>
      <c r="K233" s="171">
        <f t="shared" si="21"/>
        <v>20845.807258648507</v>
      </c>
      <c r="L233" s="260">
        <f t="shared" si="22"/>
        <v>54844.496988378247</v>
      </c>
      <c r="M233" s="102"/>
      <c r="N233" s="103"/>
      <c r="O233" s="100"/>
      <c r="P233" s="100"/>
      <c r="Q233" s="104"/>
    </row>
    <row r="234" spans="1:17" s="99" customFormat="1" x14ac:dyDescent="0.25">
      <c r="A234" s="135">
        <f>Données!A234</f>
        <v>5804</v>
      </c>
      <c r="B234" s="270" t="str">
        <f>Données!B234</f>
        <v>Jorat-Menthue</v>
      </c>
      <c r="C234" s="645">
        <f>Données!AR234</f>
        <v>0</v>
      </c>
      <c r="D234" s="271">
        <f>Données!Z234</f>
        <v>1557</v>
      </c>
      <c r="E234" s="101">
        <f>Données!X234</f>
        <v>70.5</v>
      </c>
      <c r="F234" s="31">
        <f>VPI!L234</f>
        <v>3169335.18</v>
      </c>
      <c r="G234" s="8">
        <f t="shared" si="18"/>
        <v>89910.217872340436</v>
      </c>
      <c r="H234" s="26">
        <f t="shared" si="19"/>
        <v>142047.23836771923</v>
      </c>
      <c r="I234" s="8">
        <f t="shared" si="20"/>
        <v>89910.217872340436</v>
      </c>
      <c r="J234" s="8">
        <f>VPI!R234</f>
        <v>49008.353617021276</v>
      </c>
      <c r="K234" s="171">
        <f t="shared" si="21"/>
        <v>55208.155772145328</v>
      </c>
      <c r="L234" s="260">
        <f t="shared" si="22"/>
        <v>145118.37364448578</v>
      </c>
      <c r="M234" s="102"/>
      <c r="N234" s="103"/>
      <c r="O234" s="100"/>
      <c r="P234" s="100"/>
      <c r="Q234" s="104"/>
    </row>
    <row r="235" spans="1:17" s="99" customFormat="1" x14ac:dyDescent="0.25">
      <c r="A235" s="135">
        <f>Données!A235</f>
        <v>5805</v>
      </c>
      <c r="B235" s="270" t="str">
        <f>Données!B235</f>
        <v>Oron</v>
      </c>
      <c r="C235" s="645">
        <f>Données!AR235</f>
        <v>0</v>
      </c>
      <c r="D235" s="271">
        <f>Données!Z235</f>
        <v>6173</v>
      </c>
      <c r="E235" s="101">
        <f>Données!X235</f>
        <v>69</v>
      </c>
      <c r="F235" s="31">
        <f>VPI!L235</f>
        <v>11055350.52</v>
      </c>
      <c r="G235" s="8">
        <f t="shared" si="18"/>
        <v>320444.94260869565</v>
      </c>
      <c r="H235" s="26">
        <f t="shared" si="19"/>
        <v>563171.22828768834</v>
      </c>
      <c r="I235" s="8">
        <f t="shared" si="20"/>
        <v>320444.94260869565</v>
      </c>
      <c r="J235" s="8">
        <f>VPI!R235</f>
        <v>177337.10588932806</v>
      </c>
      <c r="K235" s="171">
        <f t="shared" si="21"/>
        <v>199771.1378477953</v>
      </c>
      <c r="L235" s="260">
        <f t="shared" si="22"/>
        <v>520216.08045649098</v>
      </c>
      <c r="M235" s="102"/>
      <c r="N235" s="103"/>
      <c r="O235" s="100"/>
      <c r="P235" s="100"/>
      <c r="Q235" s="104"/>
    </row>
    <row r="236" spans="1:17" s="99" customFormat="1" x14ac:dyDescent="0.25">
      <c r="A236" s="135">
        <f>Données!A236</f>
        <v>5806</v>
      </c>
      <c r="B236" s="270" t="str">
        <f>Données!B236</f>
        <v>Jorat-Mézières</v>
      </c>
      <c r="C236" s="645">
        <f>Données!AR236</f>
        <v>0</v>
      </c>
      <c r="D236" s="271">
        <f>Données!Z236</f>
        <v>3177</v>
      </c>
      <c r="E236" s="101">
        <f>Données!X236</f>
        <v>73</v>
      </c>
      <c r="F236" s="31">
        <f>VPI!L236</f>
        <v>6561506.4900000002</v>
      </c>
      <c r="G236" s="8">
        <f t="shared" si="18"/>
        <v>179767.30109589041</v>
      </c>
      <c r="H236" s="26">
        <f t="shared" si="19"/>
        <v>289842.05285436352</v>
      </c>
      <c r="I236" s="8">
        <f t="shared" si="20"/>
        <v>179767.30109589041</v>
      </c>
      <c r="J236" s="8">
        <f>VPI!R236</f>
        <v>98520.834794520561</v>
      </c>
      <c r="K236" s="171">
        <f t="shared" si="21"/>
        <v>110984.2137657241</v>
      </c>
      <c r="L236" s="260">
        <f t="shared" si="22"/>
        <v>290751.5148616145</v>
      </c>
      <c r="M236" s="102"/>
      <c r="N236" s="103"/>
      <c r="O236" s="100"/>
      <c r="P236" s="100"/>
      <c r="Q236" s="104"/>
    </row>
    <row r="237" spans="1:17" s="99" customFormat="1" x14ac:dyDescent="0.25">
      <c r="A237" s="135">
        <f>Données!A237</f>
        <v>5812</v>
      </c>
      <c r="B237" s="270" t="str">
        <f>Données!B237</f>
        <v>Champtauroz</v>
      </c>
      <c r="C237" s="645">
        <f>Données!AR237</f>
        <v>0</v>
      </c>
      <c r="D237" s="271">
        <f>Données!Z237</f>
        <v>188</v>
      </c>
      <c r="E237" s="101">
        <f>Données!X237</f>
        <v>77</v>
      </c>
      <c r="F237" s="31">
        <f>VPI!L237</f>
        <v>249017.32000000004</v>
      </c>
      <c r="G237" s="8">
        <f t="shared" si="18"/>
        <v>6467.982337662339</v>
      </c>
      <c r="H237" s="26">
        <f t="shared" si="19"/>
        <v>17151.496989808104</v>
      </c>
      <c r="I237" s="8">
        <f t="shared" si="20"/>
        <v>6467.982337662339</v>
      </c>
      <c r="J237" s="8">
        <f>VPI!R237</f>
        <v>3559.4911688311695</v>
      </c>
      <c r="K237" s="171">
        <f t="shared" si="21"/>
        <v>4009.7846268019748</v>
      </c>
      <c r="L237" s="260">
        <f t="shared" si="22"/>
        <v>10477.766964464314</v>
      </c>
      <c r="M237" s="102"/>
      <c r="N237" s="103"/>
      <c r="O237" s="100"/>
      <c r="P237" s="100"/>
      <c r="Q237" s="104"/>
    </row>
    <row r="238" spans="1:17" s="99" customFormat="1" x14ac:dyDescent="0.25">
      <c r="A238" s="135">
        <f>Données!A238</f>
        <v>5813</v>
      </c>
      <c r="B238" s="270" t="str">
        <f>Données!B238</f>
        <v>Chevroux</v>
      </c>
      <c r="C238" s="645">
        <f>Données!AR238</f>
        <v>0</v>
      </c>
      <c r="D238" s="271">
        <f>Données!Z238</f>
        <v>524</v>
      </c>
      <c r="E238" s="101">
        <f>Données!X238</f>
        <v>68.5</v>
      </c>
      <c r="F238" s="31">
        <f>VPI!L238</f>
        <v>1211347.4400000002</v>
      </c>
      <c r="G238" s="8">
        <f t="shared" si="18"/>
        <v>35367.808467153292</v>
      </c>
      <c r="H238" s="26">
        <f t="shared" si="19"/>
        <v>47805.236290741734</v>
      </c>
      <c r="I238" s="8">
        <f t="shared" si="20"/>
        <v>35367.808467153292</v>
      </c>
      <c r="J238" s="8">
        <f>VPI!R238</f>
        <v>19217.847664233581</v>
      </c>
      <c r="K238" s="171">
        <f t="shared" si="21"/>
        <v>21649.001632323212</v>
      </c>
      <c r="L238" s="260">
        <f t="shared" si="22"/>
        <v>57016.810099476505</v>
      </c>
      <c r="M238" s="102"/>
      <c r="N238" s="103"/>
      <c r="O238" s="100"/>
      <c r="P238" s="100"/>
      <c r="Q238" s="104"/>
    </row>
    <row r="239" spans="1:17" s="99" customFormat="1" x14ac:dyDescent="0.25">
      <c r="A239" s="135">
        <f>Données!A239</f>
        <v>5816</v>
      </c>
      <c r="B239" s="270" t="str">
        <f>Données!B239</f>
        <v>Corcelles-près-Payerne</v>
      </c>
      <c r="C239" s="645">
        <f>Données!AR239</f>
        <v>0</v>
      </c>
      <c r="D239" s="271">
        <f>Données!Z239</f>
        <v>2915</v>
      </c>
      <c r="E239" s="101">
        <f>Données!X239</f>
        <v>65</v>
      </c>
      <c r="F239" s="31">
        <f>VPI!L239</f>
        <v>4102145.32</v>
      </c>
      <c r="G239" s="8">
        <f t="shared" si="18"/>
        <v>126219.856</v>
      </c>
      <c r="H239" s="26">
        <f t="shared" si="19"/>
        <v>265939.43470899266</v>
      </c>
      <c r="I239" s="8">
        <f t="shared" si="20"/>
        <v>126219.856</v>
      </c>
      <c r="J239" s="8">
        <f>VPI!R239</f>
        <v>70362.963604395612</v>
      </c>
      <c r="K239" s="171">
        <f t="shared" si="21"/>
        <v>79264.230861901204</v>
      </c>
      <c r="L239" s="260">
        <f t="shared" si="22"/>
        <v>205484.08686190122</v>
      </c>
      <c r="M239" s="102"/>
      <c r="N239" s="103"/>
      <c r="O239" s="100"/>
      <c r="P239" s="100"/>
      <c r="Q239" s="104"/>
    </row>
    <row r="240" spans="1:17" s="99" customFormat="1" x14ac:dyDescent="0.25">
      <c r="A240" s="135">
        <f>Données!A240</f>
        <v>5817</v>
      </c>
      <c r="B240" s="270" t="str">
        <f>Données!B240</f>
        <v>Grandcour</v>
      </c>
      <c r="C240" s="645">
        <f>Données!AR240</f>
        <v>0</v>
      </c>
      <c r="D240" s="271">
        <f>Données!Z240</f>
        <v>1006</v>
      </c>
      <c r="E240" s="101">
        <f>Données!X240</f>
        <v>73.5</v>
      </c>
      <c r="F240" s="31">
        <f>VPI!L240</f>
        <v>1685037.08</v>
      </c>
      <c r="G240" s="8">
        <f t="shared" si="18"/>
        <v>45851.349115646262</v>
      </c>
      <c r="H240" s="26">
        <f t="shared" si="19"/>
        <v>91778.755168866759</v>
      </c>
      <c r="I240" s="8">
        <f t="shared" si="20"/>
        <v>45851.349115646262</v>
      </c>
      <c r="J240" s="8">
        <f>VPI!R240</f>
        <v>25032.364353741497</v>
      </c>
      <c r="K240" s="171">
        <f t="shared" si="21"/>
        <v>28199.083800817058</v>
      </c>
      <c r="L240" s="260">
        <f t="shared" si="22"/>
        <v>74050.432916463324</v>
      </c>
      <c r="M240" s="102"/>
      <c r="N240" s="103"/>
      <c r="O240" s="100"/>
      <c r="P240" s="100"/>
      <c r="Q240" s="104"/>
    </row>
    <row r="241" spans="1:17" s="99" customFormat="1" x14ac:dyDescent="0.25">
      <c r="A241" s="135">
        <f>Données!A241</f>
        <v>5819</v>
      </c>
      <c r="B241" s="270" t="str">
        <f>Données!B241</f>
        <v>Henniez</v>
      </c>
      <c r="C241" s="645">
        <f>Données!AR241</f>
        <v>0</v>
      </c>
      <c r="D241" s="271">
        <f>Données!Z241</f>
        <v>454</v>
      </c>
      <c r="E241" s="101">
        <f>Données!X241</f>
        <v>69</v>
      </c>
      <c r="F241" s="31">
        <f>VPI!L241</f>
        <v>1132372.8899999999</v>
      </c>
      <c r="G241" s="8">
        <f t="shared" si="18"/>
        <v>32822.402608695651</v>
      </c>
      <c r="H241" s="26">
        <f t="shared" si="19"/>
        <v>41419.04060304723</v>
      </c>
      <c r="I241" s="8">
        <f t="shared" si="20"/>
        <v>32822.402608695651</v>
      </c>
      <c r="J241" s="8">
        <f>VPI!R241</f>
        <v>17871.328115942026</v>
      </c>
      <c r="K241" s="171">
        <f t="shared" si="21"/>
        <v>20132.14061811236</v>
      </c>
      <c r="L241" s="260">
        <f t="shared" si="22"/>
        <v>52954.543226808011</v>
      </c>
      <c r="M241" s="102"/>
      <c r="N241" s="103"/>
      <c r="O241" s="100"/>
      <c r="P241" s="100"/>
      <c r="Q241" s="104"/>
    </row>
    <row r="242" spans="1:17" s="99" customFormat="1" x14ac:dyDescent="0.25">
      <c r="A242" s="135">
        <f>Données!A242</f>
        <v>5821</v>
      </c>
      <c r="B242" s="270" t="str">
        <f>Données!B242</f>
        <v>Missy</v>
      </c>
      <c r="C242" s="645">
        <f>Données!AR242</f>
        <v>0</v>
      </c>
      <c r="D242" s="271">
        <f>Données!Z242</f>
        <v>377</v>
      </c>
      <c r="E242" s="101">
        <f>Données!X242</f>
        <v>72</v>
      </c>
      <c r="F242" s="31">
        <f>VPI!L242</f>
        <v>566946.18999999983</v>
      </c>
      <c r="G242" s="8">
        <f t="shared" si="18"/>
        <v>15748.505277777773</v>
      </c>
      <c r="H242" s="26">
        <f t="shared" si="19"/>
        <v>34394.225346583269</v>
      </c>
      <c r="I242" s="8">
        <f t="shared" si="20"/>
        <v>15748.505277777773</v>
      </c>
      <c r="J242" s="8">
        <f>VPI!R242</f>
        <v>8690.2762499999972</v>
      </c>
      <c r="K242" s="171">
        <f t="shared" si="21"/>
        <v>9789.6397145310893</v>
      </c>
      <c r="L242" s="260">
        <f t="shared" si="22"/>
        <v>25538.144992308862</v>
      </c>
      <c r="M242" s="102"/>
      <c r="N242" s="103"/>
      <c r="O242" s="100"/>
      <c r="P242" s="100"/>
      <c r="Q242" s="104"/>
    </row>
    <row r="243" spans="1:17" s="99" customFormat="1" x14ac:dyDescent="0.25">
      <c r="A243" s="135">
        <f>Données!A243</f>
        <v>5822</v>
      </c>
      <c r="B243" s="270" t="str">
        <f>Données!B243</f>
        <v>Payerne</v>
      </c>
      <c r="C243" s="645">
        <f>Données!AR243</f>
        <v>0</v>
      </c>
      <c r="D243" s="271">
        <f>Données!Z243</f>
        <v>10577</v>
      </c>
      <c r="E243" s="101">
        <f>Données!X243</f>
        <v>70</v>
      </c>
      <c r="F243" s="31">
        <f>VPI!L243</f>
        <v>16584880.270000001</v>
      </c>
      <c r="G243" s="8">
        <f t="shared" si="18"/>
        <v>473853.72200000007</v>
      </c>
      <c r="H243" s="152">
        <f t="shared" si="19"/>
        <v>964954.16841063986</v>
      </c>
      <c r="I243" s="8">
        <f t="shared" si="20"/>
        <v>473853.72200000007</v>
      </c>
      <c r="J243" s="8">
        <f>VPI!R243</f>
        <v>264097.39385714289</v>
      </c>
      <c r="K243" s="171">
        <f t="shared" si="21"/>
        <v>297507.03671911993</v>
      </c>
      <c r="L243" s="260">
        <f t="shared" si="22"/>
        <v>771360.75871911994</v>
      </c>
      <c r="M243" s="102"/>
      <c r="N243" s="103"/>
      <c r="O243" s="100"/>
      <c r="P243" s="100"/>
      <c r="Q243" s="104"/>
    </row>
    <row r="244" spans="1:17" s="99" customFormat="1" x14ac:dyDescent="0.25">
      <c r="A244" s="135">
        <f>Données!A244</f>
        <v>5827</v>
      </c>
      <c r="B244" s="270" t="str">
        <f>Données!B244</f>
        <v>Trey</v>
      </c>
      <c r="C244" s="645">
        <f>Données!AR244</f>
        <v>0</v>
      </c>
      <c r="D244" s="271">
        <f>Données!Z244</f>
        <v>315</v>
      </c>
      <c r="E244" s="101">
        <f>Données!X244</f>
        <v>78</v>
      </c>
      <c r="F244" s="31">
        <f>VPI!L244</f>
        <v>548076.5</v>
      </c>
      <c r="G244" s="8">
        <f t="shared" si="18"/>
        <v>14053.24358974359</v>
      </c>
      <c r="H244" s="26">
        <f t="shared" si="19"/>
        <v>28737.88059462528</v>
      </c>
      <c r="I244" s="8">
        <f t="shared" si="20"/>
        <v>14053.24358974359</v>
      </c>
      <c r="J244" s="8">
        <f>VPI!R244</f>
        <v>7673.6615384615379</v>
      </c>
      <c r="K244" s="171">
        <f t="shared" si="21"/>
        <v>8644.4181510101971</v>
      </c>
      <c r="L244" s="260">
        <f t="shared" si="22"/>
        <v>22697.661740753785</v>
      </c>
      <c r="M244" s="102"/>
      <c r="N244" s="103"/>
      <c r="O244" s="100"/>
      <c r="P244" s="100"/>
      <c r="Q244" s="104"/>
    </row>
    <row r="245" spans="1:17" s="99" customFormat="1" x14ac:dyDescent="0.25">
      <c r="A245" s="135">
        <f>Données!A245</f>
        <v>5828</v>
      </c>
      <c r="B245" s="270" t="str">
        <f>Données!B245</f>
        <v>Treytorrens (Payerne)</v>
      </c>
      <c r="C245" s="645">
        <f>Données!AR245</f>
        <v>0</v>
      </c>
      <c r="D245" s="271">
        <f>Données!Z245</f>
        <v>109</v>
      </c>
      <c r="E245" s="101">
        <f>Données!X245</f>
        <v>81.5</v>
      </c>
      <c r="F245" s="31">
        <f>VPI!L245</f>
        <v>204252.24</v>
      </c>
      <c r="G245" s="8">
        <f t="shared" si="18"/>
        <v>5012.3249079754596</v>
      </c>
      <c r="H245" s="26">
        <f t="shared" si="19"/>
        <v>9944.2189994100172</v>
      </c>
      <c r="I245" s="8">
        <f t="shared" si="20"/>
        <v>5012.3249079754596</v>
      </c>
      <c r="J245" s="8">
        <f>VPI!R245</f>
        <v>2724.637709611452</v>
      </c>
      <c r="K245" s="171">
        <f t="shared" si="21"/>
        <v>3069.3180242367212</v>
      </c>
      <c r="L245" s="260">
        <f t="shared" si="22"/>
        <v>8081.6429322121803</v>
      </c>
      <c r="M245" s="102"/>
      <c r="N245" s="103"/>
      <c r="O245" s="100"/>
      <c r="P245" s="100"/>
      <c r="Q245" s="104"/>
    </row>
    <row r="246" spans="1:17" s="99" customFormat="1" x14ac:dyDescent="0.25">
      <c r="A246" s="135">
        <f>Données!A246</f>
        <v>5830</v>
      </c>
      <c r="B246" s="270" t="str">
        <f>Données!B246</f>
        <v>Villarzel</v>
      </c>
      <c r="C246" s="645">
        <f>Données!AR246</f>
        <v>0</v>
      </c>
      <c r="D246" s="271">
        <f>Données!Z246</f>
        <v>525</v>
      </c>
      <c r="E246" s="101">
        <f>Données!X246</f>
        <v>75</v>
      </c>
      <c r="F246" s="31">
        <f>VPI!L246</f>
        <v>884816.53999999992</v>
      </c>
      <c r="G246" s="8">
        <f t="shared" si="18"/>
        <v>23595.107733333331</v>
      </c>
      <c r="H246" s="26">
        <f t="shared" si="19"/>
        <v>47896.467657708796</v>
      </c>
      <c r="I246" s="8">
        <f t="shared" si="20"/>
        <v>23595.107733333331</v>
      </c>
      <c r="J246" s="8">
        <f>VPI!R246</f>
        <v>12684.394533333332</v>
      </c>
      <c r="K246" s="171">
        <f t="shared" si="21"/>
        <v>14289.033962332449</v>
      </c>
      <c r="L246" s="260">
        <f t="shared" si="22"/>
        <v>37884.141695665778</v>
      </c>
      <c r="M246" s="102"/>
      <c r="N246" s="103"/>
      <c r="O246" s="100"/>
      <c r="P246" s="100"/>
      <c r="Q246" s="104"/>
    </row>
    <row r="247" spans="1:17" s="99" customFormat="1" x14ac:dyDescent="0.25">
      <c r="A247" s="135">
        <f>Données!A247</f>
        <v>5831</v>
      </c>
      <c r="B247" s="270" t="str">
        <f>Données!B247</f>
        <v>Valbroye</v>
      </c>
      <c r="C247" s="645">
        <f>Données!AR247</f>
        <v>0</v>
      </c>
      <c r="D247" s="271">
        <f>Données!Z247</f>
        <v>3406</v>
      </c>
      <c r="E247" s="101">
        <f>Données!X247</f>
        <v>70.5</v>
      </c>
      <c r="F247" s="31">
        <f>VPI!L247</f>
        <v>5826451.0300000003</v>
      </c>
      <c r="G247" s="8">
        <f t="shared" si="18"/>
        <v>165289.39092198582</v>
      </c>
      <c r="H247" s="26">
        <f t="shared" si="19"/>
        <v>310734.03588982124</v>
      </c>
      <c r="I247" s="8">
        <f t="shared" si="20"/>
        <v>165289.39092198582</v>
      </c>
      <c r="J247" s="8">
        <f>VPI!R247</f>
        <v>90997.957399527193</v>
      </c>
      <c r="K247" s="171">
        <f t="shared" si="21"/>
        <v>102509.65470742312</v>
      </c>
      <c r="L247" s="260">
        <f t="shared" si="22"/>
        <v>267799.04562940891</v>
      </c>
      <c r="M247" s="102"/>
      <c r="N247" s="103"/>
      <c r="O247" s="100"/>
      <c r="P247" s="100"/>
      <c r="Q247" s="104"/>
    </row>
    <row r="248" spans="1:17" s="99" customFormat="1" x14ac:dyDescent="0.25">
      <c r="A248" s="135">
        <f>Données!A248</f>
        <v>5841</v>
      </c>
      <c r="B248" s="270" t="str">
        <f>Données!B248</f>
        <v>Château-d'Oex</v>
      </c>
      <c r="C248" s="645">
        <f>Données!AR248</f>
        <v>0</v>
      </c>
      <c r="D248" s="271">
        <f>Données!Z248</f>
        <v>3625</v>
      </c>
      <c r="E248" s="101">
        <f>Données!X248</f>
        <v>81.5</v>
      </c>
      <c r="F248" s="31">
        <f>VPI!L248</f>
        <v>9649905.0700000003</v>
      </c>
      <c r="G248" s="8">
        <f t="shared" si="18"/>
        <v>236807.48638036809</v>
      </c>
      <c r="H248" s="26">
        <f t="shared" si="19"/>
        <v>330713.70525560837</v>
      </c>
      <c r="I248" s="8">
        <f t="shared" si="20"/>
        <v>236807.48638036809</v>
      </c>
      <c r="J248" s="8">
        <f>VPI!R248</f>
        <v>131854.94253578733</v>
      </c>
      <c r="K248" s="171">
        <f t="shared" si="21"/>
        <v>148535.25306581118</v>
      </c>
      <c r="L248" s="260">
        <f t="shared" si="22"/>
        <v>385342.73944617924</v>
      </c>
      <c r="M248" s="102"/>
      <c r="N248" s="103"/>
      <c r="O248" s="100"/>
      <c r="P248" s="100"/>
      <c r="Q248" s="104"/>
    </row>
    <row r="249" spans="1:17" s="99" customFormat="1" x14ac:dyDescent="0.25">
      <c r="A249" s="135">
        <f>Données!A249</f>
        <v>5842</v>
      </c>
      <c r="B249" s="270" t="str">
        <f>Données!B249</f>
        <v>Rossinière</v>
      </c>
      <c r="C249" s="645">
        <f>Données!AR249</f>
        <v>0</v>
      </c>
      <c r="D249" s="271">
        <f>Données!Z249</f>
        <v>529</v>
      </c>
      <c r="E249" s="101">
        <f>Données!X249</f>
        <v>81</v>
      </c>
      <c r="F249" s="31">
        <f>VPI!L249</f>
        <v>1497788.0899999999</v>
      </c>
      <c r="G249" s="8">
        <f t="shared" si="18"/>
        <v>36982.421975308636</v>
      </c>
      <c r="H249" s="26">
        <f t="shared" si="19"/>
        <v>48261.393125577051</v>
      </c>
      <c r="I249" s="8">
        <f t="shared" si="20"/>
        <v>36982.421975308636</v>
      </c>
      <c r="J249" s="8">
        <f>VPI!R249</f>
        <v>19719.391028806585</v>
      </c>
      <c r="K249" s="171">
        <f t="shared" si="21"/>
        <v>22213.992744128598</v>
      </c>
      <c r="L249" s="260">
        <f t="shared" si="22"/>
        <v>59196.414719437234</v>
      </c>
      <c r="M249" s="102"/>
      <c r="N249" s="103"/>
      <c r="O249" s="100"/>
      <c r="P249" s="100"/>
      <c r="Q249" s="104"/>
    </row>
    <row r="250" spans="1:17" s="99" customFormat="1" x14ac:dyDescent="0.25">
      <c r="A250" s="135">
        <f>Données!A250</f>
        <v>5843</v>
      </c>
      <c r="B250" s="270" t="str">
        <f>Données!B250</f>
        <v>Rougemont</v>
      </c>
      <c r="C250" s="645">
        <f>Données!AR250</f>
        <v>0</v>
      </c>
      <c r="D250" s="271">
        <f>Données!Z250</f>
        <v>796</v>
      </c>
      <c r="E250" s="101">
        <f>Données!X250</f>
        <v>79</v>
      </c>
      <c r="F250" s="31">
        <f>VPI!L250</f>
        <v>6124193.54</v>
      </c>
      <c r="G250" s="8">
        <f t="shared" si="18"/>
        <v>155042.87443037974</v>
      </c>
      <c r="H250" s="26">
        <f t="shared" si="19"/>
        <v>72620.168105783247</v>
      </c>
      <c r="I250" s="8">
        <f t="shared" si="20"/>
        <v>72620.168105783247</v>
      </c>
      <c r="J250" s="8">
        <f>VPI!R250</f>
        <v>88722.552616033761</v>
      </c>
      <c r="K250" s="171">
        <f t="shared" si="21"/>
        <v>99946.3998241136</v>
      </c>
      <c r="L250" s="260">
        <f t="shared" si="22"/>
        <v>172566.56792989685</v>
      </c>
      <c r="M250" s="102"/>
      <c r="N250" s="103"/>
      <c r="O250" s="100"/>
      <c r="P250" s="100"/>
      <c r="Q250" s="104"/>
    </row>
    <row r="251" spans="1:17" s="99" customFormat="1" x14ac:dyDescent="0.25">
      <c r="A251" s="135">
        <f>Données!A251</f>
        <v>5851</v>
      </c>
      <c r="B251" s="270" t="str">
        <f>Données!B251</f>
        <v>Allaman</v>
      </c>
      <c r="C251" s="645">
        <f>Données!AR251</f>
        <v>0</v>
      </c>
      <c r="D251" s="271">
        <f>Données!Z251</f>
        <v>431</v>
      </c>
      <c r="E251" s="101">
        <f>Données!X251</f>
        <v>65</v>
      </c>
      <c r="F251" s="31">
        <f>VPI!L251</f>
        <v>1186104.5300000003</v>
      </c>
      <c r="G251" s="8">
        <f t="shared" si="18"/>
        <v>36495.524000000005</v>
      </c>
      <c r="H251" s="26">
        <f t="shared" si="19"/>
        <v>39320.719162804744</v>
      </c>
      <c r="I251" s="8">
        <f t="shared" si="20"/>
        <v>36495.524000000005</v>
      </c>
      <c r="J251" s="8">
        <f>VPI!R251</f>
        <v>22070.113025641029</v>
      </c>
      <c r="K251" s="171">
        <f t="shared" si="21"/>
        <v>24862.09284543807</v>
      </c>
      <c r="L251" s="260">
        <f t="shared" si="22"/>
        <v>61357.616845438075</v>
      </c>
      <c r="M251" s="102"/>
      <c r="N251" s="103"/>
      <c r="O251" s="100"/>
      <c r="P251" s="100"/>
      <c r="Q251" s="104"/>
    </row>
    <row r="252" spans="1:17" s="99" customFormat="1" x14ac:dyDescent="0.25">
      <c r="A252" s="135">
        <f>Données!A252</f>
        <v>5852</v>
      </c>
      <c r="B252" s="270" t="str">
        <f>Données!B252</f>
        <v>Bursinel</v>
      </c>
      <c r="C252" s="645">
        <f>Données!AR252</f>
        <v>0</v>
      </c>
      <c r="D252" s="271">
        <f>Données!Z252</f>
        <v>521</v>
      </c>
      <c r="E252" s="101">
        <f>Données!X252</f>
        <v>62</v>
      </c>
      <c r="F252" s="31">
        <f>VPI!L252</f>
        <v>2051903.03</v>
      </c>
      <c r="G252" s="8">
        <f t="shared" si="18"/>
        <v>66190.420322580641</v>
      </c>
      <c r="H252" s="26">
        <f t="shared" si="19"/>
        <v>47531.54218984054</v>
      </c>
      <c r="I252" s="8">
        <f t="shared" si="20"/>
        <v>47531.54218984054</v>
      </c>
      <c r="J252" s="8">
        <f>VPI!R252</f>
        <v>36549.131935483871</v>
      </c>
      <c r="K252" s="171">
        <f t="shared" si="21"/>
        <v>41172.780154974884</v>
      </c>
      <c r="L252" s="260">
        <f t="shared" si="22"/>
        <v>88704.322344815417</v>
      </c>
      <c r="M252" s="102"/>
      <c r="N252" s="103"/>
      <c r="O252" s="100"/>
      <c r="P252" s="100"/>
      <c r="Q252" s="104"/>
    </row>
    <row r="253" spans="1:17" s="99" customFormat="1" x14ac:dyDescent="0.25">
      <c r="A253" s="135">
        <f>Données!A253</f>
        <v>5853</v>
      </c>
      <c r="B253" s="270" t="str">
        <f>Données!B253</f>
        <v>Bursins</v>
      </c>
      <c r="C253" s="645">
        <f>Données!AR253</f>
        <v>0</v>
      </c>
      <c r="D253" s="271">
        <f>Données!Z253</f>
        <v>796</v>
      </c>
      <c r="E253" s="101">
        <f>Données!X253</f>
        <v>71</v>
      </c>
      <c r="F253" s="31">
        <f>VPI!L253</f>
        <v>2864062.44</v>
      </c>
      <c r="G253" s="8">
        <f t="shared" si="18"/>
        <v>80677.815211267603</v>
      </c>
      <c r="H253" s="26">
        <f t="shared" si="19"/>
        <v>72620.168105783247</v>
      </c>
      <c r="I253" s="8">
        <f t="shared" si="20"/>
        <v>72620.168105783247</v>
      </c>
      <c r="J253" s="8">
        <f>VPI!R253</f>
        <v>43710.813239436618</v>
      </c>
      <c r="K253" s="171">
        <f t="shared" si="21"/>
        <v>49240.450007931584</v>
      </c>
      <c r="L253" s="260">
        <f t="shared" si="22"/>
        <v>121860.61811371482</v>
      </c>
      <c r="M253" s="102"/>
      <c r="N253" s="103"/>
      <c r="O253" s="100"/>
      <c r="P253" s="100"/>
      <c r="Q253" s="104"/>
    </row>
    <row r="254" spans="1:17" s="99" customFormat="1" x14ac:dyDescent="0.25">
      <c r="A254" s="135">
        <f>Données!A254</f>
        <v>5854</v>
      </c>
      <c r="B254" s="270" t="str">
        <f>Données!B254</f>
        <v>Burtigny</v>
      </c>
      <c r="C254" s="645">
        <f>Données!AR254</f>
        <v>0</v>
      </c>
      <c r="D254" s="271">
        <f>Données!Z254</f>
        <v>412</v>
      </c>
      <c r="E254" s="101">
        <f>Données!X254</f>
        <v>78.5</v>
      </c>
      <c r="F254" s="31">
        <f>VPI!L254</f>
        <v>1250430.6700000004</v>
      </c>
      <c r="G254" s="8">
        <f t="shared" si="18"/>
        <v>31858.106242038226</v>
      </c>
      <c r="H254" s="26">
        <f t="shared" si="19"/>
        <v>37587.323190430521</v>
      </c>
      <c r="I254" s="8">
        <f t="shared" si="20"/>
        <v>31858.106242038226</v>
      </c>
      <c r="J254" s="8">
        <f>VPI!R254</f>
        <v>16984.704925690025</v>
      </c>
      <c r="K254" s="171">
        <f t="shared" si="21"/>
        <v>19133.355154288325</v>
      </c>
      <c r="L254" s="260">
        <f t="shared" si="22"/>
        <v>50991.461396326551</v>
      </c>
      <c r="M254" s="102"/>
      <c r="N254" s="103"/>
      <c r="O254" s="100"/>
      <c r="P254" s="100"/>
      <c r="Q254" s="104"/>
    </row>
    <row r="255" spans="1:17" s="99" customFormat="1" x14ac:dyDescent="0.25">
      <c r="A255" s="135">
        <f>Données!A255</f>
        <v>5855</v>
      </c>
      <c r="B255" s="270" t="str">
        <f>Données!B255</f>
        <v>Dully</v>
      </c>
      <c r="C255" s="645">
        <f>Données!AR255</f>
        <v>0</v>
      </c>
      <c r="D255" s="271">
        <f>Données!Z255</f>
        <v>632</v>
      </c>
      <c r="E255" s="101">
        <f>Données!X255</f>
        <v>53</v>
      </c>
      <c r="F255" s="31">
        <f>VPI!L255</f>
        <v>3868154.22</v>
      </c>
      <c r="G255" s="8">
        <f t="shared" si="18"/>
        <v>145968.08377358492</v>
      </c>
      <c r="H255" s="26">
        <f t="shared" si="19"/>
        <v>57658.223923184683</v>
      </c>
      <c r="I255" s="8">
        <f t="shared" si="20"/>
        <v>57658.223923184683</v>
      </c>
      <c r="J255" s="8">
        <f>VPI!R255</f>
        <v>80639.677735849051</v>
      </c>
      <c r="K255" s="171">
        <f t="shared" si="21"/>
        <v>90841.000794405889</v>
      </c>
      <c r="L255" s="260">
        <f t="shared" si="22"/>
        <v>148499.22471759058</v>
      </c>
      <c r="M255" s="102"/>
      <c r="N255" s="103"/>
      <c r="O255" s="100"/>
      <c r="P255" s="100"/>
      <c r="Q255" s="104"/>
    </row>
    <row r="256" spans="1:17" s="99" customFormat="1" x14ac:dyDescent="0.25">
      <c r="A256" s="135">
        <f>Données!A256</f>
        <v>5856</v>
      </c>
      <c r="B256" s="270" t="str">
        <f>Données!B256</f>
        <v>Essertines-sur-Rolle</v>
      </c>
      <c r="C256" s="645">
        <f>Données!AR256</f>
        <v>0</v>
      </c>
      <c r="D256" s="271">
        <f>Données!Z256</f>
        <v>768</v>
      </c>
      <c r="E256" s="101">
        <f>Données!X256</f>
        <v>66.5</v>
      </c>
      <c r="F256" s="31">
        <f>VPI!L256</f>
        <v>2459542.8000000003</v>
      </c>
      <c r="G256" s="8">
        <f t="shared" si="18"/>
        <v>73971.212030075199</v>
      </c>
      <c r="H256" s="26">
        <f t="shared" si="19"/>
        <v>70065.689830705436</v>
      </c>
      <c r="I256" s="8">
        <f t="shared" si="20"/>
        <v>70065.689830705436</v>
      </c>
      <c r="J256" s="8">
        <f>VPI!R256</f>
        <v>40086.564661654142</v>
      </c>
      <c r="K256" s="171">
        <f t="shared" si="21"/>
        <v>45157.715835655741</v>
      </c>
      <c r="L256" s="260">
        <f t="shared" si="22"/>
        <v>115223.40566636118</v>
      </c>
      <c r="M256" s="102"/>
      <c r="N256" s="103"/>
      <c r="O256" s="100"/>
      <c r="P256" s="100"/>
      <c r="Q256" s="104"/>
    </row>
    <row r="257" spans="1:17" s="99" customFormat="1" x14ac:dyDescent="0.25">
      <c r="A257" s="135">
        <f>Données!A257</f>
        <v>5857</v>
      </c>
      <c r="B257" s="270" t="str">
        <f>Données!B257</f>
        <v>Gilly</v>
      </c>
      <c r="C257" s="645">
        <f>Données!AR257</f>
        <v>0</v>
      </c>
      <c r="D257" s="271">
        <f>Données!Z257</f>
        <v>1475</v>
      </c>
      <c r="E257" s="101">
        <f>Données!X257</f>
        <v>64.5</v>
      </c>
      <c r="F257" s="31">
        <f>VPI!L257</f>
        <v>5549108.1999999983</v>
      </c>
      <c r="G257" s="8">
        <f t="shared" si="18"/>
        <v>172065.37054263562</v>
      </c>
      <c r="H257" s="26">
        <f t="shared" si="19"/>
        <v>134566.26627641995</v>
      </c>
      <c r="I257" s="8">
        <f t="shared" si="20"/>
        <v>134566.26627641995</v>
      </c>
      <c r="J257" s="8">
        <f>VPI!R257</f>
        <v>92966.463565891449</v>
      </c>
      <c r="K257" s="171">
        <f t="shared" si="21"/>
        <v>104727.1867616589</v>
      </c>
      <c r="L257" s="260">
        <f t="shared" si="22"/>
        <v>239293.45303807885</v>
      </c>
      <c r="M257" s="102"/>
      <c r="N257" s="103"/>
      <c r="O257" s="100"/>
      <c r="P257" s="100"/>
      <c r="Q257" s="104"/>
    </row>
    <row r="258" spans="1:17" s="99" customFormat="1" x14ac:dyDescent="0.25">
      <c r="A258" s="135">
        <f>Données!A258</f>
        <v>5858</v>
      </c>
      <c r="B258" s="270" t="str">
        <f>Données!B258</f>
        <v>Luins</v>
      </c>
      <c r="C258" s="645">
        <f>Données!AR258</f>
        <v>0</v>
      </c>
      <c r="D258" s="271">
        <f>Données!Z258</f>
        <v>629</v>
      </c>
      <c r="E258" s="101">
        <f>Données!X258</f>
        <v>58.5</v>
      </c>
      <c r="F258" s="31">
        <f>VPI!L258</f>
        <v>1846341.2399999998</v>
      </c>
      <c r="G258" s="8">
        <f t="shared" si="18"/>
        <v>63122.777435897427</v>
      </c>
      <c r="H258" s="26">
        <f t="shared" si="19"/>
        <v>57384.52982228349</v>
      </c>
      <c r="I258" s="8">
        <f t="shared" si="20"/>
        <v>57384.52982228349</v>
      </c>
      <c r="J258" s="8">
        <f>VPI!R258</f>
        <v>34472.230883190881</v>
      </c>
      <c r="K258" s="171">
        <f t="shared" si="21"/>
        <v>38833.140718923714</v>
      </c>
      <c r="L258" s="260">
        <f t="shared" si="22"/>
        <v>96217.670541207204</v>
      </c>
      <c r="M258" s="102"/>
      <c r="N258" s="103"/>
      <c r="O258" s="100"/>
      <c r="P258" s="100"/>
      <c r="Q258" s="104"/>
    </row>
    <row r="259" spans="1:17" s="99" customFormat="1" x14ac:dyDescent="0.25">
      <c r="A259" s="135">
        <f>Données!A259</f>
        <v>5859</v>
      </c>
      <c r="B259" s="270" t="str">
        <f>Données!B259</f>
        <v>Mont-sur-Rolle</v>
      </c>
      <c r="C259" s="645">
        <f>Données!AR259</f>
        <v>0</v>
      </c>
      <c r="D259" s="271">
        <f>Données!Z259</f>
        <v>2784</v>
      </c>
      <c r="E259" s="101">
        <f>Données!X259</f>
        <v>63.5</v>
      </c>
      <c r="F259" s="31">
        <f>VPI!L259</f>
        <v>10947101.910000002</v>
      </c>
      <c r="G259" s="8">
        <f t="shared" si="18"/>
        <v>344790.61133858276</v>
      </c>
      <c r="H259" s="26">
        <f t="shared" si="19"/>
        <v>253988.12563630723</v>
      </c>
      <c r="I259" s="8">
        <f t="shared" si="20"/>
        <v>253988.12563630723</v>
      </c>
      <c r="J259" s="8">
        <f>VPI!R259</f>
        <v>184009.52141732289</v>
      </c>
      <c r="K259" s="171">
        <f t="shared" si="21"/>
        <v>207287.64735400485</v>
      </c>
      <c r="L259" s="260">
        <f t="shared" si="22"/>
        <v>461275.77299031208</v>
      </c>
      <c r="M259" s="102"/>
      <c r="N259" s="103"/>
      <c r="O259" s="100"/>
      <c r="P259" s="100"/>
      <c r="Q259" s="104"/>
    </row>
    <row r="260" spans="1:17" s="99" customFormat="1" x14ac:dyDescent="0.25">
      <c r="A260" s="135">
        <f>Données!A260</f>
        <v>5860</v>
      </c>
      <c r="B260" s="270" t="str">
        <f>Données!B260</f>
        <v>Perroy</v>
      </c>
      <c r="C260" s="645">
        <f>Données!AR260</f>
        <v>0</v>
      </c>
      <c r="D260" s="271">
        <f>Données!Z260</f>
        <v>1600</v>
      </c>
      <c r="E260" s="101">
        <f>Données!X260</f>
        <v>58.5</v>
      </c>
      <c r="F260" s="31">
        <f>VPI!L260</f>
        <v>6123423.9499999993</v>
      </c>
      <c r="G260" s="8">
        <f t="shared" si="18"/>
        <v>209347.82735042734</v>
      </c>
      <c r="H260" s="26">
        <f t="shared" si="19"/>
        <v>145970.18714730299</v>
      </c>
      <c r="I260" s="8">
        <f t="shared" si="20"/>
        <v>145970.18714730299</v>
      </c>
      <c r="J260" s="8">
        <f>VPI!R260</f>
        <v>115014.47146614069</v>
      </c>
      <c r="K260" s="171">
        <f t="shared" si="21"/>
        <v>129564.37807264573</v>
      </c>
      <c r="L260" s="260">
        <f t="shared" si="22"/>
        <v>275534.56521994871</v>
      </c>
      <c r="M260" s="102"/>
      <c r="N260" s="103"/>
      <c r="O260" s="100"/>
      <c r="P260" s="100"/>
      <c r="Q260" s="104"/>
    </row>
    <row r="261" spans="1:17" s="99" customFormat="1" x14ac:dyDescent="0.25">
      <c r="A261" s="135">
        <f>Données!A261</f>
        <v>5861</v>
      </c>
      <c r="B261" s="270" t="str">
        <f>Données!B261</f>
        <v>Rolle</v>
      </c>
      <c r="C261" s="645">
        <f>Données!AR261</f>
        <v>0</v>
      </c>
      <c r="D261" s="271">
        <f>Données!Z261</f>
        <v>6453</v>
      </c>
      <c r="E261" s="101">
        <f>Données!X261</f>
        <v>59.5</v>
      </c>
      <c r="F261" s="31">
        <f>VPI!L261</f>
        <v>58269335.709999993</v>
      </c>
      <c r="G261" s="8">
        <f t="shared" si="18"/>
        <v>1958633.1331092436</v>
      </c>
      <c r="H261" s="26">
        <f t="shared" si="19"/>
        <v>588716.01103846636</v>
      </c>
      <c r="I261" s="8">
        <f t="shared" si="20"/>
        <v>588716.01103846636</v>
      </c>
      <c r="J261" s="8">
        <f>VPI!R261</f>
        <v>1018783.8085714284</v>
      </c>
      <c r="K261" s="171">
        <f t="shared" si="21"/>
        <v>1147665.0621908708</v>
      </c>
      <c r="L261" s="260">
        <f t="shared" si="22"/>
        <v>1736381.0732293371</v>
      </c>
      <c r="M261" s="102"/>
      <c r="N261" s="103"/>
      <c r="O261" s="100"/>
      <c r="P261" s="100"/>
      <c r="Q261" s="104"/>
    </row>
    <row r="262" spans="1:17" s="99" customFormat="1" x14ac:dyDescent="0.25">
      <c r="A262" s="135">
        <f>Données!A262</f>
        <v>5862</v>
      </c>
      <c r="B262" s="270" t="str">
        <f>Données!B262</f>
        <v>Tartegnin</v>
      </c>
      <c r="C262" s="645">
        <f>Données!AR262</f>
        <v>0</v>
      </c>
      <c r="D262" s="271">
        <f>Données!Z262</f>
        <v>250</v>
      </c>
      <c r="E262" s="101">
        <f>Données!X262</f>
        <v>79</v>
      </c>
      <c r="F262" s="31">
        <f>VPI!L262</f>
        <v>845791.33</v>
      </c>
      <c r="G262" s="8">
        <f t="shared" si="18"/>
        <v>21412.438734177213</v>
      </c>
      <c r="H262" s="26">
        <f t="shared" si="19"/>
        <v>22807.841741766093</v>
      </c>
      <c r="I262" s="8">
        <f t="shared" si="20"/>
        <v>21412.438734177213</v>
      </c>
      <c r="J262" s="8">
        <f>VPI!R262</f>
        <v>11391.445316455696</v>
      </c>
      <c r="K262" s="171">
        <f t="shared" si="21"/>
        <v>12832.520194727284</v>
      </c>
      <c r="L262" s="260">
        <f t="shared" si="22"/>
        <v>34244.958928904496</v>
      </c>
      <c r="M262" s="102"/>
      <c r="N262" s="103"/>
      <c r="O262" s="100"/>
      <c r="P262" s="100"/>
      <c r="Q262" s="104"/>
    </row>
    <row r="263" spans="1:17" s="99" customFormat="1" x14ac:dyDescent="0.25">
      <c r="A263" s="135">
        <f>Données!A263</f>
        <v>5863</v>
      </c>
      <c r="B263" s="270" t="str">
        <f>Données!B263</f>
        <v>Vinzel</v>
      </c>
      <c r="C263" s="645">
        <f>Données!AR263</f>
        <v>0</v>
      </c>
      <c r="D263" s="271">
        <f>Données!Z263</f>
        <v>381</v>
      </c>
      <c r="E263" s="101">
        <f>Données!X263</f>
        <v>65</v>
      </c>
      <c r="F263" s="31">
        <f>VPI!L263</f>
        <v>1367632.71</v>
      </c>
      <c r="G263" s="8">
        <f t="shared" ref="G263:G305" si="23">F263/E263*2</f>
        <v>42081.006461538462</v>
      </c>
      <c r="H263" s="26">
        <f t="shared" ref="H263:H305" si="24">+$G$306/$D$306*D263</f>
        <v>34759.150814451525</v>
      </c>
      <c r="I263" s="8">
        <f t="shared" ref="I263:I305" si="25">IF(C263=1,0,IF(H263&gt;G263,G263,H263))</f>
        <v>34759.150814451525</v>
      </c>
      <c r="J263" s="8">
        <f>VPI!R263</f>
        <v>22595.272461538461</v>
      </c>
      <c r="K263" s="171">
        <f t="shared" ref="K263:K305" si="26">+$K$5*J263</f>
        <v>25453.687579854279</v>
      </c>
      <c r="L263" s="260">
        <f t="shared" ref="L263:L305" si="27">+K263+I263</f>
        <v>60212.8383943058</v>
      </c>
      <c r="M263" s="102"/>
      <c r="N263" s="103"/>
      <c r="O263" s="100"/>
      <c r="P263" s="100"/>
      <c r="Q263" s="104"/>
    </row>
    <row r="264" spans="1:17" s="99" customFormat="1" x14ac:dyDescent="0.25">
      <c r="A264" s="135">
        <f>Données!A264</f>
        <v>5871</v>
      </c>
      <c r="B264" s="270" t="str">
        <f>Données!B264</f>
        <v>L'Abbaye</v>
      </c>
      <c r="C264" s="645">
        <f>Données!AR264</f>
        <v>0</v>
      </c>
      <c r="D264" s="271">
        <f>Données!Z264</f>
        <v>1534</v>
      </c>
      <c r="E264" s="101">
        <f>Données!X264</f>
        <v>77.23</v>
      </c>
      <c r="F264" s="31">
        <f>VPI!L264</f>
        <v>3582085.3000000003</v>
      </c>
      <c r="G264" s="8">
        <f t="shared" si="23"/>
        <v>92764.089084552645</v>
      </c>
      <c r="H264" s="26">
        <f t="shared" si="24"/>
        <v>139948.91692747676</v>
      </c>
      <c r="I264" s="8">
        <f t="shared" si="25"/>
        <v>92764.089084552645</v>
      </c>
      <c r="J264" s="8">
        <f>VPI!R264</f>
        <v>50382.809788942126</v>
      </c>
      <c r="K264" s="171">
        <f t="shared" si="26"/>
        <v>56756.487532774772</v>
      </c>
      <c r="L264" s="260">
        <f t="shared" si="27"/>
        <v>149520.5766173274</v>
      </c>
      <c r="M264" s="102"/>
      <c r="N264" s="103"/>
      <c r="O264" s="100"/>
      <c r="P264" s="100"/>
      <c r="Q264" s="104"/>
    </row>
    <row r="265" spans="1:17" s="99" customFormat="1" x14ac:dyDescent="0.25">
      <c r="A265" s="135">
        <f>Données!A265</f>
        <v>5872</v>
      </c>
      <c r="B265" s="270" t="str">
        <f>Données!B265</f>
        <v>Le Chenit</v>
      </c>
      <c r="C265" s="645">
        <f>Données!AR265</f>
        <v>0</v>
      </c>
      <c r="D265" s="271">
        <f>Données!Z265</f>
        <v>4712</v>
      </c>
      <c r="E265" s="101">
        <f>Données!X265</f>
        <v>67.040000000000006</v>
      </c>
      <c r="F265" s="31">
        <f>VPI!L265</f>
        <v>20388732.130000003</v>
      </c>
      <c r="G265" s="8">
        <f t="shared" si="23"/>
        <v>608255.73180190928</v>
      </c>
      <c r="H265" s="26">
        <f t="shared" si="24"/>
        <v>429882.20114880736</v>
      </c>
      <c r="I265" s="8">
        <f t="shared" si="25"/>
        <v>429882.20114880736</v>
      </c>
      <c r="J265" s="8">
        <f>VPI!R265</f>
        <v>317388.40065632458</v>
      </c>
      <c r="K265" s="171">
        <f t="shared" si="26"/>
        <v>357539.62274751178</v>
      </c>
      <c r="L265" s="260">
        <f t="shared" si="27"/>
        <v>787421.82389631914</v>
      </c>
      <c r="M265" s="102"/>
      <c r="N265" s="103"/>
      <c r="O265" s="100"/>
      <c r="P265" s="100"/>
      <c r="Q265" s="104"/>
    </row>
    <row r="266" spans="1:17" s="99" customFormat="1" x14ac:dyDescent="0.25">
      <c r="A266" s="135">
        <f>Données!A266</f>
        <v>5873</v>
      </c>
      <c r="B266" s="270" t="str">
        <f>Données!B266</f>
        <v>Le Lieu</v>
      </c>
      <c r="C266" s="645">
        <f>Données!AR266</f>
        <v>0</v>
      </c>
      <c r="D266" s="271">
        <f>Données!Z266</f>
        <v>910</v>
      </c>
      <c r="E266" s="101">
        <f>Données!X266</f>
        <v>70</v>
      </c>
      <c r="F266" s="31">
        <f>VPI!L266</f>
        <v>2092293.2500000002</v>
      </c>
      <c r="G266" s="8">
        <f t="shared" si="23"/>
        <v>59779.807142857149</v>
      </c>
      <c r="H266" s="26">
        <f t="shared" si="24"/>
        <v>83020.543940028583</v>
      </c>
      <c r="I266" s="8">
        <f t="shared" si="25"/>
        <v>59779.807142857149</v>
      </c>
      <c r="J266" s="8">
        <f>VPI!R266</f>
        <v>32064.674107142859</v>
      </c>
      <c r="K266" s="171">
        <f t="shared" si="26"/>
        <v>36121.015954214636</v>
      </c>
      <c r="L266" s="260">
        <f t="shared" si="27"/>
        <v>95900.823097071785</v>
      </c>
      <c r="M266" s="102"/>
      <c r="N266" s="103"/>
      <c r="O266" s="100"/>
      <c r="P266" s="100"/>
      <c r="Q266" s="104"/>
    </row>
    <row r="267" spans="1:17" s="99" customFormat="1" x14ac:dyDescent="0.25">
      <c r="A267" s="135">
        <f>Données!A267</f>
        <v>5882</v>
      </c>
      <c r="B267" s="270" t="str">
        <f>Données!B267</f>
        <v>Chardonne</v>
      </c>
      <c r="C267" s="645">
        <f>Données!AR267</f>
        <v>1</v>
      </c>
      <c r="D267" s="271">
        <f>Données!Z267</f>
        <v>3243</v>
      </c>
      <c r="E267" s="101">
        <f>Données!X267</f>
        <v>68</v>
      </c>
      <c r="F267" s="31">
        <f>VPI!L267</f>
        <v>11843042.33</v>
      </c>
      <c r="G267" s="8">
        <f t="shared" si="23"/>
        <v>348324.77441176469</v>
      </c>
      <c r="H267" s="26">
        <f t="shared" si="24"/>
        <v>295863.32307418977</v>
      </c>
      <c r="I267" s="8">
        <f t="shared" si="25"/>
        <v>0</v>
      </c>
      <c r="J267" s="8">
        <f>VPI!R267</f>
        <v>191105.75352941177</v>
      </c>
      <c r="K267" s="171">
        <f t="shared" si="26"/>
        <v>215281.58836457241</v>
      </c>
      <c r="L267" s="260">
        <f t="shared" si="27"/>
        <v>215281.58836457241</v>
      </c>
      <c r="M267" s="102"/>
      <c r="N267" s="103"/>
      <c r="O267" s="100"/>
      <c r="P267" s="100"/>
      <c r="Q267" s="104"/>
    </row>
    <row r="268" spans="1:17" s="99" customFormat="1" x14ac:dyDescent="0.25">
      <c r="A268" s="135">
        <f>Données!A268</f>
        <v>5883</v>
      </c>
      <c r="B268" s="270" t="str">
        <f>Données!B268</f>
        <v>Corseaux</v>
      </c>
      <c r="C268" s="645">
        <f>Données!AR268</f>
        <v>1</v>
      </c>
      <c r="D268" s="271">
        <f>Données!Z268</f>
        <v>2339</v>
      </c>
      <c r="E268" s="101">
        <f>Données!X268</f>
        <v>67.5</v>
      </c>
      <c r="F268" s="31">
        <f>VPI!L268</f>
        <v>10776147.840000004</v>
      </c>
      <c r="G268" s="8">
        <f t="shared" si="23"/>
        <v>319293.26933333342</v>
      </c>
      <c r="H268" s="26">
        <f t="shared" si="24"/>
        <v>213390.16733596358</v>
      </c>
      <c r="I268" s="8">
        <f t="shared" si="25"/>
        <v>0</v>
      </c>
      <c r="J268" s="8">
        <f>VPI!R268</f>
        <v>170880.8057777778</v>
      </c>
      <c r="K268" s="171">
        <f t="shared" si="26"/>
        <v>192498.0834404669</v>
      </c>
      <c r="L268" s="260">
        <f t="shared" si="27"/>
        <v>192498.0834404669</v>
      </c>
      <c r="M268" s="102"/>
      <c r="N268" s="103"/>
      <c r="O268" s="100"/>
      <c r="P268" s="100"/>
      <c r="Q268" s="104"/>
    </row>
    <row r="269" spans="1:17" s="99" customFormat="1" x14ac:dyDescent="0.25">
      <c r="A269" s="135">
        <f>Données!A269</f>
        <v>5884</v>
      </c>
      <c r="B269" s="270" t="str">
        <f>Données!B269</f>
        <v>Corsier-sur-Vevey</v>
      </c>
      <c r="C269" s="645">
        <f>Données!AR269</f>
        <v>1</v>
      </c>
      <c r="D269" s="271">
        <f>Données!Z269</f>
        <v>3429</v>
      </c>
      <c r="E269" s="101">
        <f>Données!X269</f>
        <v>64.5</v>
      </c>
      <c r="F269" s="31">
        <f>VPI!L269</f>
        <v>8509411.0500000007</v>
      </c>
      <c r="G269" s="8">
        <f t="shared" si="23"/>
        <v>263857.70697674423</v>
      </c>
      <c r="H269" s="26">
        <f t="shared" si="24"/>
        <v>312832.35733006377</v>
      </c>
      <c r="I269" s="8">
        <f t="shared" si="25"/>
        <v>0</v>
      </c>
      <c r="J269" s="8">
        <f>VPI!R269</f>
        <v>147926.61447028426</v>
      </c>
      <c r="K269" s="171">
        <f t="shared" si="26"/>
        <v>166640.07198326112</v>
      </c>
      <c r="L269" s="260">
        <f t="shared" si="27"/>
        <v>166640.07198326112</v>
      </c>
      <c r="M269" s="102"/>
      <c r="N269" s="103"/>
      <c r="O269" s="100"/>
      <c r="P269" s="100"/>
      <c r="Q269" s="104"/>
    </row>
    <row r="270" spans="1:17" s="99" customFormat="1" x14ac:dyDescent="0.25">
      <c r="A270" s="135">
        <f>Données!A270</f>
        <v>5885</v>
      </c>
      <c r="B270" s="270" t="str">
        <f>Données!B270</f>
        <v>Jongny</v>
      </c>
      <c r="C270" s="645">
        <f>Données!AR270</f>
        <v>1</v>
      </c>
      <c r="D270" s="271">
        <f>Données!Z270</f>
        <v>1918</v>
      </c>
      <c r="E270" s="101">
        <f>Données!X270</f>
        <v>69.5</v>
      </c>
      <c r="F270" s="31">
        <f>VPI!L270</f>
        <v>6295076.4799999995</v>
      </c>
      <c r="G270" s="8">
        <f t="shared" si="23"/>
        <v>181153.28</v>
      </c>
      <c r="H270" s="26">
        <f t="shared" si="24"/>
        <v>174981.76184282947</v>
      </c>
      <c r="I270" s="8">
        <f t="shared" si="25"/>
        <v>0</v>
      </c>
      <c r="J270" s="8">
        <f>VPI!R270</f>
        <v>97976.001630695435</v>
      </c>
      <c r="K270" s="171">
        <f t="shared" si="26"/>
        <v>110370.45647827582</v>
      </c>
      <c r="L270" s="260">
        <f t="shared" si="27"/>
        <v>110370.45647827582</v>
      </c>
      <c r="M270" s="102"/>
      <c r="N270" s="103"/>
      <c r="O270" s="100"/>
      <c r="P270" s="100"/>
      <c r="Q270" s="104"/>
    </row>
    <row r="271" spans="1:17" s="99" customFormat="1" x14ac:dyDescent="0.25">
      <c r="A271" s="135">
        <f>Données!A271</f>
        <v>5886</v>
      </c>
      <c r="B271" s="270" t="str">
        <f>Données!B271</f>
        <v>Montreux</v>
      </c>
      <c r="C271" s="645">
        <f>Données!AR271</f>
        <v>1</v>
      </c>
      <c r="D271" s="271">
        <f>Données!Z271</f>
        <v>26837</v>
      </c>
      <c r="E271" s="101">
        <f>Données!X271</f>
        <v>65</v>
      </c>
      <c r="F271" s="31">
        <f>VPI!L271</f>
        <v>67355071.140000001</v>
      </c>
      <c r="G271" s="8">
        <f t="shared" si="23"/>
        <v>2072463.7273846155</v>
      </c>
      <c r="H271" s="26">
        <f t="shared" si="24"/>
        <v>2448376.1952951066</v>
      </c>
      <c r="I271" s="8">
        <f t="shared" si="25"/>
        <v>0</v>
      </c>
      <c r="J271" s="8">
        <f>VPI!R271</f>
        <v>1169621.0326666667</v>
      </c>
      <c r="K271" s="171">
        <f t="shared" si="26"/>
        <v>1317583.9504923066</v>
      </c>
      <c r="L271" s="260">
        <f t="shared" si="27"/>
        <v>1317583.9504923066</v>
      </c>
      <c r="M271" s="102"/>
      <c r="N271" s="103"/>
      <c r="O271" s="100"/>
      <c r="P271" s="100"/>
      <c r="Q271" s="104"/>
    </row>
    <row r="272" spans="1:17" s="99" customFormat="1" x14ac:dyDescent="0.25">
      <c r="A272" s="135">
        <f>Données!A272</f>
        <v>5889</v>
      </c>
      <c r="B272" s="270" t="str">
        <f>Données!B272</f>
        <v>La Tour-de-Peilz</v>
      </c>
      <c r="C272" s="645">
        <f>Données!AR272</f>
        <v>1</v>
      </c>
      <c r="D272" s="271">
        <f>Données!Z272</f>
        <v>12605</v>
      </c>
      <c r="E272" s="101">
        <f>Données!X272</f>
        <v>64</v>
      </c>
      <c r="F272" s="31">
        <f>VPI!L272</f>
        <v>46807737.229999997</v>
      </c>
      <c r="G272" s="8">
        <f t="shared" si="23"/>
        <v>1462741.7884374999</v>
      </c>
      <c r="H272" s="26">
        <f t="shared" si="24"/>
        <v>1149971.3806198465</v>
      </c>
      <c r="I272" s="8">
        <f t="shared" si="25"/>
        <v>0</v>
      </c>
      <c r="J272" s="8">
        <f>VPI!R272</f>
        <v>779203.88627604162</v>
      </c>
      <c r="K272" s="171">
        <f t="shared" si="26"/>
        <v>877777.07996393158</v>
      </c>
      <c r="L272" s="260">
        <f t="shared" si="27"/>
        <v>877777.07996393158</v>
      </c>
      <c r="M272" s="102"/>
      <c r="N272" s="103"/>
      <c r="O272" s="100"/>
      <c r="P272" s="100"/>
      <c r="Q272" s="104"/>
    </row>
    <row r="273" spans="1:17" s="99" customFormat="1" x14ac:dyDescent="0.25">
      <c r="A273" s="135">
        <f>Données!A273</f>
        <v>5890</v>
      </c>
      <c r="B273" s="270" t="str">
        <f>Données!B273</f>
        <v>Vevey</v>
      </c>
      <c r="C273" s="645">
        <f>Données!AR273</f>
        <v>1</v>
      </c>
      <c r="D273" s="271">
        <f>Données!Z273</f>
        <v>20155</v>
      </c>
      <c r="E273" s="101">
        <f>Données!X273</f>
        <v>74.5</v>
      </c>
      <c r="F273" s="31">
        <f>VPI!L273</f>
        <v>72130015.679999992</v>
      </c>
      <c r="G273" s="8">
        <f t="shared" si="23"/>
        <v>1936376.2598657715</v>
      </c>
      <c r="H273" s="26">
        <f t="shared" si="24"/>
        <v>1838768.2012211825</v>
      </c>
      <c r="I273" s="8">
        <f t="shared" si="25"/>
        <v>0</v>
      </c>
      <c r="J273" s="8">
        <f>VPI!R273</f>
        <v>1034326.0486800894</v>
      </c>
      <c r="K273" s="171">
        <f t="shared" si="26"/>
        <v>1165173.4735052437</v>
      </c>
      <c r="L273" s="260">
        <f t="shared" si="27"/>
        <v>1165173.4735052437</v>
      </c>
      <c r="M273" s="102"/>
      <c r="N273" s="103"/>
      <c r="O273" s="100"/>
      <c r="P273" s="100"/>
      <c r="Q273" s="104"/>
    </row>
    <row r="274" spans="1:17" s="99" customFormat="1" x14ac:dyDescent="0.25">
      <c r="A274" s="135">
        <f>Données!A274</f>
        <v>5891</v>
      </c>
      <c r="B274" s="270" t="str">
        <f>Données!B274</f>
        <v>Veytaux</v>
      </c>
      <c r="C274" s="645">
        <f>Données!AR274</f>
        <v>1</v>
      </c>
      <c r="D274" s="271">
        <f>Données!Z274</f>
        <v>997</v>
      </c>
      <c r="E274" s="101">
        <f>Données!X274</f>
        <v>67.5</v>
      </c>
      <c r="F274" s="31">
        <f>VPI!L274</f>
        <v>2753722.5300000003</v>
      </c>
      <c r="G274" s="8">
        <f t="shared" si="23"/>
        <v>81591.77866666668</v>
      </c>
      <c r="H274" s="26">
        <f t="shared" si="24"/>
        <v>90957.672866163179</v>
      </c>
      <c r="I274" s="8">
        <f t="shared" si="25"/>
        <v>0</v>
      </c>
      <c r="J274" s="8">
        <f>VPI!R274</f>
        <v>45647.230320987655</v>
      </c>
      <c r="K274" s="171">
        <f t="shared" si="26"/>
        <v>51421.833547430513</v>
      </c>
      <c r="L274" s="260">
        <f t="shared" si="27"/>
        <v>51421.833547430513</v>
      </c>
      <c r="M274" s="102"/>
      <c r="N274" s="103"/>
      <c r="O274" s="100"/>
      <c r="P274" s="100"/>
      <c r="Q274" s="104"/>
    </row>
    <row r="275" spans="1:17" s="99" customFormat="1" x14ac:dyDescent="0.25">
      <c r="A275" s="135">
        <f>Données!A275</f>
        <v>5892</v>
      </c>
      <c r="B275" s="270" t="str">
        <f>Données!B275</f>
        <v>Blonay - Saint-Légier</v>
      </c>
      <c r="C275" s="645">
        <f>Données!AR275</f>
        <v>1</v>
      </c>
      <c r="D275" s="271">
        <f>Données!Z275</f>
        <v>12340</v>
      </c>
      <c r="E275" s="101">
        <f>Données!X275</f>
        <v>68.5</v>
      </c>
      <c r="F275" s="31">
        <f>VPI!L275</f>
        <v>45650905.469999991</v>
      </c>
      <c r="G275" s="8">
        <f t="shared" si="23"/>
        <v>1332873.1524087589</v>
      </c>
      <c r="H275" s="26">
        <f t="shared" si="24"/>
        <v>1125795.0683735744</v>
      </c>
      <c r="I275" s="8">
        <f t="shared" si="25"/>
        <v>0</v>
      </c>
      <c r="J275" s="8">
        <f>VPI!R275</f>
        <v>720090.13459854003</v>
      </c>
      <c r="K275" s="171">
        <f t="shared" si="26"/>
        <v>811185.14267114433</v>
      </c>
      <c r="L275" s="260">
        <f t="shared" si="27"/>
        <v>811185.14267114433</v>
      </c>
      <c r="M275" s="102"/>
      <c r="N275" s="103"/>
      <c r="O275" s="100"/>
      <c r="P275" s="100"/>
      <c r="Q275" s="104"/>
    </row>
    <row r="276" spans="1:17" s="99" customFormat="1" x14ac:dyDescent="0.25">
      <c r="A276" s="135">
        <f>Données!A276</f>
        <v>5902</v>
      </c>
      <c r="B276" s="270" t="str">
        <f>Données!B276</f>
        <v>Belmont-sur-Yverdon</v>
      </c>
      <c r="C276" s="645">
        <f>Données!AR276</f>
        <v>0</v>
      </c>
      <c r="D276" s="271">
        <f>Données!Z276</f>
        <v>443</v>
      </c>
      <c r="E276" s="101">
        <f>Données!X276</f>
        <v>70</v>
      </c>
      <c r="F276" s="31">
        <f>VPI!L276</f>
        <v>866515.79</v>
      </c>
      <c r="G276" s="8">
        <f t="shared" si="23"/>
        <v>24757.594000000001</v>
      </c>
      <c r="H276" s="26">
        <f t="shared" si="24"/>
        <v>40415.495566409518</v>
      </c>
      <c r="I276" s="8">
        <f t="shared" si="25"/>
        <v>24757.594000000001</v>
      </c>
      <c r="J276" s="8">
        <f>VPI!R276</f>
        <v>13428.751285714286</v>
      </c>
      <c r="K276" s="171">
        <f t="shared" si="26"/>
        <v>15127.555571457127</v>
      </c>
      <c r="L276" s="260">
        <f t="shared" si="27"/>
        <v>39885.149571457128</v>
      </c>
      <c r="M276" s="102"/>
      <c r="N276" s="103"/>
      <c r="O276" s="100"/>
      <c r="P276" s="100"/>
      <c r="Q276" s="104"/>
    </row>
    <row r="277" spans="1:17" s="99" customFormat="1" x14ac:dyDescent="0.25">
      <c r="A277" s="135">
        <f>Données!A277</f>
        <v>5903</v>
      </c>
      <c r="B277" s="270" t="str">
        <f>Données!B277</f>
        <v>Bioley-Magnoux</v>
      </c>
      <c r="C277" s="645">
        <f>Données!AR277</f>
        <v>0</v>
      </c>
      <c r="D277" s="271">
        <f>Données!Z277</f>
        <v>253</v>
      </c>
      <c r="E277" s="101">
        <f>Données!X277</f>
        <v>72</v>
      </c>
      <c r="F277" s="31">
        <f>VPI!L277</f>
        <v>411127.97000000003</v>
      </c>
      <c r="G277" s="8">
        <f t="shared" si="23"/>
        <v>11420.221388888889</v>
      </c>
      <c r="H277" s="26">
        <f t="shared" si="24"/>
        <v>23081.535842667286</v>
      </c>
      <c r="I277" s="8">
        <f t="shared" si="25"/>
        <v>11420.221388888889</v>
      </c>
      <c r="J277" s="8">
        <f>VPI!R277</f>
        <v>6278.7138690476195</v>
      </c>
      <c r="K277" s="171">
        <f t="shared" si="26"/>
        <v>7073.0026158381033</v>
      </c>
      <c r="L277" s="260">
        <f t="shared" si="27"/>
        <v>18493.224004726992</v>
      </c>
      <c r="M277" s="102"/>
      <c r="N277" s="103"/>
      <c r="O277" s="100"/>
      <c r="P277" s="100"/>
      <c r="Q277" s="104"/>
    </row>
    <row r="278" spans="1:17" s="99" customFormat="1" x14ac:dyDescent="0.25">
      <c r="A278" s="135">
        <f>Données!A278</f>
        <v>5904</v>
      </c>
      <c r="B278" s="270" t="str">
        <f>Données!B278</f>
        <v>Chamblon</v>
      </c>
      <c r="C278" s="645">
        <f>Données!AR278</f>
        <v>1</v>
      </c>
      <c r="D278" s="271">
        <f>Données!Z278</f>
        <v>561</v>
      </c>
      <c r="E278" s="101">
        <f>Données!X278</f>
        <v>66</v>
      </c>
      <c r="F278" s="31">
        <f>VPI!L278</f>
        <v>1097166.47</v>
      </c>
      <c r="G278" s="8">
        <f t="shared" si="23"/>
        <v>33247.468787878788</v>
      </c>
      <c r="H278" s="26">
        <f t="shared" si="24"/>
        <v>51180.796868523117</v>
      </c>
      <c r="I278" s="8">
        <f t="shared" si="25"/>
        <v>0</v>
      </c>
      <c r="J278" s="8">
        <f>VPI!R278</f>
        <v>18164.59121212121</v>
      </c>
      <c r="K278" s="171">
        <f t="shared" si="26"/>
        <v>20462.502964552394</v>
      </c>
      <c r="L278" s="260">
        <f t="shared" si="27"/>
        <v>20462.502964552394</v>
      </c>
      <c r="M278" s="102"/>
      <c r="N278" s="103"/>
      <c r="O278" s="100"/>
      <c r="P278" s="100"/>
      <c r="Q278" s="104"/>
    </row>
    <row r="279" spans="1:17" s="99" customFormat="1" x14ac:dyDescent="0.25">
      <c r="A279" s="135">
        <f>Données!A279</f>
        <v>5905</v>
      </c>
      <c r="B279" s="270" t="str">
        <f>Données!B279</f>
        <v>Champvent</v>
      </c>
      <c r="C279" s="645">
        <f>Données!AR279</f>
        <v>0</v>
      </c>
      <c r="D279" s="271">
        <f>Données!Z279</f>
        <v>731</v>
      </c>
      <c r="E279" s="101">
        <f>Données!X279</f>
        <v>70</v>
      </c>
      <c r="F279" s="31">
        <f>VPI!L279</f>
        <v>1436592.9100000001</v>
      </c>
      <c r="G279" s="8">
        <f t="shared" si="23"/>
        <v>41045.51171428572</v>
      </c>
      <c r="H279" s="26">
        <f t="shared" si="24"/>
        <v>66690.12925292406</v>
      </c>
      <c r="I279" s="8">
        <f t="shared" si="25"/>
        <v>41045.51171428572</v>
      </c>
      <c r="J279" s="8">
        <f>VPI!R279</f>
        <v>22259.587285714286</v>
      </c>
      <c r="K279" s="171">
        <f t="shared" si="26"/>
        <v>25075.536548254138</v>
      </c>
      <c r="L279" s="260">
        <f t="shared" si="27"/>
        <v>66121.048262539858</v>
      </c>
      <c r="M279" s="102"/>
      <c r="N279" s="103"/>
      <c r="O279" s="100"/>
      <c r="P279" s="100"/>
      <c r="Q279" s="104"/>
    </row>
    <row r="280" spans="1:17" s="99" customFormat="1" x14ac:dyDescent="0.25">
      <c r="A280" s="135">
        <f>Données!A280</f>
        <v>5907</v>
      </c>
      <c r="B280" s="270" t="str">
        <f>Données!B280</f>
        <v>Chavannes-le-Chêne</v>
      </c>
      <c r="C280" s="645">
        <f>Données!AR280</f>
        <v>0</v>
      </c>
      <c r="D280" s="271">
        <f>Données!Z280</f>
        <v>317</v>
      </c>
      <c r="E280" s="101">
        <f>Données!X280</f>
        <v>75</v>
      </c>
      <c r="F280" s="31">
        <f>VPI!L280</f>
        <v>605420.99</v>
      </c>
      <c r="G280" s="8">
        <f t="shared" si="23"/>
        <v>16144.559733333333</v>
      </c>
      <c r="H280" s="26">
        <f t="shared" si="24"/>
        <v>28920.343328559407</v>
      </c>
      <c r="I280" s="8">
        <f t="shared" si="25"/>
        <v>16144.559733333333</v>
      </c>
      <c r="J280" s="8">
        <f>VPI!R280</f>
        <v>8797.9254666666657</v>
      </c>
      <c r="K280" s="171">
        <f t="shared" si="26"/>
        <v>9910.9070961886264</v>
      </c>
      <c r="L280" s="260">
        <f t="shared" si="27"/>
        <v>26055.46682952196</v>
      </c>
      <c r="M280" s="102"/>
      <c r="N280" s="103"/>
      <c r="O280" s="100"/>
      <c r="P280" s="100"/>
      <c r="Q280" s="104"/>
    </row>
    <row r="281" spans="1:17" s="99" customFormat="1" x14ac:dyDescent="0.25">
      <c r="A281" s="135">
        <f>Données!A281</f>
        <v>5908</v>
      </c>
      <c r="B281" s="270" t="str">
        <f>Données!B281</f>
        <v>Chêne-Pâquier</v>
      </c>
      <c r="C281" s="645">
        <f>Données!AR281</f>
        <v>0</v>
      </c>
      <c r="D281" s="271">
        <f>Données!Z281</f>
        <v>175</v>
      </c>
      <c r="E281" s="101">
        <f>Données!X281</f>
        <v>75</v>
      </c>
      <c r="F281" s="31">
        <f>VPI!L281</f>
        <v>409683.87000000005</v>
      </c>
      <c r="G281" s="8">
        <f t="shared" si="23"/>
        <v>10924.903200000001</v>
      </c>
      <c r="H281" s="26">
        <f t="shared" si="24"/>
        <v>15965.489219236266</v>
      </c>
      <c r="I281" s="8">
        <f t="shared" si="25"/>
        <v>10924.903200000001</v>
      </c>
      <c r="J281" s="8">
        <f>VPI!R281</f>
        <v>5848.7089333333342</v>
      </c>
      <c r="K281" s="171">
        <f t="shared" si="26"/>
        <v>6588.5999023900758</v>
      </c>
      <c r="L281" s="260">
        <f t="shared" si="27"/>
        <v>17513.503102390077</v>
      </c>
      <c r="M281" s="102"/>
      <c r="N281" s="103"/>
      <c r="O281" s="100"/>
      <c r="P281" s="100"/>
      <c r="Q281" s="104"/>
    </row>
    <row r="282" spans="1:17" s="99" customFormat="1" x14ac:dyDescent="0.25">
      <c r="A282" s="135">
        <f>Données!A282</f>
        <v>5909</v>
      </c>
      <c r="B282" s="270" t="str">
        <f>Données!B282</f>
        <v>Cheseaux-Noréaz</v>
      </c>
      <c r="C282" s="645">
        <f>Données!AR282</f>
        <v>1</v>
      </c>
      <c r="D282" s="271">
        <f>Données!Z282</f>
        <v>739</v>
      </c>
      <c r="E282" s="101">
        <f>Données!X282</f>
        <v>67</v>
      </c>
      <c r="F282" s="31">
        <f>VPI!L282</f>
        <v>2415755.6100000003</v>
      </c>
      <c r="G282" s="8">
        <f t="shared" si="23"/>
        <v>72112.107761194042</v>
      </c>
      <c r="H282" s="26">
        <f t="shared" si="24"/>
        <v>67419.980188660571</v>
      </c>
      <c r="I282" s="8">
        <f t="shared" si="25"/>
        <v>0</v>
      </c>
      <c r="J282" s="8">
        <f>VPI!R282</f>
        <v>38683.585223880604</v>
      </c>
      <c r="K282" s="171">
        <f t="shared" si="26"/>
        <v>43577.252473205292</v>
      </c>
      <c r="L282" s="260">
        <f t="shared" si="27"/>
        <v>43577.252473205292</v>
      </c>
      <c r="M282" s="102"/>
      <c r="N282" s="103"/>
      <c r="O282" s="100"/>
      <c r="P282" s="100"/>
      <c r="Q282" s="104"/>
    </row>
    <row r="283" spans="1:17" s="99" customFormat="1" x14ac:dyDescent="0.25">
      <c r="A283" s="135">
        <f>Données!A283</f>
        <v>5910</v>
      </c>
      <c r="B283" s="270" t="str">
        <f>Données!B283</f>
        <v>Cronay</v>
      </c>
      <c r="C283" s="645">
        <f>Données!AR283</f>
        <v>0</v>
      </c>
      <c r="D283" s="271">
        <f>Données!Z283</f>
        <v>422</v>
      </c>
      <c r="E283" s="101">
        <f>Données!X283</f>
        <v>77</v>
      </c>
      <c r="F283" s="31">
        <f>VPI!L283</f>
        <v>931784.78</v>
      </c>
      <c r="G283" s="8">
        <f t="shared" si="23"/>
        <v>24202.20207792208</v>
      </c>
      <c r="H283" s="152">
        <f t="shared" si="24"/>
        <v>38499.636860101164</v>
      </c>
      <c r="I283" s="8">
        <f t="shared" si="25"/>
        <v>24202.20207792208</v>
      </c>
      <c r="J283" s="8">
        <f>VPI!R283</f>
        <v>12977.456233766234</v>
      </c>
      <c r="K283" s="171">
        <f t="shared" si="26"/>
        <v>14619.169435455749</v>
      </c>
      <c r="L283" s="260">
        <f t="shared" si="27"/>
        <v>38821.371513377831</v>
      </c>
      <c r="M283" s="102"/>
      <c r="N283" s="103"/>
      <c r="O283" s="100"/>
      <c r="P283" s="100"/>
      <c r="Q283" s="104"/>
    </row>
    <row r="284" spans="1:17" s="99" customFormat="1" x14ac:dyDescent="0.25">
      <c r="A284" s="135">
        <f>Données!A284</f>
        <v>5911</v>
      </c>
      <c r="B284" s="270" t="str">
        <f>Données!B284</f>
        <v>Cuarny</v>
      </c>
      <c r="C284" s="645">
        <f>Données!AR284</f>
        <v>0</v>
      </c>
      <c r="D284" s="271">
        <f>Données!Z284</f>
        <v>242</v>
      </c>
      <c r="E284" s="101">
        <f>Données!X284</f>
        <v>77</v>
      </c>
      <c r="F284" s="31">
        <f>VPI!L284</f>
        <v>561025.68999999994</v>
      </c>
      <c r="G284" s="8">
        <f t="shared" si="23"/>
        <v>14572.095844155843</v>
      </c>
      <c r="H284" s="26">
        <f t="shared" si="24"/>
        <v>22077.990806029578</v>
      </c>
      <c r="I284" s="8">
        <f t="shared" si="25"/>
        <v>14572.095844155843</v>
      </c>
      <c r="J284" s="8">
        <f>VPI!R284</f>
        <v>7819.0719480519483</v>
      </c>
      <c r="K284" s="171">
        <f t="shared" si="26"/>
        <v>8808.2237055957048</v>
      </c>
      <c r="L284" s="260">
        <f t="shared" si="27"/>
        <v>23380.319549751548</v>
      </c>
      <c r="M284" s="102"/>
      <c r="N284" s="103"/>
      <c r="O284" s="100"/>
      <c r="P284" s="100"/>
      <c r="Q284" s="104"/>
    </row>
    <row r="285" spans="1:17" s="99" customFormat="1" x14ac:dyDescent="0.25">
      <c r="A285" s="135">
        <f>Données!A285</f>
        <v>5912</v>
      </c>
      <c r="B285" s="270" t="str">
        <f>Données!B285</f>
        <v>Démoret</v>
      </c>
      <c r="C285" s="645">
        <f>Données!AR285</f>
        <v>0</v>
      </c>
      <c r="D285" s="271">
        <f>Données!Z285</f>
        <v>160</v>
      </c>
      <c r="E285" s="101">
        <f>Données!X285</f>
        <v>78</v>
      </c>
      <c r="F285" s="31">
        <f>VPI!L285</f>
        <v>272338.72000000003</v>
      </c>
      <c r="G285" s="8">
        <f t="shared" si="23"/>
        <v>6983.044102564103</v>
      </c>
      <c r="H285" s="26">
        <f t="shared" si="24"/>
        <v>14597.0187147303</v>
      </c>
      <c r="I285" s="8">
        <f t="shared" si="25"/>
        <v>6983.044102564103</v>
      </c>
      <c r="J285" s="8">
        <f>VPI!R285</f>
        <v>3810.8220512820521</v>
      </c>
      <c r="K285" s="171">
        <f t="shared" si="26"/>
        <v>4292.9101244901876</v>
      </c>
      <c r="L285" s="260">
        <f t="shared" si="27"/>
        <v>11275.954227054292</v>
      </c>
      <c r="M285" s="102"/>
      <c r="N285" s="103"/>
      <c r="O285" s="100"/>
      <c r="P285" s="100"/>
      <c r="Q285" s="104"/>
    </row>
    <row r="286" spans="1:17" s="99" customFormat="1" x14ac:dyDescent="0.25">
      <c r="A286" s="135">
        <f>Données!A286</f>
        <v>5913</v>
      </c>
      <c r="B286" s="270" t="str">
        <f>Données!B286</f>
        <v>Donneloye</v>
      </c>
      <c r="C286" s="645">
        <f>Données!AR286</f>
        <v>0</v>
      </c>
      <c r="D286" s="271">
        <f>Données!Z286</f>
        <v>919</v>
      </c>
      <c r="E286" s="101">
        <f>Données!X286</f>
        <v>73</v>
      </c>
      <c r="F286" s="31">
        <f>VPI!L286</f>
        <v>1424005.9000000001</v>
      </c>
      <c r="G286" s="8">
        <f t="shared" si="23"/>
        <v>39013.860273972605</v>
      </c>
      <c r="H286" s="26">
        <f t="shared" si="24"/>
        <v>83841.626242732164</v>
      </c>
      <c r="I286" s="8">
        <f t="shared" si="25"/>
        <v>39013.860273972605</v>
      </c>
      <c r="J286" s="8">
        <f>VPI!R286</f>
        <v>21287.768493150685</v>
      </c>
      <c r="K286" s="171">
        <f t="shared" si="26"/>
        <v>23980.777811786091</v>
      </c>
      <c r="L286" s="260">
        <f t="shared" si="27"/>
        <v>62994.638085758692</v>
      </c>
      <c r="M286" s="102"/>
      <c r="N286" s="103"/>
      <c r="O286" s="100"/>
      <c r="P286" s="100"/>
      <c r="Q286" s="104"/>
    </row>
    <row r="287" spans="1:17" s="99" customFormat="1" x14ac:dyDescent="0.25">
      <c r="A287" s="135">
        <f>Données!A287</f>
        <v>5914</v>
      </c>
      <c r="B287" s="270" t="str">
        <f>Données!B287</f>
        <v>Ependes</v>
      </c>
      <c r="C287" s="645">
        <f>Données!AR287</f>
        <v>1</v>
      </c>
      <c r="D287" s="271">
        <f>Données!Z287</f>
        <v>388</v>
      </c>
      <c r="E287" s="101">
        <f>Données!X287</f>
        <v>73.5</v>
      </c>
      <c r="F287" s="31">
        <f>VPI!L287</f>
        <v>753313.70000000007</v>
      </c>
      <c r="G287" s="8">
        <f t="shared" si="23"/>
        <v>20498.331972789118</v>
      </c>
      <c r="H287" s="26">
        <f t="shared" si="24"/>
        <v>35397.770383220981</v>
      </c>
      <c r="I287" s="8">
        <f t="shared" si="25"/>
        <v>0</v>
      </c>
      <c r="J287" s="8">
        <f>VPI!R287</f>
        <v>11289.461224489796</v>
      </c>
      <c r="K287" s="171">
        <f t="shared" si="26"/>
        <v>12717.634604414805</v>
      </c>
      <c r="L287" s="260">
        <f t="shared" si="27"/>
        <v>12717.634604414805</v>
      </c>
      <c r="M287" s="102"/>
      <c r="N287" s="103"/>
      <c r="O287" s="100"/>
      <c r="P287" s="100"/>
      <c r="Q287" s="104"/>
    </row>
    <row r="288" spans="1:17" s="99" customFormat="1" x14ac:dyDescent="0.25">
      <c r="A288" s="135">
        <f>Données!A288</f>
        <v>5919</v>
      </c>
      <c r="B288" s="270" t="str">
        <f>Données!B288</f>
        <v>Mathod</v>
      </c>
      <c r="C288" s="645">
        <f>Données!AR288</f>
        <v>1</v>
      </c>
      <c r="D288" s="271">
        <f>Données!Z288</f>
        <v>709</v>
      </c>
      <c r="E288" s="101">
        <f>Données!X288</f>
        <v>72</v>
      </c>
      <c r="F288" s="31">
        <f>VPI!L288</f>
        <v>1318059.6499999999</v>
      </c>
      <c r="G288" s="8">
        <f t="shared" si="23"/>
        <v>36612.768055555556</v>
      </c>
      <c r="H288" s="26">
        <f t="shared" si="24"/>
        <v>64683.039179648644</v>
      </c>
      <c r="I288" s="8">
        <f t="shared" si="25"/>
        <v>0</v>
      </c>
      <c r="J288" s="8">
        <f>VPI!R288</f>
        <v>20397.872569444444</v>
      </c>
      <c r="K288" s="171">
        <f t="shared" si="26"/>
        <v>22978.305597336759</v>
      </c>
      <c r="L288" s="260">
        <f t="shared" si="27"/>
        <v>22978.305597336759</v>
      </c>
      <c r="M288" s="102"/>
      <c r="N288" s="103"/>
      <c r="O288" s="100"/>
      <c r="P288" s="100"/>
      <c r="Q288" s="104"/>
    </row>
    <row r="289" spans="1:17" s="99" customFormat="1" x14ac:dyDescent="0.25">
      <c r="A289" s="135">
        <f>Données!A289</f>
        <v>5921</v>
      </c>
      <c r="B289" s="270" t="str">
        <f>Données!B289</f>
        <v>Molondin</v>
      </c>
      <c r="C289" s="645">
        <f>Données!AR289</f>
        <v>0</v>
      </c>
      <c r="D289" s="271">
        <f>Données!Z289</f>
        <v>282</v>
      </c>
      <c r="E289" s="101">
        <f>Données!X289</f>
        <v>81</v>
      </c>
      <c r="F289" s="31">
        <f>VPI!L289</f>
        <v>404332.99</v>
      </c>
      <c r="G289" s="8">
        <f t="shared" si="23"/>
        <v>9983.5306172839501</v>
      </c>
      <c r="H289" s="26">
        <f t="shared" si="24"/>
        <v>25727.245484712155</v>
      </c>
      <c r="I289" s="8">
        <f t="shared" si="25"/>
        <v>9983.5306172839501</v>
      </c>
      <c r="J289" s="8">
        <f>VPI!R289</f>
        <v>5454.6739506172835</v>
      </c>
      <c r="K289" s="171">
        <f t="shared" si="26"/>
        <v>6144.7175211238155</v>
      </c>
      <c r="L289" s="260">
        <f t="shared" si="27"/>
        <v>16128.248138407766</v>
      </c>
      <c r="M289" s="102"/>
      <c r="N289" s="103"/>
      <c r="O289" s="100"/>
      <c r="P289" s="100"/>
      <c r="Q289" s="104"/>
    </row>
    <row r="290" spans="1:17" s="99" customFormat="1" x14ac:dyDescent="0.25">
      <c r="A290" s="135">
        <f>Données!A290</f>
        <v>5922</v>
      </c>
      <c r="B290" s="270" t="str">
        <f>Données!B290</f>
        <v>Montagny-près-Yverdon</v>
      </c>
      <c r="C290" s="645">
        <f>Données!AR290</f>
        <v>0</v>
      </c>
      <c r="D290" s="271">
        <f>Données!Z290</f>
        <v>777</v>
      </c>
      <c r="E290" s="101">
        <f>Données!X290</f>
        <v>64.5</v>
      </c>
      <c r="F290" s="31">
        <f>VPI!L290</f>
        <v>2180215.4299999997</v>
      </c>
      <c r="G290" s="8">
        <f t="shared" si="23"/>
        <v>67603.579224806192</v>
      </c>
      <c r="H290" s="26">
        <f t="shared" si="24"/>
        <v>70886.772133409017</v>
      </c>
      <c r="I290" s="8">
        <f t="shared" si="25"/>
        <v>67603.579224806192</v>
      </c>
      <c r="J290" s="8">
        <f>VPI!R290</f>
        <v>39914.464612403099</v>
      </c>
      <c r="K290" s="171">
        <f t="shared" si="26"/>
        <v>44963.84426833695</v>
      </c>
      <c r="L290" s="260">
        <f t="shared" si="27"/>
        <v>112567.42349314314</v>
      </c>
      <c r="M290" s="102"/>
      <c r="N290" s="103"/>
      <c r="O290" s="100"/>
      <c r="P290" s="100"/>
      <c r="Q290" s="104"/>
    </row>
    <row r="291" spans="1:17" s="99" customFormat="1" x14ac:dyDescent="0.25">
      <c r="A291" s="135">
        <f>Données!A291</f>
        <v>5923</v>
      </c>
      <c r="B291" s="270" t="str">
        <f>Données!B291</f>
        <v>Oppens</v>
      </c>
      <c r="C291" s="645">
        <f>Données!AR291</f>
        <v>0</v>
      </c>
      <c r="D291" s="271">
        <f>Données!Z291</f>
        <v>202</v>
      </c>
      <c r="E291" s="101">
        <f>Données!X291</f>
        <v>81</v>
      </c>
      <c r="F291" s="31">
        <f>VPI!L291</f>
        <v>468762.17000000004</v>
      </c>
      <c r="G291" s="8">
        <f t="shared" si="23"/>
        <v>11574.374567901235</v>
      </c>
      <c r="H291" s="26">
        <f t="shared" si="24"/>
        <v>18428.736127347005</v>
      </c>
      <c r="I291" s="8">
        <f t="shared" si="25"/>
        <v>11574.374567901235</v>
      </c>
      <c r="J291" s="8">
        <f>VPI!R291</f>
        <v>6126.7193827160499</v>
      </c>
      <c r="K291" s="171">
        <f t="shared" si="26"/>
        <v>6901.7800658321376</v>
      </c>
      <c r="L291" s="260">
        <f t="shared" si="27"/>
        <v>18476.154633733371</v>
      </c>
      <c r="M291" s="102"/>
      <c r="N291" s="197"/>
      <c r="O291" s="100"/>
      <c r="P291" s="100"/>
      <c r="Q291" s="104"/>
    </row>
    <row r="292" spans="1:17" s="99" customFormat="1" x14ac:dyDescent="0.25">
      <c r="A292" s="135">
        <f>Données!A292</f>
        <v>5924</v>
      </c>
      <c r="B292" s="270" t="str">
        <f>Données!B292</f>
        <v>Orges</v>
      </c>
      <c r="C292" s="645">
        <f>Données!AR292</f>
        <v>0</v>
      </c>
      <c r="D292" s="271">
        <f>Données!Z292</f>
        <v>416</v>
      </c>
      <c r="E292" s="101">
        <f>Données!X292</f>
        <v>74</v>
      </c>
      <c r="F292" s="31">
        <f>VPI!L292</f>
        <v>851928.98</v>
      </c>
      <c r="G292" s="8">
        <f t="shared" si="23"/>
        <v>23025.107567567567</v>
      </c>
      <c r="H292" s="26">
        <f t="shared" si="24"/>
        <v>37952.248658298777</v>
      </c>
      <c r="I292" s="8">
        <f t="shared" si="25"/>
        <v>23025.107567567567</v>
      </c>
      <c r="J292" s="8">
        <f>VPI!R292</f>
        <v>12401.843648648648</v>
      </c>
      <c r="K292" s="171">
        <f t="shared" si="26"/>
        <v>13970.738975785262</v>
      </c>
      <c r="L292" s="260">
        <f t="shared" si="27"/>
        <v>36995.846543352833</v>
      </c>
      <c r="M292" s="102"/>
      <c r="N292" s="103"/>
      <c r="O292" s="100"/>
      <c r="P292" s="100"/>
      <c r="Q292" s="104"/>
    </row>
    <row r="293" spans="1:17" s="99" customFormat="1" x14ac:dyDescent="0.25">
      <c r="A293" s="135">
        <f>Données!A293</f>
        <v>5925</v>
      </c>
      <c r="B293" s="270" t="str">
        <f>Données!B293</f>
        <v>Orzens</v>
      </c>
      <c r="C293" s="645">
        <f>Données!AR293</f>
        <v>0</v>
      </c>
      <c r="D293" s="271">
        <f>Données!Z293</f>
        <v>214</v>
      </c>
      <c r="E293" s="101">
        <f>Données!X293</f>
        <v>79</v>
      </c>
      <c r="F293" s="31">
        <f>VPI!L293</f>
        <v>426863.29000000004</v>
      </c>
      <c r="G293" s="8">
        <f t="shared" si="23"/>
        <v>10806.665569620254</v>
      </c>
      <c r="H293" s="26">
        <f t="shared" si="24"/>
        <v>19523.512530951775</v>
      </c>
      <c r="I293" s="8">
        <f t="shared" si="25"/>
        <v>10806.665569620254</v>
      </c>
      <c r="J293" s="8">
        <f>VPI!R293</f>
        <v>5858.6327848101273</v>
      </c>
      <c r="K293" s="171">
        <f t="shared" si="26"/>
        <v>6599.7791707750503</v>
      </c>
      <c r="L293" s="260">
        <f t="shared" si="27"/>
        <v>17406.444740395305</v>
      </c>
      <c r="M293" s="102"/>
      <c r="N293" s="103"/>
      <c r="O293" s="100"/>
      <c r="P293" s="100"/>
      <c r="Q293" s="104"/>
    </row>
    <row r="294" spans="1:17" s="99" customFormat="1" x14ac:dyDescent="0.25">
      <c r="A294" s="135">
        <f>Données!A294</f>
        <v>5926</v>
      </c>
      <c r="B294" s="270" t="str">
        <f>Données!B294</f>
        <v>Pomy</v>
      </c>
      <c r="C294" s="645">
        <f>Données!AR294</f>
        <v>1</v>
      </c>
      <c r="D294" s="271">
        <f>Données!Z294</f>
        <v>875</v>
      </c>
      <c r="E294" s="101">
        <f>Données!X294</f>
        <v>71</v>
      </c>
      <c r="F294" s="31">
        <f>VPI!L294</f>
        <v>1791318.6099999999</v>
      </c>
      <c r="G294" s="8">
        <f t="shared" si="23"/>
        <v>50459.679154929574</v>
      </c>
      <c r="H294" s="26">
        <f t="shared" si="24"/>
        <v>79827.446096181331</v>
      </c>
      <c r="I294" s="8">
        <f t="shared" si="25"/>
        <v>0</v>
      </c>
      <c r="J294" s="8">
        <f>VPI!R294</f>
        <v>27254.567042253519</v>
      </c>
      <c r="K294" s="171">
        <f t="shared" si="26"/>
        <v>30702.406257706163</v>
      </c>
      <c r="L294" s="260">
        <f t="shared" si="27"/>
        <v>30702.406257706163</v>
      </c>
      <c r="M294" s="102"/>
      <c r="N294" s="103"/>
      <c r="O294" s="100"/>
      <c r="P294" s="100"/>
      <c r="Q294" s="104"/>
    </row>
    <row r="295" spans="1:17" s="99" customFormat="1" x14ac:dyDescent="0.25">
      <c r="A295" s="135">
        <f>Données!A295</f>
        <v>5928</v>
      </c>
      <c r="B295" s="270" t="str">
        <f>Données!B295</f>
        <v>Rovray</v>
      </c>
      <c r="C295" s="645">
        <f>Données!AR295</f>
        <v>0</v>
      </c>
      <c r="D295" s="271">
        <f>Données!Z295</f>
        <v>199</v>
      </c>
      <c r="E295" s="101">
        <f>Données!X295</f>
        <v>73</v>
      </c>
      <c r="F295" s="31">
        <f>VPI!L295</f>
        <v>372039.67</v>
      </c>
      <c r="G295" s="8">
        <f t="shared" si="23"/>
        <v>10192.867671232876</v>
      </c>
      <c r="H295" s="26">
        <f t="shared" si="24"/>
        <v>18155.042026445812</v>
      </c>
      <c r="I295" s="8">
        <f t="shared" si="25"/>
        <v>10192.867671232876</v>
      </c>
      <c r="J295" s="8">
        <f>VPI!R295</f>
        <v>5477.1420547945208</v>
      </c>
      <c r="K295" s="171">
        <f t="shared" si="26"/>
        <v>6170.0279529945756</v>
      </c>
      <c r="L295" s="260">
        <f t="shared" si="27"/>
        <v>16362.895624227451</v>
      </c>
      <c r="M295" s="102"/>
      <c r="N295" s="103"/>
      <c r="O295" s="100"/>
      <c r="P295" s="100"/>
      <c r="Q295" s="104"/>
    </row>
    <row r="296" spans="1:17" s="99" customFormat="1" x14ac:dyDescent="0.25">
      <c r="A296" s="135">
        <f>Données!A296</f>
        <v>5929</v>
      </c>
      <c r="B296" s="270" t="str">
        <f>Données!B296</f>
        <v>Suchy</v>
      </c>
      <c r="C296" s="645">
        <f>Données!AR296</f>
        <v>1</v>
      </c>
      <c r="D296" s="271">
        <f>Données!Z296</f>
        <v>665</v>
      </c>
      <c r="E296" s="101">
        <f>Données!X296</f>
        <v>70</v>
      </c>
      <c r="F296" s="31">
        <f>VPI!L296</f>
        <v>1438810.11</v>
      </c>
      <c r="G296" s="8">
        <f t="shared" si="23"/>
        <v>41108.860285714291</v>
      </c>
      <c r="H296" s="26">
        <f t="shared" si="24"/>
        <v>60668.859033097811</v>
      </c>
      <c r="I296" s="8">
        <f t="shared" si="25"/>
        <v>0</v>
      </c>
      <c r="J296" s="8">
        <f>VPI!R296</f>
        <v>22233.767642857143</v>
      </c>
      <c r="K296" s="171">
        <f t="shared" si="26"/>
        <v>25046.450591276731</v>
      </c>
      <c r="L296" s="260">
        <f t="shared" si="27"/>
        <v>25046.450591276731</v>
      </c>
      <c r="M296" s="102"/>
      <c r="N296" s="103"/>
      <c r="O296" s="100"/>
      <c r="P296" s="100"/>
      <c r="Q296" s="104"/>
    </row>
    <row r="297" spans="1:17" s="99" customFormat="1" x14ac:dyDescent="0.25">
      <c r="A297" s="135">
        <f>Données!A297</f>
        <v>5930</v>
      </c>
      <c r="B297" s="270" t="str">
        <f>Données!B297</f>
        <v>Suscévaz</v>
      </c>
      <c r="C297" s="645">
        <f>Données!AR297</f>
        <v>1</v>
      </c>
      <c r="D297" s="271">
        <f>Données!Z297</f>
        <v>217</v>
      </c>
      <c r="E297" s="101">
        <f>Données!X297</f>
        <v>72</v>
      </c>
      <c r="F297" s="31">
        <f>VPI!L297</f>
        <v>399363.29000000004</v>
      </c>
      <c r="G297" s="8">
        <f t="shared" si="23"/>
        <v>11093.424722222224</v>
      </c>
      <c r="H297" s="26">
        <f t="shared" si="24"/>
        <v>19797.206631852969</v>
      </c>
      <c r="I297" s="8">
        <f t="shared" si="25"/>
        <v>0</v>
      </c>
      <c r="J297" s="8">
        <f>VPI!R297</f>
        <v>6011.7318055555552</v>
      </c>
      <c r="K297" s="171">
        <f t="shared" si="26"/>
        <v>6772.2459843294828</v>
      </c>
      <c r="L297" s="260">
        <f t="shared" si="27"/>
        <v>6772.2459843294828</v>
      </c>
      <c r="M297" s="102"/>
      <c r="N297" s="103"/>
      <c r="O297" s="100"/>
      <c r="P297" s="100"/>
      <c r="Q297" s="104"/>
    </row>
    <row r="298" spans="1:17" s="99" customFormat="1" x14ac:dyDescent="0.25">
      <c r="A298" s="135">
        <f>Données!A298</f>
        <v>5931</v>
      </c>
      <c r="B298" s="270" t="str">
        <f>Données!B298</f>
        <v>Treycovagnes</v>
      </c>
      <c r="C298" s="645">
        <f>Données!AR298</f>
        <v>1</v>
      </c>
      <c r="D298" s="271">
        <f>Données!Z298</f>
        <v>522</v>
      </c>
      <c r="E298" s="101">
        <f>Données!X298</f>
        <v>73</v>
      </c>
      <c r="F298" s="31">
        <f>VPI!L298</f>
        <v>1089048.2999999998</v>
      </c>
      <c r="G298" s="8">
        <f t="shared" si="23"/>
        <v>29836.939726027391</v>
      </c>
      <c r="H298" s="26">
        <f t="shared" si="24"/>
        <v>47622.773556807602</v>
      </c>
      <c r="I298" s="8">
        <f t="shared" si="25"/>
        <v>0</v>
      </c>
      <c r="J298" s="8">
        <f>VPI!R298</f>
        <v>16173.396575342462</v>
      </c>
      <c r="K298" s="171">
        <f t="shared" si="26"/>
        <v>18219.412234776049</v>
      </c>
      <c r="L298" s="260">
        <f t="shared" si="27"/>
        <v>18219.412234776049</v>
      </c>
      <c r="M298" s="102"/>
      <c r="N298" s="103"/>
      <c r="O298" s="100"/>
      <c r="P298" s="100"/>
      <c r="Q298" s="104"/>
    </row>
    <row r="299" spans="1:17" s="99" customFormat="1" x14ac:dyDescent="0.25">
      <c r="A299" s="135">
        <f>Données!A299</f>
        <v>5932</v>
      </c>
      <c r="B299" s="270" t="str">
        <f>Données!B299</f>
        <v>Ursins</v>
      </c>
      <c r="C299" s="645">
        <f>Données!AR299</f>
        <v>0</v>
      </c>
      <c r="D299" s="271">
        <f>Données!Z299</f>
        <v>234</v>
      </c>
      <c r="E299" s="101">
        <f>Données!X299</f>
        <v>75</v>
      </c>
      <c r="F299" s="31">
        <f>VPI!L299</f>
        <v>615050.57000000007</v>
      </c>
      <c r="G299" s="8">
        <f t="shared" si="23"/>
        <v>16401.348533333334</v>
      </c>
      <c r="H299" s="26">
        <f t="shared" si="24"/>
        <v>21348.139870293064</v>
      </c>
      <c r="I299" s="8">
        <f t="shared" si="25"/>
        <v>16401.348533333334</v>
      </c>
      <c r="J299" s="8">
        <f>VPI!R299</f>
        <v>8679.1289333333334</v>
      </c>
      <c r="K299" s="171">
        <f t="shared" si="26"/>
        <v>9777.0822064828917</v>
      </c>
      <c r="L299" s="260">
        <f t="shared" si="27"/>
        <v>26178.430739816227</v>
      </c>
      <c r="M299" s="102"/>
      <c r="N299" s="103"/>
      <c r="O299" s="100"/>
      <c r="P299" s="100"/>
      <c r="Q299" s="104"/>
    </row>
    <row r="300" spans="1:17" s="99" customFormat="1" x14ac:dyDescent="0.25">
      <c r="A300" s="135">
        <f>Données!A300</f>
        <v>5933</v>
      </c>
      <c r="B300" s="270" t="str">
        <f>Données!B300</f>
        <v>Valeyres-sous-Montagny</v>
      </c>
      <c r="C300" s="645">
        <f>Données!AR300</f>
        <v>0</v>
      </c>
      <c r="D300" s="271">
        <f>Données!Z300</f>
        <v>703</v>
      </c>
      <c r="E300" s="101">
        <f>Données!X300</f>
        <v>70.5</v>
      </c>
      <c r="F300" s="31">
        <f>VPI!L300</f>
        <v>1474736.7099999997</v>
      </c>
      <c r="G300" s="8">
        <f t="shared" si="23"/>
        <v>41836.502411347508</v>
      </c>
      <c r="H300" s="26">
        <f t="shared" si="24"/>
        <v>64135.650977846257</v>
      </c>
      <c r="I300" s="8">
        <f t="shared" si="25"/>
        <v>41836.502411347508</v>
      </c>
      <c r="J300" s="8">
        <f>VPI!R300</f>
        <v>22762.97602836879</v>
      </c>
      <c r="K300" s="171">
        <f t="shared" si="26"/>
        <v>25642.606487709563</v>
      </c>
      <c r="L300" s="260">
        <f t="shared" si="27"/>
        <v>67479.108899057072</v>
      </c>
      <c r="M300" s="102"/>
      <c r="N300" s="103"/>
      <c r="O300" s="100"/>
      <c r="P300" s="100"/>
      <c r="Q300" s="104"/>
    </row>
    <row r="301" spans="1:17" s="99" customFormat="1" x14ac:dyDescent="0.25">
      <c r="A301" s="135">
        <f>Données!A301</f>
        <v>5934</v>
      </c>
      <c r="B301" s="270" t="str">
        <f>Données!B301</f>
        <v>Valeyres-sous-Ursins</v>
      </c>
      <c r="C301" s="645">
        <f>Données!AR301</f>
        <v>0</v>
      </c>
      <c r="D301" s="271">
        <f>Données!Z301</f>
        <v>237</v>
      </c>
      <c r="E301" s="101">
        <f>Données!X301</f>
        <v>77</v>
      </c>
      <c r="F301" s="31">
        <f>VPI!L301</f>
        <v>543449.47</v>
      </c>
      <c r="G301" s="8">
        <f t="shared" si="23"/>
        <v>14115.570649350648</v>
      </c>
      <c r="H301" s="26">
        <f t="shared" si="24"/>
        <v>21621.833971194257</v>
      </c>
      <c r="I301" s="8">
        <f t="shared" si="25"/>
        <v>14115.570649350648</v>
      </c>
      <c r="J301" s="8">
        <f>VPI!R301</f>
        <v>7483.0151948051935</v>
      </c>
      <c r="K301" s="171">
        <f t="shared" si="26"/>
        <v>8429.6540901682547</v>
      </c>
      <c r="L301" s="260">
        <f t="shared" si="27"/>
        <v>22545.224739518904</v>
      </c>
      <c r="M301" s="102"/>
      <c r="N301" s="103"/>
      <c r="O301" s="100"/>
      <c r="P301" s="100"/>
      <c r="Q301" s="104"/>
    </row>
    <row r="302" spans="1:17" s="99" customFormat="1" x14ac:dyDescent="0.25">
      <c r="A302" s="135">
        <f>Données!A302</f>
        <v>5935</v>
      </c>
      <c r="B302" s="270" t="str">
        <f>Données!B302</f>
        <v>Villars-Epeney</v>
      </c>
      <c r="C302" s="645">
        <f>Données!AR302</f>
        <v>0</v>
      </c>
      <c r="D302" s="271">
        <f>Données!Z302</f>
        <v>101</v>
      </c>
      <c r="E302" s="101">
        <f>Données!X302</f>
        <v>68</v>
      </c>
      <c r="F302" s="31">
        <f>VPI!L302</f>
        <v>256173.69999999998</v>
      </c>
      <c r="G302" s="8">
        <f t="shared" si="23"/>
        <v>7534.5205882352939</v>
      </c>
      <c r="H302" s="26">
        <f t="shared" si="24"/>
        <v>9214.3680636735025</v>
      </c>
      <c r="I302" s="8">
        <f t="shared" si="25"/>
        <v>7534.5205882352939</v>
      </c>
      <c r="J302" s="8">
        <f>VPI!R302</f>
        <v>4091.4220588235289</v>
      </c>
      <c r="K302" s="171">
        <f t="shared" si="26"/>
        <v>4609.0074381660061</v>
      </c>
      <c r="L302" s="260">
        <f t="shared" si="27"/>
        <v>12143.5280264013</v>
      </c>
      <c r="M302" s="102"/>
      <c r="N302" s="103"/>
      <c r="O302" s="100"/>
      <c r="P302" s="100"/>
      <c r="Q302" s="104"/>
    </row>
    <row r="303" spans="1:17" s="99" customFormat="1" x14ac:dyDescent="0.25">
      <c r="A303" s="135">
        <f>Données!A303</f>
        <v>5937</v>
      </c>
      <c r="B303" s="270" t="str">
        <f>Données!B303</f>
        <v>Vugelles-La Mothe</v>
      </c>
      <c r="C303" s="645">
        <f>Données!AR303</f>
        <v>0</v>
      </c>
      <c r="D303" s="271">
        <f>Données!Z303</f>
        <v>151</v>
      </c>
      <c r="E303" s="101">
        <f>Données!X303</f>
        <v>70</v>
      </c>
      <c r="F303" s="31">
        <f>VPI!L303</f>
        <v>246759.61999999997</v>
      </c>
      <c r="G303" s="8">
        <f t="shared" si="23"/>
        <v>7050.2748571428565</v>
      </c>
      <c r="H303" s="26">
        <f t="shared" si="24"/>
        <v>13775.93641202672</v>
      </c>
      <c r="I303" s="8">
        <f t="shared" si="25"/>
        <v>7050.2748571428565</v>
      </c>
      <c r="J303" s="8">
        <f>VPI!R303</f>
        <v>3794.0157959183671</v>
      </c>
      <c r="K303" s="171">
        <f t="shared" si="26"/>
        <v>4273.9777936611317</v>
      </c>
      <c r="L303" s="260">
        <f t="shared" si="27"/>
        <v>11324.252650803988</v>
      </c>
      <c r="M303" s="102"/>
      <c r="N303" s="103"/>
      <c r="O303" s="100"/>
      <c r="P303" s="100"/>
      <c r="Q303" s="104"/>
    </row>
    <row r="304" spans="1:17" s="99" customFormat="1" x14ac:dyDescent="0.25">
      <c r="A304" s="135">
        <f>Données!A304</f>
        <v>5938</v>
      </c>
      <c r="B304" s="270" t="str">
        <f>Données!B304</f>
        <v>Yverdon-les-Bains</v>
      </c>
      <c r="C304" s="645">
        <f>Données!AR304</f>
        <v>1</v>
      </c>
      <c r="D304" s="271">
        <f>Données!Z304</f>
        <v>30221</v>
      </c>
      <c r="E304" s="101">
        <f>Données!X304</f>
        <v>75</v>
      </c>
      <c r="F304" s="31">
        <f>VPI!L304</f>
        <v>54275377.069999985</v>
      </c>
      <c r="G304" s="8">
        <f t="shared" si="23"/>
        <v>1447343.3885333329</v>
      </c>
      <c r="H304" s="26">
        <f t="shared" si="24"/>
        <v>2757103.1411116524</v>
      </c>
      <c r="I304" s="8">
        <f t="shared" si="25"/>
        <v>0</v>
      </c>
      <c r="J304" s="8">
        <f>VPI!R304</f>
        <v>793682.36159999971</v>
      </c>
      <c r="K304" s="171">
        <f t="shared" si="26"/>
        <v>894087.15492124704</v>
      </c>
      <c r="L304" s="260">
        <f t="shared" si="27"/>
        <v>894087.15492124704</v>
      </c>
      <c r="M304" s="102"/>
      <c r="N304" s="103"/>
      <c r="O304" s="100"/>
      <c r="P304" s="100"/>
      <c r="Q304" s="104"/>
    </row>
    <row r="305" spans="1:17" s="99" customFormat="1" x14ac:dyDescent="0.25">
      <c r="A305" s="136">
        <f>Données!A305</f>
        <v>5939</v>
      </c>
      <c r="B305" s="270" t="str">
        <f>Données!B305</f>
        <v>Yvonand</v>
      </c>
      <c r="C305" s="646">
        <f>Données!AR305</f>
        <v>0</v>
      </c>
      <c r="D305" s="271">
        <f>Données!Z305</f>
        <v>3536</v>
      </c>
      <c r="E305" s="101">
        <f>Données!X305</f>
        <v>71.5</v>
      </c>
      <c r="F305" s="31">
        <f>VPI!L305</f>
        <v>6227477.8500000006</v>
      </c>
      <c r="G305" s="161">
        <f t="shared" si="23"/>
        <v>174195.18461538464</v>
      </c>
      <c r="H305" s="69">
        <f t="shared" si="24"/>
        <v>322594.11359553965</v>
      </c>
      <c r="I305" s="8">
        <f t="shared" si="25"/>
        <v>174195.18461538464</v>
      </c>
      <c r="J305" s="161">
        <f>VPI!R305</f>
        <v>96283.364335664344</v>
      </c>
      <c r="K305" s="51">
        <f t="shared" si="26"/>
        <v>108463.69208908477</v>
      </c>
      <c r="L305" s="261">
        <f t="shared" si="27"/>
        <v>282658.87670446944</v>
      </c>
      <c r="M305" s="102"/>
      <c r="N305" s="103"/>
      <c r="O305" s="100"/>
      <c r="P305" s="100"/>
      <c r="Q305" s="104"/>
    </row>
    <row r="306" spans="1:17" s="99" customFormat="1" x14ac:dyDescent="0.25">
      <c r="A306" s="25"/>
      <c r="B306" s="73">
        <f>COUNTA(B6:B305)</f>
        <v>300</v>
      </c>
      <c r="C306" s="136">
        <f>SUM(C6:C305)</f>
        <v>49</v>
      </c>
      <c r="D306" s="110">
        <f>SUM(D6:D305)</f>
        <v>846303</v>
      </c>
      <c r="E306" s="110"/>
      <c r="F306" s="110">
        <f t="shared" ref="F306:J306" si="28">SUM(F6:F305)</f>
        <v>2609161606.7199979</v>
      </c>
      <c r="G306" s="113">
        <f>SUM(G6:G305)</f>
        <v>77209379.558327481</v>
      </c>
      <c r="H306" s="110">
        <f t="shared" si="28"/>
        <v>77209379.558327541</v>
      </c>
      <c r="I306" s="110">
        <f t="shared" si="28"/>
        <v>24938052.78829864</v>
      </c>
      <c r="J306" s="113">
        <f t="shared" si="28"/>
        <v>41857577.09593945</v>
      </c>
      <c r="K306" s="113">
        <f>SUM(K6:K305)</f>
        <v>47152770.211701393</v>
      </c>
      <c r="L306" s="309">
        <f>SUM(L6:L305)</f>
        <v>72090822.999999985</v>
      </c>
      <c r="M306" s="100"/>
      <c r="N306" s="195"/>
      <c r="O306" s="100"/>
      <c r="P306" s="100"/>
    </row>
    <row r="307" spans="1:17" s="99" customFormat="1" x14ac:dyDescent="0.25">
      <c r="A307" s="98"/>
      <c r="B307" s="98"/>
      <c r="C307" s="98"/>
      <c r="D307" s="98"/>
      <c r="E307" s="98"/>
      <c r="F307" s="98"/>
      <c r="G307" s="98"/>
      <c r="H307" s="112"/>
      <c r="I307" s="98"/>
      <c r="J307" s="105"/>
      <c r="K307" s="98"/>
      <c r="L307" s="105"/>
      <c r="M307" s="98"/>
      <c r="N307" s="100"/>
      <c r="P307" s="100"/>
      <c r="Q307" s="100"/>
    </row>
    <row r="308" spans="1:17" x14ac:dyDescent="0.25">
      <c r="H308" s="112"/>
      <c r="I308" s="112"/>
      <c r="J308" s="112"/>
      <c r="K308" s="112"/>
      <c r="L308" s="165"/>
      <c r="M308" s="112"/>
    </row>
  </sheetData>
  <sheetProtection sheet="1" objects="1" scenarios="1"/>
  <mergeCells count="11">
    <mergeCell ref="E1:F1"/>
    <mergeCell ref="L4:L5"/>
    <mergeCell ref="B4:B5"/>
    <mergeCell ref="A4:A5"/>
    <mergeCell ref="J4:J5"/>
    <mergeCell ref="I4:I5"/>
    <mergeCell ref="H4:H5"/>
    <mergeCell ref="F4:F5"/>
    <mergeCell ref="E4:E5"/>
    <mergeCell ref="C4:C5"/>
    <mergeCell ref="G4:G5"/>
  </mergeCells>
  <hyperlinks>
    <hyperlink ref="C1" location="Taux!A1" display="← Précédent" xr:uid="{C8901635-E034-47DD-93A2-BAA21240173B}"/>
    <hyperlink ref="E1:F1" location="Synthèse!A1" display="Suivant →" xr:uid="{E0670AFE-D86B-4F7C-A3A7-5583CCD7E9BB}"/>
    <hyperlink ref="D1" location="'Table des matières'!A1" display="Table des             matières" xr:uid="{47FAC582-202D-4B6D-B66A-647C53FD6C30}"/>
  </hyperlinks>
  <printOptions horizontalCentered="1" verticalCentered="1"/>
  <pageMargins left="0.78740157480314965" right="0.78740157480314965" top="0.98425196850393704" bottom="0.98425196850393704" header="0.51181102362204722" footer="0.51181102362204722"/>
  <pageSetup paperSize="8" fitToHeight="9" orientation="landscape" r:id="rId1"/>
  <headerFooter alignWithMargins="0">
    <oddFooter>&amp;L&amp;8SCL - Division finances communales&amp;C- &amp;N -&amp;R&amp;8ASFiCo/FW/Juillet 2014</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7">
    <tabColor theme="3" tint="0.59999389629810485"/>
  </sheetPr>
  <dimension ref="A1:J307"/>
  <sheetViews>
    <sheetView workbookViewId="0">
      <pane ySplit="4" topLeftCell="A5" activePane="bottomLeft" state="frozen"/>
      <selection pane="bottomLeft"/>
    </sheetView>
  </sheetViews>
  <sheetFormatPr baseColWidth="10" defaultColWidth="10.75" defaultRowHeight="15" x14ac:dyDescent="0.25"/>
  <cols>
    <col min="1" max="1" width="7.5" style="11" customWidth="1"/>
    <col min="2" max="2" width="20.875" style="11" customWidth="1"/>
    <col min="3" max="3" width="7.5" style="13" customWidth="1"/>
    <col min="4" max="4" width="10.5" style="84" customWidth="1"/>
    <col min="5" max="5" width="16.125" style="84" customWidth="1"/>
    <col min="6" max="6" width="12.5" style="11" customWidth="1"/>
    <col min="7" max="7" width="15.625" style="11" customWidth="1"/>
    <col min="8" max="8" width="10.25" style="156" customWidth="1"/>
    <col min="9" max="9" width="12" style="11" bestFit="1" customWidth="1"/>
    <col min="10" max="10" width="10.75" style="11" customWidth="1"/>
    <col min="11" max="16384" width="10.75" style="11"/>
  </cols>
  <sheetData>
    <row r="1" spans="1:10" s="33" customFormat="1" ht="26.25" x14ac:dyDescent="0.2">
      <c r="A1" s="220" t="s">
        <v>424</v>
      </c>
      <c r="B1" s="221"/>
      <c r="C1" s="308" t="s">
        <v>402</v>
      </c>
      <c r="D1" s="230" t="s">
        <v>394</v>
      </c>
      <c r="E1" s="225" t="s">
        <v>403</v>
      </c>
      <c r="F1" s="222"/>
      <c r="G1" s="49"/>
      <c r="H1" s="158"/>
      <c r="I1" s="49"/>
    </row>
    <row r="2" spans="1:10" s="33" customFormat="1" ht="15.75" x14ac:dyDescent="0.2">
      <c r="A2" s="273" t="str">
        <f>Paramètres!B4</f>
        <v>Décompte 2023</v>
      </c>
      <c r="C2" s="79"/>
      <c r="D2" s="125"/>
      <c r="E2" s="125"/>
      <c r="F2" s="49"/>
      <c r="G2" s="49"/>
      <c r="H2" s="158"/>
      <c r="I2" s="49"/>
      <c r="J2" s="49"/>
    </row>
    <row r="3" spans="1:10" x14ac:dyDescent="0.25">
      <c r="D3" s="11"/>
      <c r="E3" s="11"/>
    </row>
    <row r="4" spans="1:10" ht="53.25" customHeight="1" x14ac:dyDescent="0.25">
      <c r="A4" s="412" t="s">
        <v>44</v>
      </c>
      <c r="B4" s="412" t="s">
        <v>84</v>
      </c>
      <c r="C4" s="411" t="s">
        <v>365</v>
      </c>
      <c r="D4" s="414" t="s">
        <v>257</v>
      </c>
      <c r="E4" s="414" t="s">
        <v>409</v>
      </c>
      <c r="F4" s="415" t="s">
        <v>277</v>
      </c>
      <c r="G4" s="416" t="s">
        <v>391</v>
      </c>
      <c r="H4" s="413" t="s">
        <v>406</v>
      </c>
      <c r="I4" s="414" t="s">
        <v>124</v>
      </c>
    </row>
    <row r="5" spans="1:10" s="86" customFormat="1" x14ac:dyDescent="0.25">
      <c r="A5" s="297">
        <f>Données!A6</f>
        <v>5401</v>
      </c>
      <c r="B5" s="296" t="str">
        <f>Données!B6</f>
        <v>Aigle</v>
      </c>
      <c r="C5" s="300">
        <f>VPI!Q6</f>
        <v>66</v>
      </c>
      <c r="D5" s="304">
        <f>Données!Z6</f>
        <v>11437</v>
      </c>
      <c r="E5" s="137">
        <f>VPI!R6</f>
        <v>293879.84888888896</v>
      </c>
      <c r="F5" s="249">
        <f>'Péréquation directe'!K12</f>
        <v>-5661386.73043992</v>
      </c>
      <c r="G5" s="383">
        <f>PCS!I12</f>
        <v>4618453.5293844659</v>
      </c>
      <c r="H5" s="259">
        <f>Police!L6</f>
        <v>331057.1214560715</v>
      </c>
      <c r="I5" s="361">
        <f>SUM(F5:H5)</f>
        <v>-711876.07959938259</v>
      </c>
      <c r="J5" s="138"/>
    </row>
    <row r="6" spans="1:10" s="86" customFormat="1" x14ac:dyDescent="0.25">
      <c r="A6" s="298">
        <f>Données!A7</f>
        <v>5402</v>
      </c>
      <c r="B6" s="302" t="str">
        <f>Données!B7</f>
        <v>Bex</v>
      </c>
      <c r="C6" s="300">
        <f>VPI!Q7</f>
        <v>71</v>
      </c>
      <c r="D6" s="305">
        <f>Données!Z7</f>
        <v>8508</v>
      </c>
      <c r="E6" s="137">
        <f>VPI!R7</f>
        <v>202698.13549295775</v>
      </c>
      <c r="F6" s="234">
        <f>'Péréquation directe'!K13</f>
        <v>-4601228.046737032</v>
      </c>
      <c r="G6" s="244">
        <f>PCS!I13</f>
        <v>3371538.885705451</v>
      </c>
      <c r="H6" s="260">
        <f>Police!L7</f>
        <v>228340.46469849144</v>
      </c>
      <c r="I6" s="343">
        <f t="shared" ref="I6:I69" si="0">SUM(F6:H6)</f>
        <v>-1001348.6963330896</v>
      </c>
      <c r="J6" s="138"/>
    </row>
    <row r="7" spans="1:10" s="86" customFormat="1" x14ac:dyDescent="0.25">
      <c r="A7" s="298">
        <f>Données!A8</f>
        <v>5403</v>
      </c>
      <c r="B7" s="302" t="str">
        <f>Données!B8</f>
        <v>Chessel</v>
      </c>
      <c r="C7" s="300">
        <f>VPI!Q8</f>
        <v>65</v>
      </c>
      <c r="D7" s="305">
        <f>Données!Z8</f>
        <v>519</v>
      </c>
      <c r="E7" s="137">
        <f>VPI!R8</f>
        <v>13180.672769230767</v>
      </c>
      <c r="F7" s="234">
        <f>'Péréquation directe'!K14</f>
        <v>-24335.770168670191</v>
      </c>
      <c r="G7" s="244">
        <f>PCS!I14</f>
        <v>172362.88671721637</v>
      </c>
      <c r="H7" s="260">
        <f>Police!L8</f>
        <v>38150.845572625942</v>
      </c>
      <c r="I7" s="343">
        <f t="shared" si="0"/>
        <v>186177.96212117211</v>
      </c>
      <c r="J7" s="138"/>
    </row>
    <row r="8" spans="1:10" s="86" customFormat="1" x14ac:dyDescent="0.25">
      <c r="A8" s="298">
        <f>Données!A9</f>
        <v>5404</v>
      </c>
      <c r="B8" s="302" t="str">
        <f>Données!B9</f>
        <v>Corbeyrier</v>
      </c>
      <c r="C8" s="300">
        <f>VPI!Q9</f>
        <v>74</v>
      </c>
      <c r="D8" s="305">
        <f>Données!Z9</f>
        <v>464</v>
      </c>
      <c r="E8" s="137">
        <f>VPI!R9</f>
        <v>10656.798108108109</v>
      </c>
      <c r="F8" s="234">
        <f>'Péréquation directe'!K15</f>
        <v>-123955.21370513624</v>
      </c>
      <c r="G8" s="244">
        <f>PCS!I15</f>
        <v>199440.96794348132</v>
      </c>
      <c r="H8" s="260">
        <f>Police!L9</f>
        <v>30753.055624768549</v>
      </c>
      <c r="I8" s="343">
        <f t="shared" si="0"/>
        <v>106238.80986311362</v>
      </c>
      <c r="J8" s="138"/>
    </row>
    <row r="9" spans="1:10" s="86" customFormat="1" x14ac:dyDescent="0.25">
      <c r="A9" s="298">
        <f>Données!A10</f>
        <v>5405</v>
      </c>
      <c r="B9" s="302" t="str">
        <f>Données!B10</f>
        <v>Gryon</v>
      </c>
      <c r="C9" s="300">
        <f>VPI!Q10</f>
        <v>73.5</v>
      </c>
      <c r="D9" s="305">
        <f>Données!Z10</f>
        <v>1520</v>
      </c>
      <c r="E9" s="137">
        <f>VPI!R10</f>
        <v>79200.140770975064</v>
      </c>
      <c r="F9" s="234">
        <f>'Péréquation directe'!K16</f>
        <v>1206990.4483190747</v>
      </c>
      <c r="G9" s="244">
        <f>PCS!I16</f>
        <v>1572524.0334134321</v>
      </c>
      <c r="H9" s="260">
        <f>Police!L10</f>
        <v>224404.23220140781</v>
      </c>
      <c r="I9" s="343">
        <f t="shared" si="0"/>
        <v>3003918.7139339144</v>
      </c>
      <c r="J9" s="138"/>
    </row>
    <row r="10" spans="1:10" s="86" customFormat="1" x14ac:dyDescent="0.25">
      <c r="A10" s="298">
        <f>Données!A11</f>
        <v>5406</v>
      </c>
      <c r="B10" s="302" t="str">
        <f>Données!B11</f>
        <v>Lavey-Morcles</v>
      </c>
      <c r="C10" s="300">
        <f>VPI!Q11</f>
        <v>71.5</v>
      </c>
      <c r="D10" s="305">
        <f>Données!Z11</f>
        <v>1022</v>
      </c>
      <c r="E10" s="137">
        <f>VPI!R11</f>
        <v>24174.314276492736</v>
      </c>
      <c r="F10" s="234">
        <f>'Péréquation directe'!K17</f>
        <v>-211001.83733217715</v>
      </c>
      <c r="G10" s="244">
        <f>PCS!I17</f>
        <v>433947.40215561737</v>
      </c>
      <c r="H10" s="260">
        <f>Police!L11</f>
        <v>70746.534763207426</v>
      </c>
      <c r="I10" s="343">
        <f t="shared" si="0"/>
        <v>293692.09958664764</v>
      </c>
      <c r="J10" s="138"/>
    </row>
    <row r="11" spans="1:10" s="86" customFormat="1" x14ac:dyDescent="0.25">
      <c r="A11" s="298">
        <f>Données!A12</f>
        <v>5407</v>
      </c>
      <c r="B11" s="302" t="str">
        <f>Données!B12</f>
        <v>Leysin</v>
      </c>
      <c r="C11" s="300">
        <f>VPI!Q12</f>
        <v>78</v>
      </c>
      <c r="D11" s="305">
        <f>Données!Z12</f>
        <v>3729</v>
      </c>
      <c r="E11" s="137">
        <f>VPI!R12</f>
        <v>97593.933333333334</v>
      </c>
      <c r="F11" s="234">
        <f>'Péréquation directe'!K18</f>
        <v>-1474052.1885804352</v>
      </c>
      <c r="G11" s="244">
        <f>PCS!I18</f>
        <v>1728909.4988186792</v>
      </c>
      <c r="H11" s="260">
        <f>Police!L12</f>
        <v>282322.88026901288</v>
      </c>
      <c r="I11" s="343">
        <f t="shared" si="0"/>
        <v>537180.19050725689</v>
      </c>
      <c r="J11" s="138"/>
    </row>
    <row r="12" spans="1:10" s="86" customFormat="1" x14ac:dyDescent="0.25">
      <c r="A12" s="298">
        <f>Données!A13</f>
        <v>5408</v>
      </c>
      <c r="B12" s="302" t="str">
        <f>Données!B13</f>
        <v>Noville</v>
      </c>
      <c r="C12" s="300">
        <f>VPI!Q13</f>
        <v>75</v>
      </c>
      <c r="D12" s="305">
        <f>Données!Z13</f>
        <v>1180</v>
      </c>
      <c r="E12" s="137">
        <f>VPI!R13</f>
        <v>40176.989288888893</v>
      </c>
      <c r="F12" s="234">
        <f>'Péréquation directe'!K19</f>
        <v>169883.24031548947</v>
      </c>
      <c r="G12" s="244">
        <f>PCS!I19</f>
        <v>737852.44176176516</v>
      </c>
      <c r="H12" s="260">
        <f>Police!L13</f>
        <v>115359.11909772814</v>
      </c>
      <c r="I12" s="343">
        <f t="shared" si="0"/>
        <v>1023094.8011749828</v>
      </c>
      <c r="J12" s="138"/>
    </row>
    <row r="13" spans="1:10" s="86" customFormat="1" x14ac:dyDescent="0.25">
      <c r="A13" s="298">
        <f>Données!A14</f>
        <v>5409</v>
      </c>
      <c r="B13" s="302" t="str">
        <f>Données!B14</f>
        <v>Ollon</v>
      </c>
      <c r="C13" s="300">
        <f>VPI!Q14</f>
        <v>68</v>
      </c>
      <c r="D13" s="305">
        <f>Données!Z14</f>
        <v>8137</v>
      </c>
      <c r="E13" s="137">
        <f>VPI!R14</f>
        <v>421727.92700226256</v>
      </c>
      <c r="F13" s="234">
        <f>'Péréquation directe'!K20</f>
        <v>4252389.7743699504</v>
      </c>
      <c r="G13" s="244">
        <f>PCS!I20</f>
        <v>7602353.2236545682</v>
      </c>
      <c r="H13" s="260">
        <f>Police!L14</f>
        <v>475078.62168457749</v>
      </c>
      <c r="I13" s="343">
        <f t="shared" si="0"/>
        <v>12329821.619709097</v>
      </c>
      <c r="J13" s="138"/>
    </row>
    <row r="14" spans="1:10" s="86" customFormat="1" x14ac:dyDescent="0.25">
      <c r="A14" s="298">
        <f>Données!A15</f>
        <v>5410</v>
      </c>
      <c r="B14" s="302" t="str">
        <f>Données!B15</f>
        <v>Ormont-Dessous</v>
      </c>
      <c r="C14" s="300">
        <f>VPI!Q15</f>
        <v>77</v>
      </c>
      <c r="D14" s="305">
        <f>Données!Z15</f>
        <v>1211</v>
      </c>
      <c r="E14" s="137">
        <f>VPI!R15</f>
        <v>36756.557662337655</v>
      </c>
      <c r="F14" s="234">
        <f>'Péréquation directe'!K21</f>
        <v>-46925.307538899593</v>
      </c>
      <c r="G14" s="244">
        <f>PCS!I21</f>
        <v>658602.56555048469</v>
      </c>
      <c r="H14" s="260">
        <f>Police!L15</f>
        <v>104132.85250878226</v>
      </c>
      <c r="I14" s="343">
        <f t="shared" si="0"/>
        <v>715810.11052036739</v>
      </c>
      <c r="J14" s="138"/>
    </row>
    <row r="15" spans="1:10" s="86" customFormat="1" x14ac:dyDescent="0.25">
      <c r="A15" s="298">
        <f>Données!A16</f>
        <v>5411</v>
      </c>
      <c r="B15" s="302" t="str">
        <f>Données!B16</f>
        <v>Ormont-Dessus</v>
      </c>
      <c r="C15" s="300">
        <f>VPI!Q16</f>
        <v>76</v>
      </c>
      <c r="D15" s="305">
        <f>Données!Z16</f>
        <v>1427</v>
      </c>
      <c r="E15" s="137">
        <f>VPI!R16</f>
        <v>79198.134342105259</v>
      </c>
      <c r="F15" s="234">
        <f>'Péréquation directe'!K22</f>
        <v>1241106.2874809622</v>
      </c>
      <c r="G15" s="244">
        <f>PCS!I22</f>
        <v>1572063.9166389548</v>
      </c>
      <c r="H15" s="260">
        <f>Police!L16</f>
        <v>219404.25560443639</v>
      </c>
      <c r="I15" s="343">
        <f t="shared" si="0"/>
        <v>3032574.4597243536</v>
      </c>
      <c r="J15" s="138"/>
    </row>
    <row r="16" spans="1:10" s="86" customFormat="1" x14ac:dyDescent="0.25">
      <c r="A16" s="298">
        <f>Données!A17</f>
        <v>5412</v>
      </c>
      <c r="B16" s="302" t="str">
        <f>Données!B17</f>
        <v>Rennaz</v>
      </c>
      <c r="C16" s="300">
        <f>VPI!Q17</f>
        <v>69</v>
      </c>
      <c r="D16" s="305">
        <f>Données!Z17</f>
        <v>928</v>
      </c>
      <c r="E16" s="137">
        <f>VPI!R17</f>
        <v>29024.824057971011</v>
      </c>
      <c r="F16" s="234">
        <f>'Péréquation directe'!K23</f>
        <v>117810.3526527771</v>
      </c>
      <c r="G16" s="244">
        <f>PCS!I23</f>
        <v>713376.64277638425</v>
      </c>
      <c r="H16" s="260">
        <f>Police!L17</f>
        <v>80738.357766894202</v>
      </c>
      <c r="I16" s="343">
        <f t="shared" si="0"/>
        <v>911925.35319605551</v>
      </c>
      <c r="J16" s="138"/>
    </row>
    <row r="17" spans="1:10" s="86" customFormat="1" x14ac:dyDescent="0.25">
      <c r="A17" s="298">
        <f>Données!A18</f>
        <v>5413</v>
      </c>
      <c r="B17" s="302" t="str">
        <f>Données!B18</f>
        <v>Roche</v>
      </c>
      <c r="C17" s="300">
        <f>VPI!Q18</f>
        <v>68</v>
      </c>
      <c r="D17" s="305">
        <f>Données!Z18</f>
        <v>1958</v>
      </c>
      <c r="E17" s="137">
        <f>VPI!R18</f>
        <v>41219.946789215683</v>
      </c>
      <c r="F17" s="234">
        <f>'Péréquation directe'!K24</f>
        <v>-714386.10187274253</v>
      </c>
      <c r="G17" s="244">
        <f>PCS!I24</f>
        <v>724166.67263312545</v>
      </c>
      <c r="H17" s="260">
        <f>Police!L18</f>
        <v>118675.77177218866</v>
      </c>
      <c r="I17" s="343">
        <f t="shared" si="0"/>
        <v>128456.34253257158</v>
      </c>
      <c r="J17" s="138"/>
    </row>
    <row r="18" spans="1:10" s="86" customFormat="1" x14ac:dyDescent="0.25">
      <c r="A18" s="298">
        <f>Données!A19</f>
        <v>5414</v>
      </c>
      <c r="B18" s="302" t="str">
        <f>Données!B19</f>
        <v>Villeneuve</v>
      </c>
      <c r="C18" s="300">
        <f>VPI!Q19</f>
        <v>67.5</v>
      </c>
      <c r="D18" s="305">
        <f>Données!Z19</f>
        <v>6057</v>
      </c>
      <c r="E18" s="137">
        <f>VPI!R19</f>
        <v>190081.59585185186</v>
      </c>
      <c r="F18" s="234">
        <f>'Péréquation directe'!K25</f>
        <v>-903036.08634742117</v>
      </c>
      <c r="G18" s="244">
        <f>PCS!I25</f>
        <v>3391587.5547936526</v>
      </c>
      <c r="H18" s="260">
        <f>Police!L19</f>
        <v>549687.35316761048</v>
      </c>
      <c r="I18" s="343">
        <f t="shared" si="0"/>
        <v>3038238.8216138417</v>
      </c>
      <c r="J18" s="138"/>
    </row>
    <row r="19" spans="1:10" s="86" customFormat="1" x14ac:dyDescent="0.25">
      <c r="A19" s="298">
        <f>Données!A20</f>
        <v>5415</v>
      </c>
      <c r="B19" s="302" t="str">
        <f>Données!B20</f>
        <v>Yvorne</v>
      </c>
      <c r="C19" s="300">
        <f>VPI!Q20</f>
        <v>71.5</v>
      </c>
      <c r="D19" s="305">
        <f>Données!Z20</f>
        <v>1108</v>
      </c>
      <c r="E19" s="137">
        <f>VPI!R20</f>
        <v>36781.248065268061</v>
      </c>
      <c r="F19" s="234">
        <f>'Péréquation directe'!K26</f>
        <v>171380.98102566402</v>
      </c>
      <c r="G19" s="244">
        <f>PCS!I26</f>
        <v>578191.31809411361</v>
      </c>
      <c r="H19" s="260">
        <f>Police!L20</f>
        <v>107745.17398371483</v>
      </c>
      <c r="I19" s="343">
        <f t="shared" si="0"/>
        <v>857317.47310349252</v>
      </c>
      <c r="J19" s="138"/>
    </row>
    <row r="20" spans="1:10" s="86" customFormat="1" x14ac:dyDescent="0.25">
      <c r="A20" s="298">
        <f>Données!A21</f>
        <v>5422</v>
      </c>
      <c r="B20" s="302" t="str">
        <f>Données!B21</f>
        <v>Aubonne</v>
      </c>
      <c r="C20" s="300">
        <f>VPI!Q21</f>
        <v>68</v>
      </c>
      <c r="D20" s="305">
        <f>Données!Z21</f>
        <v>3841</v>
      </c>
      <c r="E20" s="137">
        <f>VPI!R21</f>
        <v>418335.07808823534</v>
      </c>
      <c r="F20" s="234">
        <f>'Péréquation directe'!K27</f>
        <v>6769935.1432558782</v>
      </c>
      <c r="G20" s="244">
        <f>PCS!I27</f>
        <v>11284502.178511487</v>
      </c>
      <c r="H20" s="260">
        <f>Police!L21</f>
        <v>821676.24091281253</v>
      </c>
      <c r="I20" s="343">
        <f t="shared" si="0"/>
        <v>18876113.562680181</v>
      </c>
      <c r="J20" s="138"/>
    </row>
    <row r="21" spans="1:10" s="86" customFormat="1" x14ac:dyDescent="0.25">
      <c r="A21" s="298">
        <f>Données!A22</f>
        <v>5423</v>
      </c>
      <c r="B21" s="302" t="str">
        <f>Données!B22</f>
        <v>Ballens</v>
      </c>
      <c r="C21" s="300">
        <f>VPI!Q22</f>
        <v>73</v>
      </c>
      <c r="D21" s="305">
        <f>Données!Z22</f>
        <v>576</v>
      </c>
      <c r="E21" s="137">
        <f>VPI!R22</f>
        <v>17582.856164383564</v>
      </c>
      <c r="F21" s="234">
        <f>'Péréquation directe'!K28</f>
        <v>31806.504790176754</v>
      </c>
      <c r="G21" s="244">
        <f>PCS!I28</f>
        <v>282722.45923536981</v>
      </c>
      <c r="H21" s="260">
        <f>Police!L22</f>
        <v>52607.519355696961</v>
      </c>
      <c r="I21" s="343">
        <f t="shared" si="0"/>
        <v>367136.48338124354</v>
      </c>
      <c r="J21" s="138"/>
    </row>
    <row r="22" spans="1:10" s="86" customFormat="1" x14ac:dyDescent="0.25">
      <c r="A22" s="298">
        <f>Données!A23</f>
        <v>5424</v>
      </c>
      <c r="B22" s="302" t="str">
        <f>Données!B23</f>
        <v>Berolle</v>
      </c>
      <c r="C22" s="300">
        <f>VPI!Q23</f>
        <v>75.5</v>
      </c>
      <c r="D22" s="305">
        <f>Données!Z23</f>
        <v>304</v>
      </c>
      <c r="E22" s="137">
        <f>VPI!R23</f>
        <v>10091.658013245033</v>
      </c>
      <c r="F22" s="234">
        <f>'Péréquation directe'!K29</f>
        <v>42408.559856258071</v>
      </c>
      <c r="G22" s="244">
        <f>PCS!I29</f>
        <v>193449.09871320601</v>
      </c>
      <c r="H22" s="260">
        <f>Police!L23</f>
        <v>30066.443156174064</v>
      </c>
      <c r="I22" s="343">
        <f t="shared" si="0"/>
        <v>265924.10172563815</v>
      </c>
      <c r="J22" s="138"/>
    </row>
    <row r="23" spans="1:10" s="86" customFormat="1" x14ac:dyDescent="0.25">
      <c r="A23" s="298">
        <f>Données!A24</f>
        <v>5425</v>
      </c>
      <c r="B23" s="302" t="str">
        <f>Données!B24</f>
        <v>Bière</v>
      </c>
      <c r="C23" s="300">
        <f>VPI!Q24</f>
        <v>69</v>
      </c>
      <c r="D23" s="305">
        <f>Données!Z24</f>
        <v>1717</v>
      </c>
      <c r="E23" s="137">
        <f>VPI!R24</f>
        <v>44820.475767116455</v>
      </c>
      <c r="F23" s="234">
        <f>'Péréquation directe'!K30</f>
        <v>-291672.73433845269</v>
      </c>
      <c r="G23" s="244">
        <f>PCS!I30</f>
        <v>743030.24511519726</v>
      </c>
      <c r="H23" s="260">
        <f>Police!L24</f>
        <v>132721.94663418189</v>
      </c>
      <c r="I23" s="343">
        <f t="shared" si="0"/>
        <v>584079.45741092646</v>
      </c>
      <c r="J23" s="138"/>
    </row>
    <row r="24" spans="1:10" s="86" customFormat="1" x14ac:dyDescent="0.25">
      <c r="A24" s="298">
        <f>Données!A25</f>
        <v>5426</v>
      </c>
      <c r="B24" s="302" t="str">
        <f>Données!B25</f>
        <v>Bougy-Villars</v>
      </c>
      <c r="C24" s="300">
        <f>VPI!Q25</f>
        <v>64.5</v>
      </c>
      <c r="D24" s="305">
        <f>Données!Z25</f>
        <v>512</v>
      </c>
      <c r="E24" s="137">
        <f>VPI!R25</f>
        <v>70059.66664082685</v>
      </c>
      <c r="F24" s="234">
        <f>'Péréquation directe'!K31</f>
        <v>1285493.3642782327</v>
      </c>
      <c r="G24" s="244">
        <f>PCS!I31</f>
        <v>2297778.9088427415</v>
      </c>
      <c r="H24" s="260">
        <f>Police!L25</f>
        <v>125633.02520073648</v>
      </c>
      <c r="I24" s="343">
        <f t="shared" si="0"/>
        <v>3708905.2983217109</v>
      </c>
      <c r="J24" s="138"/>
    </row>
    <row r="25" spans="1:10" s="86" customFormat="1" x14ac:dyDescent="0.25">
      <c r="A25" s="298">
        <f>Données!A26</f>
        <v>5427</v>
      </c>
      <c r="B25" s="302" t="str">
        <f>Données!B26</f>
        <v>Féchy</v>
      </c>
      <c r="C25" s="300">
        <f>VPI!Q26</f>
        <v>64</v>
      </c>
      <c r="D25" s="305">
        <f>Données!Z26</f>
        <v>896</v>
      </c>
      <c r="E25" s="137">
        <f>VPI!R26</f>
        <v>87019.406153846168</v>
      </c>
      <c r="F25" s="234">
        <f>'Péréquation directe'!K32</f>
        <v>1562570.38537551</v>
      </c>
      <c r="G25" s="244">
        <f>PCS!I32</f>
        <v>2944664.3215816673</v>
      </c>
      <c r="H25" s="260">
        <f>Police!L26</f>
        <v>179771.10160798294</v>
      </c>
      <c r="I25" s="343">
        <f t="shared" si="0"/>
        <v>4687005.8085651603</v>
      </c>
      <c r="J25" s="138"/>
    </row>
    <row r="26" spans="1:10" s="86" customFormat="1" x14ac:dyDescent="0.25">
      <c r="A26" s="298">
        <f>Données!A27</f>
        <v>5428</v>
      </c>
      <c r="B26" s="302" t="str">
        <f>Données!B27</f>
        <v>Gimel</v>
      </c>
      <c r="C26" s="300">
        <f>VPI!Q27</f>
        <v>73</v>
      </c>
      <c r="D26" s="305">
        <f>Données!Z27</f>
        <v>2465</v>
      </c>
      <c r="E26" s="137">
        <f>VPI!R27</f>
        <v>72073.620570776256</v>
      </c>
      <c r="F26" s="234">
        <f>'Péréquation directe'!K33</f>
        <v>-338531.42127919989</v>
      </c>
      <c r="G26" s="244">
        <f>PCS!I33</f>
        <v>1188239.9721753641</v>
      </c>
      <c r="H26" s="260">
        <f>Police!L27</f>
        <v>212594.3605285032</v>
      </c>
      <c r="I26" s="343">
        <f t="shared" si="0"/>
        <v>1062302.9114246676</v>
      </c>
      <c r="J26" s="138"/>
    </row>
    <row r="27" spans="1:10" s="86" customFormat="1" x14ac:dyDescent="0.25">
      <c r="A27" s="298">
        <f>Données!A28</f>
        <v>5429</v>
      </c>
      <c r="B27" s="302" t="str">
        <f>Données!B28</f>
        <v>Longirod</v>
      </c>
      <c r="C27" s="300">
        <f>VPI!Q28</f>
        <v>77.5</v>
      </c>
      <c r="D27" s="305">
        <f>Données!Z28</f>
        <v>555</v>
      </c>
      <c r="E27" s="137">
        <f>VPI!R28</f>
        <v>19283.044387096772</v>
      </c>
      <c r="F27" s="234">
        <f>'Péréquation directe'!K34</f>
        <v>103589.17951470573</v>
      </c>
      <c r="G27" s="244">
        <f>PCS!I34</f>
        <v>265972.92315156315</v>
      </c>
      <c r="H27" s="260">
        <f>Police!L28</f>
        <v>57309.137421957508</v>
      </c>
      <c r="I27" s="343">
        <f t="shared" si="0"/>
        <v>426871.24008822639</v>
      </c>
      <c r="J27" s="138"/>
    </row>
    <row r="28" spans="1:10" s="86" customFormat="1" x14ac:dyDescent="0.25">
      <c r="A28" s="298">
        <f>Données!A29</f>
        <v>5430</v>
      </c>
      <c r="B28" s="302" t="str">
        <f>Données!B29</f>
        <v>Marchissy</v>
      </c>
      <c r="C28" s="300">
        <f>VPI!Q29</f>
        <v>77.5</v>
      </c>
      <c r="D28" s="305">
        <f>Données!Z29</f>
        <v>508</v>
      </c>
      <c r="E28" s="137">
        <f>VPI!R29</f>
        <v>16181.195483870966</v>
      </c>
      <c r="F28" s="234">
        <f>'Péréquation directe'!K35</f>
        <v>31220.407573301345</v>
      </c>
      <c r="G28" s="244">
        <f>PCS!I35</f>
        <v>206041.3013880963</v>
      </c>
      <c r="H28" s="260">
        <f>Police!L29</f>
        <v>48099.904841062744</v>
      </c>
      <c r="I28" s="343">
        <f t="shared" si="0"/>
        <v>285361.61380246037</v>
      </c>
      <c r="J28" s="138"/>
    </row>
    <row r="29" spans="1:10" s="86" customFormat="1" x14ac:dyDescent="0.25">
      <c r="A29" s="298">
        <f>Données!A30</f>
        <v>5431</v>
      </c>
      <c r="B29" s="302" t="str">
        <f>Données!B30</f>
        <v>Mollens</v>
      </c>
      <c r="C29" s="300">
        <f>VPI!Q30</f>
        <v>74</v>
      </c>
      <c r="D29" s="305">
        <f>Données!Z30</f>
        <v>322</v>
      </c>
      <c r="E29" s="137">
        <f>VPI!R30</f>
        <v>9356.399324324324</v>
      </c>
      <c r="F29" s="234">
        <f>'Péréquation directe'!K36</f>
        <v>-5272.1500774807355</v>
      </c>
      <c r="G29" s="244">
        <f>PCS!I36</f>
        <v>111750.21485592271</v>
      </c>
      <c r="H29" s="260">
        <f>Police!L30</f>
        <v>27813.007720575722</v>
      </c>
      <c r="I29" s="343">
        <f t="shared" si="0"/>
        <v>134291.0724990177</v>
      </c>
      <c r="J29" s="138"/>
    </row>
    <row r="30" spans="1:10" s="86" customFormat="1" x14ac:dyDescent="0.25">
      <c r="A30" s="298">
        <f>Données!A31</f>
        <v>5434</v>
      </c>
      <c r="B30" s="302" t="str">
        <f>Données!B31</f>
        <v>Saint-George</v>
      </c>
      <c r="C30" s="300">
        <f>VPI!Q31</f>
        <v>69.5</v>
      </c>
      <c r="D30" s="305">
        <f>Données!Z31</f>
        <v>1061</v>
      </c>
      <c r="E30" s="137">
        <f>VPI!R31</f>
        <v>46184.394316546764</v>
      </c>
      <c r="F30" s="234">
        <f>'Péréquation directe'!K37</f>
        <v>616737.14207202476</v>
      </c>
      <c r="G30" s="244">
        <f>PCS!I37</f>
        <v>671013.65132690314</v>
      </c>
      <c r="H30" s="260">
        <f>Police!L31</f>
        <v>137063.75953597564</v>
      </c>
      <c r="I30" s="343">
        <f t="shared" si="0"/>
        <v>1424814.5529349037</v>
      </c>
      <c r="J30" s="138"/>
    </row>
    <row r="31" spans="1:10" s="86" customFormat="1" x14ac:dyDescent="0.25">
      <c r="A31" s="298">
        <f>Données!A32</f>
        <v>5435</v>
      </c>
      <c r="B31" s="302" t="str">
        <f>Données!B32</f>
        <v>Saint-Livres</v>
      </c>
      <c r="C31" s="300">
        <f>VPI!Q32</f>
        <v>69</v>
      </c>
      <c r="D31" s="305">
        <f>Données!Z32</f>
        <v>697</v>
      </c>
      <c r="E31" s="137">
        <f>VPI!R32</f>
        <v>26399.909565217389</v>
      </c>
      <c r="F31" s="234">
        <f>'Péréquation directe'!K38</f>
        <v>264769.05643949029</v>
      </c>
      <c r="G31" s="244">
        <f>PCS!I38</f>
        <v>491536.42600242363</v>
      </c>
      <c r="H31" s="260">
        <f>Police!L32</f>
        <v>78455.965402360511</v>
      </c>
      <c r="I31" s="343">
        <f t="shared" si="0"/>
        <v>834761.44784427446</v>
      </c>
      <c r="J31" s="138"/>
    </row>
    <row r="32" spans="1:10" s="86" customFormat="1" x14ac:dyDescent="0.25">
      <c r="A32" s="298">
        <f>Données!A33</f>
        <v>5436</v>
      </c>
      <c r="B32" s="302" t="str">
        <f>Données!B33</f>
        <v>Saint-Oyens</v>
      </c>
      <c r="C32" s="300">
        <f>VPI!Q33</f>
        <v>79</v>
      </c>
      <c r="D32" s="305">
        <f>Données!Z33</f>
        <v>450</v>
      </c>
      <c r="E32" s="137">
        <f>VPI!R33</f>
        <v>15917.295474683544</v>
      </c>
      <c r="F32" s="234">
        <f>'Péréquation directe'!K39</f>
        <v>90274.031253845606</v>
      </c>
      <c r="G32" s="244">
        <f>PCS!I39</f>
        <v>193064.37710383223</v>
      </c>
      <c r="H32" s="260">
        <f>Police!L33</f>
        <v>47408.29989783137</v>
      </c>
      <c r="I32" s="343">
        <f t="shared" si="0"/>
        <v>330746.70825550926</v>
      </c>
      <c r="J32" s="138"/>
    </row>
    <row r="33" spans="1:10" s="86" customFormat="1" x14ac:dyDescent="0.25">
      <c r="A33" s="298">
        <f>Données!A34</f>
        <v>5437</v>
      </c>
      <c r="B33" s="302" t="str">
        <f>Données!B34</f>
        <v>Saubraz</v>
      </c>
      <c r="C33" s="300">
        <f>VPI!Q34</f>
        <v>80</v>
      </c>
      <c r="D33" s="305">
        <f>Données!Z34</f>
        <v>449</v>
      </c>
      <c r="E33" s="137">
        <f>VPI!R34</f>
        <v>16749.450625000005</v>
      </c>
      <c r="F33" s="234">
        <f>'Péréquation directe'!K40</f>
        <v>124981.38730059395</v>
      </c>
      <c r="G33" s="244">
        <f>PCS!I40</f>
        <v>243969.69560944114</v>
      </c>
      <c r="H33" s="260">
        <f>Police!L34</f>
        <v>50345.258756461553</v>
      </c>
      <c r="I33" s="343">
        <f t="shared" si="0"/>
        <v>419296.34166649665</v>
      </c>
      <c r="J33" s="138"/>
    </row>
    <row r="34" spans="1:10" s="86" customFormat="1" x14ac:dyDescent="0.25">
      <c r="A34" s="298">
        <f>Données!A35</f>
        <v>5451</v>
      </c>
      <c r="B34" s="302" t="str">
        <f>Données!B35</f>
        <v>Avenches</v>
      </c>
      <c r="C34" s="300">
        <f>VPI!Q35</f>
        <v>65</v>
      </c>
      <c r="D34" s="305">
        <f>Données!Z35</f>
        <v>4873</v>
      </c>
      <c r="E34" s="137">
        <f>VPI!R35</f>
        <v>143864.88553846153</v>
      </c>
      <c r="F34" s="234">
        <f>'Péréquation directe'!K41</f>
        <v>-710104.56104952935</v>
      </c>
      <c r="G34" s="244">
        <f>PCS!I41</f>
        <v>2233046.2215962224</v>
      </c>
      <c r="H34" s="260">
        <f>Police!L35</f>
        <v>414133.71430905012</v>
      </c>
      <c r="I34" s="343">
        <f t="shared" si="0"/>
        <v>1937075.3748557433</v>
      </c>
      <c r="J34" s="138"/>
    </row>
    <row r="35" spans="1:10" s="86" customFormat="1" x14ac:dyDescent="0.25">
      <c r="A35" s="298">
        <f>Données!A36</f>
        <v>5456</v>
      </c>
      <c r="B35" s="302" t="str">
        <f>Données!B36</f>
        <v>Cudrefin</v>
      </c>
      <c r="C35" s="300">
        <f>VPI!Q36</f>
        <v>59</v>
      </c>
      <c r="D35" s="305">
        <f>Données!Z36</f>
        <v>1878</v>
      </c>
      <c r="E35" s="137">
        <f>VPI!R36</f>
        <v>70775.484519773992</v>
      </c>
      <c r="F35" s="234">
        <f>'Péréquation directe'!K42</f>
        <v>605471.72774640983</v>
      </c>
      <c r="G35" s="244">
        <f>PCS!I42</f>
        <v>1063609.5542989776</v>
      </c>
      <c r="H35" s="260">
        <f>Police!L36</f>
        <v>207879.41807786791</v>
      </c>
      <c r="I35" s="343">
        <f t="shared" si="0"/>
        <v>1876960.7001232554</v>
      </c>
      <c r="J35" s="138"/>
    </row>
    <row r="36" spans="1:10" s="86" customFormat="1" x14ac:dyDescent="0.25">
      <c r="A36" s="298">
        <f>Données!A37</f>
        <v>5458</v>
      </c>
      <c r="B36" s="302" t="str">
        <f>Données!B37</f>
        <v>Faoug</v>
      </c>
      <c r="C36" s="300">
        <f>VPI!Q37</f>
        <v>65</v>
      </c>
      <c r="D36" s="305">
        <f>Données!Z37</f>
        <v>906</v>
      </c>
      <c r="E36" s="137">
        <f>VPI!R37</f>
        <v>30258.802820512818</v>
      </c>
      <c r="F36" s="234">
        <f>'Péréquation directe'!K43</f>
        <v>219827.32340501377</v>
      </c>
      <c r="G36" s="244">
        <f>PCS!I43</f>
        <v>422898.08108125179</v>
      </c>
      <c r="H36" s="260">
        <f>Police!L37</f>
        <v>88043.508291052931</v>
      </c>
      <c r="I36" s="343">
        <f t="shared" si="0"/>
        <v>730768.91277731839</v>
      </c>
      <c r="J36" s="138"/>
    </row>
    <row r="37" spans="1:10" s="86" customFormat="1" x14ac:dyDescent="0.25">
      <c r="A37" s="298">
        <f>Données!A38</f>
        <v>5464</v>
      </c>
      <c r="B37" s="302" t="str">
        <f>Données!B38</f>
        <v>Vully-les-Lacs</v>
      </c>
      <c r="C37" s="300">
        <f>VPI!Q38</f>
        <v>67</v>
      </c>
      <c r="D37" s="305">
        <f>Données!Z38</f>
        <v>3614</v>
      </c>
      <c r="E37" s="137">
        <f>VPI!R38</f>
        <v>128619.64756218906</v>
      </c>
      <c r="F37" s="234">
        <f>'Péréquation directe'!K44</f>
        <v>396747.77240718342</v>
      </c>
      <c r="G37" s="244">
        <f>PCS!I44</f>
        <v>1931875.2788129686</v>
      </c>
      <c r="H37" s="260">
        <f>Police!L38</f>
        <v>377829.59110628988</v>
      </c>
      <c r="I37" s="343">
        <f t="shared" si="0"/>
        <v>2706452.6423264421</v>
      </c>
      <c r="J37" s="138"/>
    </row>
    <row r="38" spans="1:10" s="86" customFormat="1" x14ac:dyDescent="0.25">
      <c r="A38" s="298">
        <f>Données!A39</f>
        <v>5471</v>
      </c>
      <c r="B38" s="302" t="str">
        <f>Données!B39</f>
        <v>Bettens</v>
      </c>
      <c r="C38" s="300">
        <f>VPI!Q39</f>
        <v>70</v>
      </c>
      <c r="D38" s="305">
        <f>Données!Z39</f>
        <v>644</v>
      </c>
      <c r="E38" s="137">
        <f>VPI!R39</f>
        <v>23731.223904761908</v>
      </c>
      <c r="F38" s="234">
        <f>'Péréquation directe'!K45</f>
        <v>214787.58926133992</v>
      </c>
      <c r="G38" s="244">
        <f>PCS!I45</f>
        <v>345840.80342584231</v>
      </c>
      <c r="H38" s="260">
        <f>Police!L39</f>
        <v>70071.759426372097</v>
      </c>
      <c r="I38" s="343">
        <f t="shared" si="0"/>
        <v>630700.1521135543</v>
      </c>
      <c r="J38" s="138"/>
    </row>
    <row r="39" spans="1:10" s="86" customFormat="1" x14ac:dyDescent="0.25">
      <c r="A39" s="298">
        <f>Données!A40</f>
        <v>5472</v>
      </c>
      <c r="B39" s="302" t="str">
        <f>Données!B40</f>
        <v>Bournens</v>
      </c>
      <c r="C39" s="300">
        <f>VPI!Q40</f>
        <v>68</v>
      </c>
      <c r="D39" s="305">
        <f>Données!Z40</f>
        <v>519</v>
      </c>
      <c r="E39" s="137">
        <f>VPI!R40</f>
        <v>20138.90088235294</v>
      </c>
      <c r="F39" s="234">
        <f>'Péréquation directe'!K46</f>
        <v>218611.81274558866</v>
      </c>
      <c r="G39" s="244">
        <f>PCS!I46</f>
        <v>293016.34616289131</v>
      </c>
      <c r="H39" s="260">
        <f>Police!L40</f>
        <v>59444.706812604549</v>
      </c>
      <c r="I39" s="343">
        <f t="shared" si="0"/>
        <v>571072.86572108453</v>
      </c>
      <c r="J39" s="138"/>
    </row>
    <row r="40" spans="1:10" s="86" customFormat="1" x14ac:dyDescent="0.25">
      <c r="A40" s="298">
        <f>Données!A41</f>
        <v>5473</v>
      </c>
      <c r="B40" s="302" t="str">
        <f>Données!B41</f>
        <v>Boussens</v>
      </c>
      <c r="C40" s="300">
        <f>VPI!Q41</f>
        <v>66</v>
      </c>
      <c r="D40" s="305">
        <f>Données!Z41</f>
        <v>1023</v>
      </c>
      <c r="E40" s="137">
        <f>VPI!R41</f>
        <v>38661.720757575771</v>
      </c>
      <c r="F40" s="234">
        <f>'Péréquation directe'!K47</f>
        <v>399189.64823206555</v>
      </c>
      <c r="G40" s="244">
        <f>PCS!I47</f>
        <v>535022.68925167469</v>
      </c>
      <c r="H40" s="260">
        <f>Police!L41</f>
        <v>114571.83931514798</v>
      </c>
      <c r="I40" s="343">
        <f t="shared" si="0"/>
        <v>1048784.1767988882</v>
      </c>
      <c r="J40" s="138"/>
    </row>
    <row r="41" spans="1:10" s="86" customFormat="1" x14ac:dyDescent="0.25">
      <c r="A41" s="298">
        <f>Données!A42</f>
        <v>5474</v>
      </c>
      <c r="B41" s="302" t="str">
        <f>Données!B42</f>
        <v>La Chaux (Cossonay)</v>
      </c>
      <c r="C41" s="300">
        <f>VPI!Q42</f>
        <v>76</v>
      </c>
      <c r="D41" s="305">
        <f>Données!Z42</f>
        <v>433</v>
      </c>
      <c r="E41" s="137">
        <f>VPI!R42</f>
        <v>14789.202587719299</v>
      </c>
      <c r="F41" s="234">
        <f>'Péréquation directe'!K48</f>
        <v>75869.743072882091</v>
      </c>
      <c r="G41" s="244">
        <f>PCS!I48</f>
        <v>219658.81878326472</v>
      </c>
      <c r="H41" s="260">
        <f>Police!L42</f>
        <v>44218.406302308998</v>
      </c>
      <c r="I41" s="343">
        <f t="shared" si="0"/>
        <v>339746.9681584558</v>
      </c>
      <c r="J41" s="138"/>
    </row>
    <row r="42" spans="1:10" s="86" customFormat="1" x14ac:dyDescent="0.25">
      <c r="A42" s="298">
        <f>Données!A43</f>
        <v>5475</v>
      </c>
      <c r="B42" s="302" t="str">
        <f>Données!B43</f>
        <v>Chavannes-le-Veyron</v>
      </c>
      <c r="C42" s="300">
        <f>VPI!Q43</f>
        <v>75</v>
      </c>
      <c r="D42" s="305">
        <f>Données!Z43</f>
        <v>158</v>
      </c>
      <c r="E42" s="137">
        <f>VPI!R43</f>
        <v>4582.5893333333333</v>
      </c>
      <c r="F42" s="234">
        <f>'Péréquation directe'!K49</f>
        <v>-4857.8321570207627</v>
      </c>
      <c r="G42" s="244">
        <f>PCS!I49</f>
        <v>73983.297825235291</v>
      </c>
      <c r="H42" s="260">
        <f>Police!L43</f>
        <v>13620.013832554121</v>
      </c>
      <c r="I42" s="343">
        <f t="shared" si="0"/>
        <v>82745.479500768648</v>
      </c>
      <c r="J42" s="138"/>
    </row>
    <row r="43" spans="1:10" s="86" customFormat="1" x14ac:dyDescent="0.25">
      <c r="A43" s="298">
        <f>Données!A44</f>
        <v>5476</v>
      </c>
      <c r="B43" s="302" t="str">
        <f>Données!B44</f>
        <v>Chevilly</v>
      </c>
      <c r="C43" s="300">
        <f>VPI!Q44</f>
        <v>71</v>
      </c>
      <c r="D43" s="305">
        <f>Données!Z44</f>
        <v>337</v>
      </c>
      <c r="E43" s="137">
        <f>VPI!R44</f>
        <v>13414.448028169016</v>
      </c>
      <c r="F43" s="234">
        <f>'Péréquation directe'!K50</f>
        <v>149290.19512082217</v>
      </c>
      <c r="G43" s="244">
        <f>PCS!I50</f>
        <v>193247.15450088406</v>
      </c>
      <c r="H43" s="260">
        <f>Police!L44</f>
        <v>40128.816401331715</v>
      </c>
      <c r="I43" s="343">
        <f t="shared" si="0"/>
        <v>382666.16602303798</v>
      </c>
      <c r="J43" s="138"/>
    </row>
    <row r="44" spans="1:10" s="86" customFormat="1" x14ac:dyDescent="0.25">
      <c r="A44" s="298">
        <f>Données!A45</f>
        <v>5477</v>
      </c>
      <c r="B44" s="302" t="str">
        <f>Données!B45</f>
        <v>Cossonay</v>
      </c>
      <c r="C44" s="300">
        <f>VPI!Q45</f>
        <v>68</v>
      </c>
      <c r="D44" s="305">
        <f>Données!Z45</f>
        <v>4772</v>
      </c>
      <c r="E44" s="137">
        <f>VPI!R45</f>
        <v>157014.45764705885</v>
      </c>
      <c r="F44" s="234">
        <f>'Péréquation directe'!K51</f>
        <v>-222948.45597251877</v>
      </c>
      <c r="G44" s="244">
        <f>PCS!I51</f>
        <v>2632848.8195586074</v>
      </c>
      <c r="H44" s="260">
        <f>Police!L45</f>
        <v>465435.8895964335</v>
      </c>
      <c r="I44" s="343">
        <f t="shared" si="0"/>
        <v>2875336.253182522</v>
      </c>
      <c r="J44" s="138"/>
    </row>
    <row r="45" spans="1:10" s="86" customFormat="1" x14ac:dyDescent="0.25">
      <c r="A45" s="298">
        <f>Données!A46</f>
        <v>5479</v>
      </c>
      <c r="B45" s="302" t="str">
        <f>Données!B46</f>
        <v>Cuarnens</v>
      </c>
      <c r="C45" s="300">
        <f>VPI!Q46</f>
        <v>76</v>
      </c>
      <c r="D45" s="305">
        <f>Données!Z46</f>
        <v>541</v>
      </c>
      <c r="E45" s="137">
        <f>VPI!R46</f>
        <v>18824.412763157892</v>
      </c>
      <c r="F45" s="234">
        <f>'Péréquation directe'!K52</f>
        <v>109474.63393059949</v>
      </c>
      <c r="G45" s="244">
        <f>PCS!I52</f>
        <v>258111.74415690335</v>
      </c>
      <c r="H45" s="260">
        <f>Police!L46</f>
        <v>56180.753667082521</v>
      </c>
      <c r="I45" s="343">
        <f t="shared" si="0"/>
        <v>423767.13175458537</v>
      </c>
      <c r="J45" s="138"/>
    </row>
    <row r="46" spans="1:10" s="86" customFormat="1" x14ac:dyDescent="0.25">
      <c r="A46" s="298">
        <f>Données!A47</f>
        <v>5480</v>
      </c>
      <c r="B46" s="302" t="str">
        <f>Données!B47</f>
        <v>Daillens</v>
      </c>
      <c r="C46" s="300">
        <f>VPI!Q47</f>
        <v>66</v>
      </c>
      <c r="D46" s="305">
        <f>Données!Z47</f>
        <v>1062</v>
      </c>
      <c r="E46" s="137">
        <f>VPI!R47</f>
        <v>49216.067727272741</v>
      </c>
      <c r="F46" s="234">
        <f>'Péréquation directe'!K53</f>
        <v>738704.88421456562</v>
      </c>
      <c r="G46" s="244">
        <f>PCS!I53</f>
        <v>776764.05358553235</v>
      </c>
      <c r="H46" s="260">
        <f>Police!L47</f>
        <v>143301.54130298269</v>
      </c>
      <c r="I46" s="343">
        <f t="shared" si="0"/>
        <v>1658770.4791030807</v>
      </c>
      <c r="J46" s="138"/>
    </row>
    <row r="47" spans="1:10" s="86" customFormat="1" x14ac:dyDescent="0.25">
      <c r="A47" s="298">
        <f>Données!A48</f>
        <v>5481</v>
      </c>
      <c r="B47" s="302" t="str">
        <f>Données!B48</f>
        <v>Dizy</v>
      </c>
      <c r="C47" s="300">
        <f>VPI!Q48</f>
        <v>75</v>
      </c>
      <c r="D47" s="305">
        <f>Données!Z48</f>
        <v>237</v>
      </c>
      <c r="E47" s="137">
        <f>VPI!R48</f>
        <v>8943.6092000000008</v>
      </c>
      <c r="F47" s="234">
        <f>'Péréquation directe'!K54</f>
        <v>79172.673752688657</v>
      </c>
      <c r="G47" s="244">
        <f>PCS!I54</f>
        <v>140162.99532056719</v>
      </c>
      <c r="H47" s="260">
        <f>Police!L48</f>
        <v>26852.901618005948</v>
      </c>
      <c r="I47" s="343">
        <f t="shared" si="0"/>
        <v>246188.57069126179</v>
      </c>
      <c r="J47" s="138"/>
    </row>
    <row r="48" spans="1:10" s="86" customFormat="1" x14ac:dyDescent="0.25">
      <c r="A48" s="298">
        <f>Données!A49</f>
        <v>5482</v>
      </c>
      <c r="B48" s="302" t="str">
        <f>Données!B49</f>
        <v>Eclépens</v>
      </c>
      <c r="C48" s="300">
        <f>VPI!Q49</f>
        <v>46</v>
      </c>
      <c r="D48" s="305">
        <f>Données!Z49</f>
        <v>1182</v>
      </c>
      <c r="E48" s="137">
        <f>VPI!R49</f>
        <v>57580.307391304363</v>
      </c>
      <c r="F48" s="234">
        <f>'Péréquation directe'!K55</f>
        <v>906263.6879039316</v>
      </c>
      <c r="G48" s="244">
        <f>PCS!I55</f>
        <v>913948.82395151118</v>
      </c>
      <c r="H48" s="260">
        <f>Police!L49</f>
        <v>159735.59984264089</v>
      </c>
      <c r="I48" s="343">
        <f t="shared" si="0"/>
        <v>1979948.1116980836</v>
      </c>
      <c r="J48" s="138"/>
    </row>
    <row r="49" spans="1:10" s="86" customFormat="1" x14ac:dyDescent="0.25">
      <c r="A49" s="298">
        <f>Données!A50</f>
        <v>5483</v>
      </c>
      <c r="B49" s="302" t="str">
        <f>Données!B50</f>
        <v>Ferreyres</v>
      </c>
      <c r="C49" s="300">
        <f>VPI!Q50</f>
        <v>76</v>
      </c>
      <c r="D49" s="305">
        <f>Données!Z50</f>
        <v>319</v>
      </c>
      <c r="E49" s="137">
        <f>VPI!R50</f>
        <v>11908.696842105262</v>
      </c>
      <c r="F49" s="234">
        <f>'Péréquation directe'!K56</f>
        <v>98830.108511562343</v>
      </c>
      <c r="G49" s="244">
        <f>PCS!I56</f>
        <v>141323.50691827756</v>
      </c>
      <c r="H49" s="260">
        <f>Police!L50</f>
        <v>35687.681891806169</v>
      </c>
      <c r="I49" s="343">
        <f t="shared" si="0"/>
        <v>275841.29732164607</v>
      </c>
      <c r="J49" s="138"/>
    </row>
    <row r="50" spans="1:10" s="86" customFormat="1" x14ac:dyDescent="0.25">
      <c r="A50" s="298">
        <f>Données!A51</f>
        <v>5484</v>
      </c>
      <c r="B50" s="302" t="str">
        <f>Données!B51</f>
        <v>Gollion</v>
      </c>
      <c r="C50" s="300">
        <f>VPI!Q51</f>
        <v>74</v>
      </c>
      <c r="D50" s="305">
        <f>Données!Z51</f>
        <v>1064</v>
      </c>
      <c r="E50" s="137">
        <f>VPI!R51</f>
        <v>34768.807162162164</v>
      </c>
      <c r="F50" s="234">
        <f>'Péréquation directe'!K57</f>
        <v>126088.22597316385</v>
      </c>
      <c r="G50" s="244">
        <f>PCS!I57</f>
        <v>508376.61099607963</v>
      </c>
      <c r="H50" s="260">
        <f>Police!L51</f>
        <v>102996.59159858692</v>
      </c>
      <c r="I50" s="343">
        <f t="shared" si="0"/>
        <v>737461.42856783036</v>
      </c>
      <c r="J50" s="138"/>
    </row>
    <row r="51" spans="1:10" s="86" customFormat="1" x14ac:dyDescent="0.25">
      <c r="A51" s="298">
        <f>Données!A52</f>
        <v>5485</v>
      </c>
      <c r="B51" s="302" t="str">
        <f>Données!B52</f>
        <v>Grancy</v>
      </c>
      <c r="C51" s="300">
        <f>VPI!Q52</f>
        <v>70</v>
      </c>
      <c r="D51" s="305">
        <f>Données!Z52</f>
        <v>547</v>
      </c>
      <c r="E51" s="137">
        <f>VPI!R52</f>
        <v>29330.080571428571</v>
      </c>
      <c r="F51" s="234">
        <f>'Péréquation directe'!K58</f>
        <v>494532.90865549532</v>
      </c>
      <c r="G51" s="244">
        <f>PCS!I58</f>
        <v>393518.2795511118</v>
      </c>
      <c r="H51" s="260">
        <f>Police!L52</f>
        <v>82944.040373000782</v>
      </c>
      <c r="I51" s="343">
        <f t="shared" si="0"/>
        <v>970995.22857960791</v>
      </c>
      <c r="J51" s="138"/>
    </row>
    <row r="52" spans="1:10" s="86" customFormat="1" x14ac:dyDescent="0.25">
      <c r="A52" s="298">
        <f>Données!A53</f>
        <v>5486</v>
      </c>
      <c r="B52" s="302" t="str">
        <f>Données!B53</f>
        <v>L'Isle</v>
      </c>
      <c r="C52" s="300">
        <f>VPI!Q53</f>
        <v>75</v>
      </c>
      <c r="D52" s="305">
        <f>Données!Z53</f>
        <v>1088</v>
      </c>
      <c r="E52" s="137">
        <f>VPI!R53</f>
        <v>33915.013599999991</v>
      </c>
      <c r="F52" s="234">
        <f>'Péréquation directe'!K59</f>
        <v>44314.088425123366</v>
      </c>
      <c r="G52" s="244">
        <f>PCS!I59</f>
        <v>485515.11178788554</v>
      </c>
      <c r="H52" s="260">
        <f>Police!L53</f>
        <v>100273.60385899307</v>
      </c>
      <c r="I52" s="343">
        <f t="shared" si="0"/>
        <v>630102.80407200195</v>
      </c>
      <c r="J52" s="138"/>
    </row>
    <row r="53" spans="1:10" s="86" customFormat="1" x14ac:dyDescent="0.25">
      <c r="A53" s="298">
        <f>Données!A54</f>
        <v>5487</v>
      </c>
      <c r="B53" s="302" t="str">
        <f>Données!B54</f>
        <v>Lussery-Villars</v>
      </c>
      <c r="C53" s="300">
        <f>VPI!Q54</f>
        <v>75</v>
      </c>
      <c r="D53" s="305">
        <f>Données!Z54</f>
        <v>473</v>
      </c>
      <c r="E53" s="137">
        <f>VPI!R54</f>
        <v>14930.073733333335</v>
      </c>
      <c r="F53" s="234">
        <f>'Péréquation directe'!K60</f>
        <v>36057.742568055459</v>
      </c>
      <c r="G53" s="244">
        <f>PCS!I60</f>
        <v>214621.24826880032</v>
      </c>
      <c r="H53" s="260">
        <f>Police!L54</f>
        <v>44408.707626977739</v>
      </c>
      <c r="I53" s="343">
        <f t="shared" si="0"/>
        <v>295087.69846383354</v>
      </c>
      <c r="J53" s="138"/>
    </row>
    <row r="54" spans="1:10" s="86" customFormat="1" x14ac:dyDescent="0.25">
      <c r="A54" s="298">
        <f>Données!A55</f>
        <v>5488</v>
      </c>
      <c r="B54" s="302" t="str">
        <f>Données!B55</f>
        <v>Mauraz</v>
      </c>
      <c r="C54" s="300">
        <f>VPI!Q55</f>
        <v>77</v>
      </c>
      <c r="D54" s="305">
        <f>Données!Z55</f>
        <v>64</v>
      </c>
      <c r="E54" s="137">
        <f>VPI!R55</f>
        <v>1845.4819480519479</v>
      </c>
      <c r="F54" s="234">
        <f>'Péréquation directe'!K61</f>
        <v>-4019.6882424436917</v>
      </c>
      <c r="G54" s="244">
        <f>PCS!I61</f>
        <v>25153.158875095774</v>
      </c>
      <c r="H54" s="260">
        <f>Police!L55</f>
        <v>5520.0384224637164</v>
      </c>
      <c r="I54" s="343">
        <f t="shared" si="0"/>
        <v>26653.509055115799</v>
      </c>
      <c r="J54" s="138"/>
    </row>
    <row r="55" spans="1:10" s="86" customFormat="1" x14ac:dyDescent="0.25">
      <c r="A55" s="298">
        <f>Données!A56</f>
        <v>5489</v>
      </c>
      <c r="B55" s="302" t="str">
        <f>Données!B56</f>
        <v>Mex</v>
      </c>
      <c r="C55" s="300">
        <f>VPI!Q56</f>
        <v>59.5</v>
      </c>
      <c r="D55" s="305">
        <f>Données!Z56</f>
        <v>816</v>
      </c>
      <c r="E55" s="137">
        <f>VPI!R56</f>
        <v>61579.806386554606</v>
      </c>
      <c r="F55" s="234">
        <f>'Péréquation directe'!K62</f>
        <v>1081898.6991619787</v>
      </c>
      <c r="G55" s="244">
        <f>PCS!I62</f>
        <v>1309482.9522950375</v>
      </c>
      <c r="H55" s="260">
        <f>Police!L56</f>
        <v>143814.75571709522</v>
      </c>
      <c r="I55" s="343">
        <f t="shared" si="0"/>
        <v>2535196.4071741113</v>
      </c>
      <c r="J55" s="138"/>
    </row>
    <row r="56" spans="1:10" s="86" customFormat="1" x14ac:dyDescent="0.25">
      <c r="A56" s="298">
        <f>Données!A57</f>
        <v>5490</v>
      </c>
      <c r="B56" s="302" t="str">
        <f>Données!B57</f>
        <v>Moiry</v>
      </c>
      <c r="C56" s="300">
        <f>VPI!Q57</f>
        <v>76</v>
      </c>
      <c r="D56" s="305">
        <f>Données!Z57</f>
        <v>297</v>
      </c>
      <c r="E56" s="137">
        <f>VPI!R57</f>
        <v>9143.6155263157889</v>
      </c>
      <c r="F56" s="234">
        <f>'Péréquation directe'!K63</f>
        <v>9643.186333655176</v>
      </c>
      <c r="G56" s="244">
        <f>PCS!I63</f>
        <v>109406.24820102873</v>
      </c>
      <c r="H56" s="260">
        <f>Police!L57</f>
        <v>27310.559732151305</v>
      </c>
      <c r="I56" s="343">
        <f t="shared" si="0"/>
        <v>146359.99426683522</v>
      </c>
      <c r="J56" s="138"/>
    </row>
    <row r="57" spans="1:10" s="86" customFormat="1" x14ac:dyDescent="0.25">
      <c r="A57" s="298">
        <f>Données!A58</f>
        <v>5491</v>
      </c>
      <c r="B57" s="302" t="str">
        <f>Données!B58</f>
        <v>Mont-la-Ville</v>
      </c>
      <c r="C57" s="300">
        <f>VPI!Q58</f>
        <v>76</v>
      </c>
      <c r="D57" s="305">
        <f>Données!Z58</f>
        <v>497</v>
      </c>
      <c r="E57" s="137">
        <f>VPI!R58</f>
        <v>14485.97789473684</v>
      </c>
      <c r="F57" s="234">
        <f>'Péréquation directe'!K64</f>
        <v>-18397.985790575738</v>
      </c>
      <c r="G57" s="244">
        <f>PCS!I64</f>
        <v>194179.46831549599</v>
      </c>
      <c r="H57" s="260">
        <f>Police!L58</f>
        <v>42709.352167184683</v>
      </c>
      <c r="I57" s="343">
        <f t="shared" si="0"/>
        <v>218490.83469210495</v>
      </c>
      <c r="J57" s="138"/>
    </row>
    <row r="58" spans="1:10" s="86" customFormat="1" x14ac:dyDescent="0.25">
      <c r="A58" s="298">
        <f>Données!A59</f>
        <v>5492</v>
      </c>
      <c r="B58" s="302" t="str">
        <f>Données!B59</f>
        <v>Montricher</v>
      </c>
      <c r="C58" s="300">
        <f>VPI!Q59</f>
        <v>64</v>
      </c>
      <c r="D58" s="305">
        <f>Données!Z59</f>
        <v>962</v>
      </c>
      <c r="E58" s="137">
        <f>VPI!R59</f>
        <v>196115.50781249997</v>
      </c>
      <c r="F58" s="234">
        <f>'Péréquation directe'!K65</f>
        <v>2587311.4591757301</v>
      </c>
      <c r="G58" s="244">
        <f>PCS!I65</f>
        <v>6933109.1158242682</v>
      </c>
      <c r="H58" s="260">
        <f>Police!L59</f>
        <v>308689.67667448521</v>
      </c>
      <c r="I58" s="343">
        <f t="shared" si="0"/>
        <v>9829110.2516744845</v>
      </c>
      <c r="J58" s="138"/>
    </row>
    <row r="59" spans="1:10" s="86" customFormat="1" x14ac:dyDescent="0.25">
      <c r="A59" s="298">
        <f>Données!A60</f>
        <v>5493</v>
      </c>
      <c r="B59" s="302" t="str">
        <f>Données!B60</f>
        <v>Orny</v>
      </c>
      <c r="C59" s="300">
        <f>VPI!Q60</f>
        <v>73</v>
      </c>
      <c r="D59" s="305">
        <f>Données!Z60</f>
        <v>500</v>
      </c>
      <c r="E59" s="137">
        <f>VPI!R60</f>
        <v>15159.363245521601</v>
      </c>
      <c r="F59" s="234">
        <f>'Péréquation directe'!K66</f>
        <v>23407.299965061829</v>
      </c>
      <c r="G59" s="244">
        <f>PCS!I66</f>
        <v>247149.50114638929</v>
      </c>
      <c r="H59" s="260">
        <f>Police!L60</f>
        <v>45027.490117536312</v>
      </c>
      <c r="I59" s="343">
        <f t="shared" si="0"/>
        <v>315584.29122898745</v>
      </c>
      <c r="J59" s="138"/>
    </row>
    <row r="60" spans="1:10" s="86" customFormat="1" x14ac:dyDescent="0.25">
      <c r="A60" s="298">
        <f>Données!A61</f>
        <v>5495</v>
      </c>
      <c r="B60" s="302" t="str">
        <f>Données!B61</f>
        <v>Penthalaz</v>
      </c>
      <c r="C60" s="300">
        <f>VPI!Q61</f>
        <v>72.5</v>
      </c>
      <c r="D60" s="305">
        <f>Données!Z61</f>
        <v>3199</v>
      </c>
      <c r="E60" s="137">
        <f>VPI!R61</f>
        <v>95849.092413793114</v>
      </c>
      <c r="F60" s="234">
        <f>'Péréquation directe'!K67</f>
        <v>-428898.80134921568</v>
      </c>
      <c r="G60" s="244">
        <f>PCS!I67</f>
        <v>1365239.2692596139</v>
      </c>
      <c r="H60" s="260">
        <f>Police!L61</f>
        <v>283633.68673229392</v>
      </c>
      <c r="I60" s="343">
        <f t="shared" si="0"/>
        <v>1219974.1546426923</v>
      </c>
      <c r="J60" s="138"/>
    </row>
    <row r="61" spans="1:10" s="86" customFormat="1" x14ac:dyDescent="0.25">
      <c r="A61" s="298">
        <f>Données!A62</f>
        <v>5496</v>
      </c>
      <c r="B61" s="302" t="str">
        <f>Données!B62</f>
        <v>Penthaz</v>
      </c>
      <c r="C61" s="300">
        <f>VPI!Q62</f>
        <v>69.5</v>
      </c>
      <c r="D61" s="305">
        <f>Données!Z62</f>
        <v>1899</v>
      </c>
      <c r="E61" s="137">
        <f>VPI!R62</f>
        <v>67087.565323741001</v>
      </c>
      <c r="F61" s="234">
        <f>'Péréquation directe'!K68</f>
        <v>316227.03776114318</v>
      </c>
      <c r="G61" s="244">
        <f>PCS!I68</f>
        <v>991699.57977264398</v>
      </c>
      <c r="H61" s="260">
        <f>Police!L62</f>
        <v>198192.72836824442</v>
      </c>
      <c r="I61" s="343">
        <f t="shared" si="0"/>
        <v>1506119.3459020315</v>
      </c>
      <c r="J61" s="138"/>
    </row>
    <row r="62" spans="1:10" s="86" customFormat="1" x14ac:dyDescent="0.25">
      <c r="A62" s="298">
        <f>Données!A63</f>
        <v>5497</v>
      </c>
      <c r="B62" s="302" t="str">
        <f>Données!B63</f>
        <v>Pompaples</v>
      </c>
      <c r="C62" s="300">
        <f>VPI!Q63</f>
        <v>66</v>
      </c>
      <c r="D62" s="305">
        <f>Données!Z63</f>
        <v>926</v>
      </c>
      <c r="E62" s="137">
        <f>VPI!R63</f>
        <v>25508.981363636369</v>
      </c>
      <c r="F62" s="234">
        <f>'Péréquation directe'!K69</f>
        <v>18038.701805238263</v>
      </c>
      <c r="G62" s="244">
        <f>PCS!I69</f>
        <v>478401.02719298442</v>
      </c>
      <c r="H62" s="260">
        <f>Police!L63</f>
        <v>75333.41252197935</v>
      </c>
      <c r="I62" s="343">
        <f t="shared" si="0"/>
        <v>571773.14152020204</v>
      </c>
      <c r="J62" s="138"/>
    </row>
    <row r="63" spans="1:10" s="86" customFormat="1" x14ac:dyDescent="0.25">
      <c r="A63" s="298">
        <f>Données!A64</f>
        <v>5498</v>
      </c>
      <c r="B63" s="302" t="str">
        <f>Données!B64</f>
        <v>La Sarraz</v>
      </c>
      <c r="C63" s="300">
        <f>VPI!Q64</f>
        <v>66</v>
      </c>
      <c r="D63" s="305">
        <f>Données!Z64</f>
        <v>2599</v>
      </c>
      <c r="E63" s="137">
        <f>VPI!R64</f>
        <v>78158.734848484863</v>
      </c>
      <c r="F63" s="234">
        <f>'Péréquation directe'!K70</f>
        <v>-85994.030993937748</v>
      </c>
      <c r="G63" s="244">
        <f>PCS!I70</f>
        <v>1103952.7923444717</v>
      </c>
      <c r="H63" s="260">
        <f>Police!L64</f>
        <v>230724.8289350711</v>
      </c>
      <c r="I63" s="343">
        <f t="shared" si="0"/>
        <v>1248683.5902856051</v>
      </c>
      <c r="J63" s="138"/>
    </row>
    <row r="64" spans="1:10" s="86" customFormat="1" x14ac:dyDescent="0.25">
      <c r="A64" s="298">
        <f>Données!A65</f>
        <v>5499</v>
      </c>
      <c r="B64" s="302" t="str">
        <f>Données!B65</f>
        <v>Senarclens</v>
      </c>
      <c r="C64" s="300">
        <f>VPI!Q65</f>
        <v>68.5</v>
      </c>
      <c r="D64" s="305">
        <f>Données!Z65</f>
        <v>491</v>
      </c>
      <c r="E64" s="137">
        <f>VPI!R65</f>
        <v>25627.946715328464</v>
      </c>
      <c r="F64" s="234">
        <f>'Péréquation directe'!K71</f>
        <v>430400.54728047433</v>
      </c>
      <c r="G64" s="244">
        <f>PCS!I71</f>
        <v>409913.02235805977</v>
      </c>
      <c r="H64" s="260">
        <f>Police!L65</f>
        <v>73664.611494512967</v>
      </c>
      <c r="I64" s="343">
        <f t="shared" si="0"/>
        <v>913978.1811330471</v>
      </c>
      <c r="J64" s="138"/>
    </row>
    <row r="65" spans="1:10" s="86" customFormat="1" x14ac:dyDescent="0.25">
      <c r="A65" s="298">
        <f>Données!A66</f>
        <v>5501</v>
      </c>
      <c r="B65" s="302" t="str">
        <f>Données!B66</f>
        <v>Sullens</v>
      </c>
      <c r="C65" s="300">
        <f>VPI!Q66</f>
        <v>64</v>
      </c>
      <c r="D65" s="305">
        <f>Données!Z66</f>
        <v>1198</v>
      </c>
      <c r="E65" s="137">
        <f>VPI!R66</f>
        <v>54206.164375000008</v>
      </c>
      <c r="F65" s="234">
        <f>'Péréquation directe'!K72</f>
        <v>760133.5244404953</v>
      </c>
      <c r="G65" s="244">
        <f>PCS!I72</f>
        <v>759204.14489973034</v>
      </c>
      <c r="H65" s="260">
        <f>Police!L66</f>
        <v>161213.38030794999</v>
      </c>
      <c r="I65" s="343">
        <f t="shared" si="0"/>
        <v>1680551.0496481757</v>
      </c>
      <c r="J65" s="138"/>
    </row>
    <row r="66" spans="1:10" s="86" customFormat="1" x14ac:dyDescent="0.25">
      <c r="A66" s="298">
        <f>Données!A67</f>
        <v>5503</v>
      </c>
      <c r="B66" s="302" t="str">
        <f>Données!B67</f>
        <v>Vufflens-la-Ville</v>
      </c>
      <c r="C66" s="300">
        <f>VPI!Q67</f>
        <v>67</v>
      </c>
      <c r="D66" s="305">
        <f>Données!Z67</f>
        <v>1336</v>
      </c>
      <c r="E66" s="137">
        <f>VPI!R67</f>
        <v>77419.766343283569</v>
      </c>
      <c r="F66" s="234">
        <f>'Péréquation directe'!K73</f>
        <v>1240191.2467790616</v>
      </c>
      <c r="G66" s="244">
        <f>PCS!I73</f>
        <v>1225685.7967978434</v>
      </c>
      <c r="H66" s="260">
        <f>Police!L67</f>
        <v>209098.8607541027</v>
      </c>
      <c r="I66" s="343">
        <f t="shared" si="0"/>
        <v>2674975.904331008</v>
      </c>
      <c r="J66" s="138"/>
    </row>
    <row r="67" spans="1:10" s="86" customFormat="1" x14ac:dyDescent="0.25">
      <c r="A67" s="298">
        <f>Données!A68</f>
        <v>5511</v>
      </c>
      <c r="B67" s="302" t="str">
        <f>Données!B68</f>
        <v>Assens</v>
      </c>
      <c r="C67" s="300">
        <f>VPI!Q68</f>
        <v>70</v>
      </c>
      <c r="D67" s="305">
        <f>Données!Z68</f>
        <v>1698</v>
      </c>
      <c r="E67" s="137">
        <f>VPI!R68</f>
        <v>74810.046857142865</v>
      </c>
      <c r="F67" s="234">
        <f>'Péréquation directe'!K74</f>
        <v>877359.63675698906</v>
      </c>
      <c r="G67" s="244">
        <f>PCS!I74</f>
        <v>1103475.9549244589</v>
      </c>
      <c r="H67" s="260">
        <f>Police!L68</f>
        <v>221595.05755894893</v>
      </c>
      <c r="I67" s="343">
        <f t="shared" si="0"/>
        <v>2202430.6492403969</v>
      </c>
      <c r="J67" s="138"/>
    </row>
    <row r="68" spans="1:10" s="86" customFormat="1" x14ac:dyDescent="0.25">
      <c r="A68" s="298">
        <f>Données!A69</f>
        <v>5512</v>
      </c>
      <c r="B68" s="302" t="str">
        <f>Données!B69</f>
        <v>Bercher</v>
      </c>
      <c r="C68" s="300">
        <f>VPI!Q69</f>
        <v>79</v>
      </c>
      <c r="D68" s="305">
        <f>Données!Z69</f>
        <v>1330</v>
      </c>
      <c r="E68" s="137">
        <f>VPI!R69</f>
        <v>42301.871392405068</v>
      </c>
      <c r="F68" s="234">
        <f>'Péréquation directe'!K75</f>
        <v>-20882.100181949907</v>
      </c>
      <c r="G68" s="244">
        <f>PCS!I75</f>
        <v>589024.20876154234</v>
      </c>
      <c r="H68" s="260">
        <f>Police!L69</f>
        <v>124756.25072108727</v>
      </c>
      <c r="I68" s="343">
        <f t="shared" si="0"/>
        <v>692898.35930067976</v>
      </c>
      <c r="J68" s="138"/>
    </row>
    <row r="69" spans="1:10" s="86" customFormat="1" x14ac:dyDescent="0.25">
      <c r="A69" s="298">
        <f>Données!A70</f>
        <v>5514</v>
      </c>
      <c r="B69" s="302" t="str">
        <f>Données!B70</f>
        <v>Bottens</v>
      </c>
      <c r="C69" s="300">
        <f>VPI!Q70</f>
        <v>72.5</v>
      </c>
      <c r="D69" s="305">
        <f>Données!Z70</f>
        <v>1378</v>
      </c>
      <c r="E69" s="137">
        <f>VPI!R70</f>
        <v>45049.61903448277</v>
      </c>
      <c r="F69" s="234">
        <f>'Péréquation directe'!K76</f>
        <v>114731.37459933176</v>
      </c>
      <c r="G69" s="244">
        <f>PCS!I76</f>
        <v>652380.73078015062</v>
      </c>
      <c r="H69" s="260">
        <f>Police!L70</f>
        <v>133652.03054393109</v>
      </c>
      <c r="I69" s="343">
        <f t="shared" si="0"/>
        <v>900764.13592341344</v>
      </c>
      <c r="J69" s="138"/>
    </row>
    <row r="70" spans="1:10" s="86" customFormat="1" x14ac:dyDescent="0.25">
      <c r="A70" s="298">
        <f>Données!A71</f>
        <v>5515</v>
      </c>
      <c r="B70" s="302" t="str">
        <f>Données!B71</f>
        <v>Bretigny-sur-Morrens</v>
      </c>
      <c r="C70" s="300">
        <f>VPI!Q71</f>
        <v>78</v>
      </c>
      <c r="D70" s="305">
        <f>Données!Z71</f>
        <v>893</v>
      </c>
      <c r="E70" s="137">
        <f>VPI!R71</f>
        <v>32261.164358974351</v>
      </c>
      <c r="F70" s="234">
        <f>'Péréquation directe'!K77</f>
        <v>216430.85897224571</v>
      </c>
      <c r="G70" s="244">
        <f>PCS!I77</f>
        <v>446117.38271740102</v>
      </c>
      <c r="H70" s="260">
        <f>Police!L71</f>
        <v>95470.058591496199</v>
      </c>
      <c r="I70" s="343">
        <f t="shared" ref="I70:I133" si="1">SUM(F70:H70)</f>
        <v>758018.30028114293</v>
      </c>
      <c r="J70" s="138"/>
    </row>
    <row r="71" spans="1:10" s="86" customFormat="1" x14ac:dyDescent="0.25">
      <c r="A71" s="298">
        <f>Données!A72</f>
        <v>5516</v>
      </c>
      <c r="B71" s="302" t="str">
        <f>Données!B72</f>
        <v>Cugy</v>
      </c>
      <c r="C71" s="300">
        <f>VPI!Q72</f>
        <v>76</v>
      </c>
      <c r="D71" s="305">
        <f>Données!Z72</f>
        <v>2733</v>
      </c>
      <c r="E71" s="137">
        <f>VPI!R72</f>
        <v>114099.68980263159</v>
      </c>
      <c r="F71" s="234">
        <f>'Péréquation directe'!K78</f>
        <v>949187.49721685331</v>
      </c>
      <c r="G71" s="244">
        <f>PCS!I78</f>
        <v>1549959.1415127337</v>
      </c>
      <c r="H71" s="260">
        <f>Police!L72</f>
        <v>339587.24168452853</v>
      </c>
      <c r="I71" s="343">
        <f t="shared" si="1"/>
        <v>2838733.8804141157</v>
      </c>
      <c r="J71" s="138"/>
    </row>
    <row r="72" spans="1:10" s="86" customFormat="1" x14ac:dyDescent="0.25">
      <c r="A72" s="298">
        <f>Données!A73</f>
        <v>5518</v>
      </c>
      <c r="B72" s="302" t="str">
        <f>Données!B73</f>
        <v>Echallens</v>
      </c>
      <c r="C72" s="300">
        <f>VPI!Q73</f>
        <v>72.5</v>
      </c>
      <c r="D72" s="305">
        <f>Données!Z73</f>
        <v>6572</v>
      </c>
      <c r="E72" s="137">
        <f>VPI!R73</f>
        <v>201769.75393103444</v>
      </c>
      <c r="F72" s="234">
        <f>'Péréquation directe'!K79</f>
        <v>-1597088.5417012339</v>
      </c>
      <c r="G72" s="244">
        <f>PCS!I79</f>
        <v>3627330.4470353671</v>
      </c>
      <c r="H72" s="260">
        <f>Police!L73</f>
        <v>595836.53504744952</v>
      </c>
      <c r="I72" s="343">
        <f t="shared" si="1"/>
        <v>2626078.4403815828</v>
      </c>
      <c r="J72" s="138"/>
    </row>
    <row r="73" spans="1:10" s="86" customFormat="1" x14ac:dyDescent="0.25">
      <c r="A73" s="298">
        <f>Données!A74</f>
        <v>5520</v>
      </c>
      <c r="B73" s="302" t="str">
        <f>Données!B74</f>
        <v>Essertines-sur-Yverdon</v>
      </c>
      <c r="C73" s="300">
        <f>VPI!Q74</f>
        <v>74</v>
      </c>
      <c r="D73" s="305">
        <f>Données!Z74</f>
        <v>1105</v>
      </c>
      <c r="E73" s="137">
        <f>VPI!R74</f>
        <v>32600.230945945943</v>
      </c>
      <c r="F73" s="234">
        <f>'Péréquation directe'!K80</f>
        <v>-22618.494732429506</v>
      </c>
      <c r="G73" s="244">
        <f>PCS!I80</f>
        <v>533218.46190102224</v>
      </c>
      <c r="H73" s="260">
        <f>Police!L74</f>
        <v>96083.433955612403</v>
      </c>
      <c r="I73" s="343">
        <f t="shared" si="1"/>
        <v>606683.40112420509</v>
      </c>
      <c r="J73" s="138"/>
    </row>
    <row r="74" spans="1:10" s="86" customFormat="1" x14ac:dyDescent="0.25">
      <c r="A74" s="298">
        <f>Données!A75</f>
        <v>5521</v>
      </c>
      <c r="B74" s="302" t="str">
        <f>Données!B75</f>
        <v>Etagnières</v>
      </c>
      <c r="C74" s="300">
        <f>VPI!Q75</f>
        <v>73</v>
      </c>
      <c r="D74" s="305">
        <f>Données!Z75</f>
        <v>1172</v>
      </c>
      <c r="E74" s="137">
        <f>VPI!R75</f>
        <v>45069.292328767129</v>
      </c>
      <c r="F74" s="234">
        <f>'Péréquation directe'!K81</f>
        <v>401325.8732240012</v>
      </c>
      <c r="G74" s="244">
        <f>PCS!I81</f>
        <v>623545.41947964311</v>
      </c>
      <c r="H74" s="260">
        <f>Police!L75</f>
        <v>132489.02980638333</v>
      </c>
      <c r="I74" s="343">
        <f t="shared" si="1"/>
        <v>1157360.3225100278</v>
      </c>
      <c r="J74" s="138"/>
    </row>
    <row r="75" spans="1:10" s="86" customFormat="1" x14ac:dyDescent="0.25">
      <c r="A75" s="298">
        <f>Données!A76</f>
        <v>5522</v>
      </c>
      <c r="B75" s="302" t="str">
        <f>Données!B76</f>
        <v>Fey</v>
      </c>
      <c r="C75" s="300">
        <f>VPI!Q76</f>
        <v>75</v>
      </c>
      <c r="D75" s="305">
        <f>Données!Z76</f>
        <v>763</v>
      </c>
      <c r="E75" s="137">
        <f>VPI!R76</f>
        <v>22943.940666666665</v>
      </c>
      <c r="F75" s="234">
        <f>'Péréquation directe'!K82</f>
        <v>10548.464572863537</v>
      </c>
      <c r="G75" s="244">
        <f>PCS!I82</f>
        <v>382964.83464069245</v>
      </c>
      <c r="H75" s="260">
        <f>Police!L76</f>
        <v>67800.760058981425</v>
      </c>
      <c r="I75" s="343">
        <f t="shared" si="1"/>
        <v>461314.05927253742</v>
      </c>
      <c r="J75" s="138"/>
    </row>
    <row r="76" spans="1:10" s="86" customFormat="1" x14ac:dyDescent="0.25">
      <c r="A76" s="298">
        <f>Données!A77</f>
        <v>5523</v>
      </c>
      <c r="B76" s="302" t="str">
        <f>Données!B77</f>
        <v>Froideville</v>
      </c>
      <c r="C76" s="300">
        <f>VPI!Q77</f>
        <v>72</v>
      </c>
      <c r="D76" s="305">
        <f>Données!Z77</f>
        <v>2728</v>
      </c>
      <c r="E76" s="137">
        <f>VPI!R77</f>
        <v>92586.842777777769</v>
      </c>
      <c r="F76" s="234">
        <f>'Péréquation directe'!K83</f>
        <v>145196.73628175305</v>
      </c>
      <c r="G76" s="244">
        <f>PCS!I83</f>
        <v>1291044.4774199247</v>
      </c>
      <c r="H76" s="260">
        <f>Police!L77</f>
        <v>273159.17093168409</v>
      </c>
      <c r="I76" s="343">
        <f t="shared" si="1"/>
        <v>1709400.3846333618</v>
      </c>
      <c r="J76" s="138"/>
    </row>
    <row r="77" spans="1:10" s="86" customFormat="1" x14ac:dyDescent="0.25">
      <c r="A77" s="298">
        <f>Données!A78</f>
        <v>5527</v>
      </c>
      <c r="B77" s="302" t="str">
        <f>Données!B78</f>
        <v>Morrens</v>
      </c>
      <c r="C77" s="300">
        <f>VPI!Q78</f>
        <v>74</v>
      </c>
      <c r="D77" s="305">
        <f>Données!Z78</f>
        <v>1142</v>
      </c>
      <c r="E77" s="137">
        <f>VPI!R78</f>
        <v>42908.9222972973</v>
      </c>
      <c r="F77" s="234">
        <f>'Péréquation directe'!K84</f>
        <v>348263.09218670719</v>
      </c>
      <c r="G77" s="244">
        <f>PCS!I84</f>
        <v>643541.89323291904</v>
      </c>
      <c r="H77" s="260">
        <f>Police!L78</f>
        <v>127116.72260268289</v>
      </c>
      <c r="I77" s="343">
        <f t="shared" si="1"/>
        <v>1118921.708022309</v>
      </c>
      <c r="J77" s="138"/>
    </row>
    <row r="78" spans="1:10" s="86" customFormat="1" x14ac:dyDescent="0.25">
      <c r="A78" s="298">
        <f>Données!A79</f>
        <v>5529</v>
      </c>
      <c r="B78" s="302" t="str">
        <f>Données!B79</f>
        <v>Oulens-sous-Echallens</v>
      </c>
      <c r="C78" s="300">
        <f>VPI!Q79</f>
        <v>71</v>
      </c>
      <c r="D78" s="305">
        <f>Données!Z79</f>
        <v>600</v>
      </c>
      <c r="E78" s="137">
        <f>VPI!R79</f>
        <v>22948.614507042254</v>
      </c>
      <c r="F78" s="234">
        <f>'Péréquation directe'!K85</f>
        <v>228934.13108252629</v>
      </c>
      <c r="G78" s="244">
        <f>PCS!I85</f>
        <v>292359.28670352622</v>
      </c>
      <c r="H78" s="260">
        <f>Police!L79</f>
        <v>67869.4412762461</v>
      </c>
      <c r="I78" s="343">
        <f t="shared" si="1"/>
        <v>589162.85906229867</v>
      </c>
      <c r="J78" s="138"/>
    </row>
    <row r="79" spans="1:10" s="86" customFormat="1" x14ac:dyDescent="0.25">
      <c r="A79" s="298">
        <f>Données!A80</f>
        <v>5530</v>
      </c>
      <c r="B79" s="302" t="str">
        <f>Données!B80</f>
        <v>Pailly</v>
      </c>
      <c r="C79" s="300">
        <f>VPI!Q80</f>
        <v>76</v>
      </c>
      <c r="D79" s="305">
        <f>Données!Z80</f>
        <v>576</v>
      </c>
      <c r="E79" s="137">
        <f>VPI!R80</f>
        <v>20543.565197368422</v>
      </c>
      <c r="F79" s="234">
        <f>'Péréquation directe'!K86</f>
        <v>137800.71591298122</v>
      </c>
      <c r="G79" s="244">
        <f>PCS!I86</f>
        <v>292201.10963775986</v>
      </c>
      <c r="H79" s="260">
        <f>Police!L80</f>
        <v>61264.648282814633</v>
      </c>
      <c r="I79" s="343">
        <f t="shared" si="1"/>
        <v>491266.4738335557</v>
      </c>
      <c r="J79" s="138"/>
    </row>
    <row r="80" spans="1:10" s="86" customFormat="1" x14ac:dyDescent="0.25">
      <c r="A80" s="298">
        <f>Données!A81</f>
        <v>5531</v>
      </c>
      <c r="B80" s="302" t="str">
        <f>Données!B81</f>
        <v>Penthéréaz</v>
      </c>
      <c r="C80" s="300">
        <f>VPI!Q81</f>
        <v>74</v>
      </c>
      <c r="D80" s="305">
        <f>Données!Z81</f>
        <v>437</v>
      </c>
      <c r="E80" s="137">
        <f>VPI!R81</f>
        <v>17158.758513513516</v>
      </c>
      <c r="F80" s="234">
        <f>'Péréquation directe'!K87</f>
        <v>176532.49495010797</v>
      </c>
      <c r="G80" s="244">
        <f>PCS!I87</f>
        <v>302529.67903065204</v>
      </c>
      <c r="H80" s="260">
        <f>Police!L81</f>
        <v>51299.77820340266</v>
      </c>
      <c r="I80" s="343">
        <f t="shared" si="1"/>
        <v>530361.95218416268</v>
      </c>
      <c r="J80" s="138"/>
    </row>
    <row r="81" spans="1:10" s="86" customFormat="1" x14ac:dyDescent="0.25">
      <c r="A81" s="298">
        <f>Données!A82</f>
        <v>5533</v>
      </c>
      <c r="B81" s="302" t="str">
        <f>Données!B82</f>
        <v>Poliez-Pittet</v>
      </c>
      <c r="C81" s="300">
        <f>VPI!Q82</f>
        <v>73</v>
      </c>
      <c r="D81" s="305">
        <f>Données!Z82</f>
        <v>876</v>
      </c>
      <c r="E81" s="137">
        <f>VPI!R82</f>
        <v>27174.793424657531</v>
      </c>
      <c r="F81" s="234">
        <f>'Péréquation directe'!K88</f>
        <v>65997.059455177165</v>
      </c>
      <c r="G81" s="244">
        <f>PCS!I88</f>
        <v>405373.38718321372</v>
      </c>
      <c r="H81" s="260">
        <f>Police!L82</f>
        <v>80243.085261557979</v>
      </c>
      <c r="I81" s="343">
        <f t="shared" si="1"/>
        <v>551613.53189994884</v>
      </c>
      <c r="J81" s="138"/>
    </row>
    <row r="82" spans="1:10" s="86" customFormat="1" x14ac:dyDescent="0.25">
      <c r="A82" s="298">
        <f>Données!A83</f>
        <v>5534</v>
      </c>
      <c r="B82" s="302" t="str">
        <f>Données!B83</f>
        <v>Rueyres</v>
      </c>
      <c r="C82" s="300">
        <f>VPI!Q83</f>
        <v>73</v>
      </c>
      <c r="D82" s="305">
        <f>Données!Z83</f>
        <v>302</v>
      </c>
      <c r="E82" s="137">
        <f>VPI!R83</f>
        <v>15880.296484018269</v>
      </c>
      <c r="F82" s="234">
        <f>'Péréquation directe'!K89</f>
        <v>266991.39900495816</v>
      </c>
      <c r="G82" s="244">
        <f>PCS!I89</f>
        <v>210683.29080456728</v>
      </c>
      <c r="H82" s="260">
        <f>Police!L83</f>
        <v>45441.106338174897</v>
      </c>
      <c r="I82" s="343">
        <f t="shared" si="1"/>
        <v>523115.79614770034</v>
      </c>
      <c r="J82" s="138"/>
    </row>
    <row r="83" spans="1:10" s="86" customFormat="1" x14ac:dyDescent="0.25">
      <c r="A83" s="298">
        <f>Données!A84</f>
        <v>5535</v>
      </c>
      <c r="B83" s="302" t="str">
        <f>Données!B84</f>
        <v>Saint-Barthélemy</v>
      </c>
      <c r="C83" s="300">
        <f>VPI!Q84</f>
        <v>75</v>
      </c>
      <c r="D83" s="305">
        <f>Données!Z84</f>
        <v>829</v>
      </c>
      <c r="E83" s="137">
        <f>VPI!R84</f>
        <v>27185.565066666662</v>
      </c>
      <c r="F83" s="234">
        <f>'Péréquation directe'!K90</f>
        <v>105741.70374911604</v>
      </c>
      <c r="G83" s="244">
        <f>PCS!I90</f>
        <v>377300.61704649491</v>
      </c>
      <c r="H83" s="260">
        <f>Police!L84</f>
        <v>80861.830653328187</v>
      </c>
      <c r="I83" s="343">
        <f t="shared" si="1"/>
        <v>563904.15144893911</v>
      </c>
      <c r="J83" s="138"/>
    </row>
    <row r="84" spans="1:10" s="86" customFormat="1" x14ac:dyDescent="0.25">
      <c r="A84" s="298">
        <f>Données!A85</f>
        <v>5537</v>
      </c>
      <c r="B84" s="302" t="str">
        <f>Données!B85</f>
        <v>Villars-le-Terroir</v>
      </c>
      <c r="C84" s="300">
        <f>VPI!Q85</f>
        <v>76</v>
      </c>
      <c r="D84" s="305">
        <f>Données!Z85</f>
        <v>1298</v>
      </c>
      <c r="E84" s="137">
        <f>VPI!R85</f>
        <v>37062.3994736842</v>
      </c>
      <c r="F84" s="234">
        <f>'Péréquation directe'!K91</f>
        <v>-151042.88817587832</v>
      </c>
      <c r="G84" s="244">
        <f>PCS!I91</f>
        <v>547299.46050991816</v>
      </c>
      <c r="H84" s="260">
        <f>Police!L85</f>
        <v>108744.37623866234</v>
      </c>
      <c r="I84" s="343">
        <f t="shared" si="1"/>
        <v>505000.94857270218</v>
      </c>
      <c r="J84" s="138"/>
    </row>
    <row r="85" spans="1:10" s="86" customFormat="1" x14ac:dyDescent="0.25">
      <c r="A85" s="298">
        <f>Données!A86</f>
        <v>5539</v>
      </c>
      <c r="B85" s="302" t="str">
        <f>Données!B86</f>
        <v>Vuarrens</v>
      </c>
      <c r="C85" s="300">
        <f>VPI!Q86</f>
        <v>73.5</v>
      </c>
      <c r="D85" s="305">
        <f>Données!Z86</f>
        <v>1103</v>
      </c>
      <c r="E85" s="137">
        <f>VPI!R86</f>
        <v>33245.200000000004</v>
      </c>
      <c r="F85" s="234">
        <f>'Péréquation directe'!K92</f>
        <v>13114.765723438933</v>
      </c>
      <c r="G85" s="244">
        <f>PCS!I92</f>
        <v>504465.99667599995</v>
      </c>
      <c r="H85" s="260">
        <f>Police!L86</f>
        <v>98134.673399966807</v>
      </c>
      <c r="I85" s="343">
        <f t="shared" si="1"/>
        <v>615715.43579940568</v>
      </c>
      <c r="J85" s="138"/>
    </row>
    <row r="86" spans="1:10" s="86" customFormat="1" x14ac:dyDescent="0.25">
      <c r="A86" s="298">
        <f>Données!A87</f>
        <v>5540</v>
      </c>
      <c r="B86" s="302" t="str">
        <f>Données!B87</f>
        <v>Montilliez</v>
      </c>
      <c r="C86" s="300">
        <f>VPI!Q87</f>
        <v>72.5</v>
      </c>
      <c r="D86" s="305">
        <f>Données!Z87</f>
        <v>1894</v>
      </c>
      <c r="E86" s="137">
        <f>VPI!R87</f>
        <v>73930.013586206886</v>
      </c>
      <c r="F86" s="234">
        <f>'Péréquation directe'!K93</f>
        <v>553350.12166601978</v>
      </c>
      <c r="G86" s="244">
        <f>PCS!I93</f>
        <v>970212.24991730531</v>
      </c>
      <c r="H86" s="260">
        <f>Police!L87</f>
        <v>220737.71287420564</v>
      </c>
      <c r="I86" s="343">
        <f t="shared" si="1"/>
        <v>1744300.0844575306</v>
      </c>
      <c r="J86" s="138"/>
    </row>
    <row r="87" spans="1:10" s="86" customFormat="1" x14ac:dyDescent="0.25">
      <c r="A87" s="298">
        <f>Données!A88</f>
        <v>5541</v>
      </c>
      <c r="B87" s="302" t="str">
        <f>Données!B88</f>
        <v>Goumoëns</v>
      </c>
      <c r="C87" s="300">
        <f>VPI!Q88</f>
        <v>75.5</v>
      </c>
      <c r="D87" s="305">
        <f>Données!Z88</f>
        <v>1212</v>
      </c>
      <c r="E87" s="137">
        <f>VPI!R88</f>
        <v>42494.398410596026</v>
      </c>
      <c r="F87" s="234">
        <f>'Péréquation directe'!K94</f>
        <v>214135.10512291372</v>
      </c>
      <c r="G87" s="244">
        <f>PCS!I94</f>
        <v>540837.89499756519</v>
      </c>
      <c r="H87" s="260">
        <f>Police!L88</f>
        <v>126613.11234681611</v>
      </c>
      <c r="I87" s="343">
        <f t="shared" si="1"/>
        <v>881586.11246729502</v>
      </c>
      <c r="J87" s="138"/>
    </row>
    <row r="88" spans="1:10" s="86" customFormat="1" x14ac:dyDescent="0.25">
      <c r="A88" s="298">
        <f>Données!A89</f>
        <v>5551</v>
      </c>
      <c r="B88" s="302" t="str">
        <f>Données!B89</f>
        <v>Bonvillars</v>
      </c>
      <c r="C88" s="300">
        <f>VPI!Q89</f>
        <v>57</v>
      </c>
      <c r="D88" s="305">
        <f>Données!Z89</f>
        <v>526</v>
      </c>
      <c r="E88" s="137">
        <f>VPI!R89</f>
        <v>18997.947192982458</v>
      </c>
      <c r="F88" s="234">
        <f>'Péréquation directe'!K95</f>
        <v>206739.0153691406</v>
      </c>
      <c r="G88" s="244">
        <f>PCS!I95</f>
        <v>261937.93838738426</v>
      </c>
      <c r="H88" s="260">
        <f>Police!L89</f>
        <v>54740.147211651318</v>
      </c>
      <c r="I88" s="343">
        <f t="shared" si="1"/>
        <v>523417.10096817615</v>
      </c>
      <c r="J88" s="138"/>
    </row>
    <row r="89" spans="1:10" s="86" customFormat="1" x14ac:dyDescent="0.25">
      <c r="A89" s="298">
        <f>Données!A90</f>
        <v>5552</v>
      </c>
      <c r="B89" s="302" t="str">
        <f>Données!B90</f>
        <v>Bullet</v>
      </c>
      <c r="C89" s="300">
        <f>VPI!Q90</f>
        <v>70</v>
      </c>
      <c r="D89" s="305">
        <f>Données!Z90</f>
        <v>675</v>
      </c>
      <c r="E89" s="137">
        <f>VPI!R90</f>
        <v>20424.764857142854</v>
      </c>
      <c r="F89" s="234">
        <f>'Péréquation directe'!K96</f>
        <v>52167.490053366695</v>
      </c>
      <c r="G89" s="244">
        <f>PCS!I96</f>
        <v>479389.2947716713</v>
      </c>
      <c r="H89" s="260">
        <f>Police!L90</f>
        <v>59874.683894099406</v>
      </c>
      <c r="I89" s="343">
        <f t="shared" si="1"/>
        <v>591431.46871913737</v>
      </c>
      <c r="J89" s="138"/>
    </row>
    <row r="90" spans="1:10" s="86" customFormat="1" x14ac:dyDescent="0.25">
      <c r="A90" s="298">
        <f>Données!A91</f>
        <v>5553</v>
      </c>
      <c r="B90" s="302" t="str">
        <f>Données!B91</f>
        <v>Champagne</v>
      </c>
      <c r="C90" s="300">
        <f>VPI!Q91</f>
        <v>65</v>
      </c>
      <c r="D90" s="305">
        <f>Données!Z91</f>
        <v>1071</v>
      </c>
      <c r="E90" s="137">
        <f>VPI!R91</f>
        <v>36175.512923076931</v>
      </c>
      <c r="F90" s="234">
        <f>'Péréquation directe'!K97</f>
        <v>257789.43562998914</v>
      </c>
      <c r="G90" s="244">
        <f>PCS!I97</f>
        <v>625608.59848231962</v>
      </c>
      <c r="H90" s="260">
        <f>Police!L91</f>
        <v>104401.35462034648</v>
      </c>
      <c r="I90" s="343">
        <f t="shared" si="1"/>
        <v>987799.38873265521</v>
      </c>
      <c r="J90" s="138"/>
    </row>
    <row r="91" spans="1:10" s="86" customFormat="1" x14ac:dyDescent="0.25">
      <c r="A91" s="298">
        <f>Données!A92</f>
        <v>5554</v>
      </c>
      <c r="B91" s="302" t="str">
        <f>Données!B92</f>
        <v>Concise</v>
      </c>
      <c r="C91" s="300">
        <f>VPI!Q92</f>
        <v>72</v>
      </c>
      <c r="D91" s="305">
        <f>Données!Z92</f>
        <v>1022</v>
      </c>
      <c r="E91" s="137">
        <f>VPI!R92</f>
        <v>34308.622777777782</v>
      </c>
      <c r="F91" s="234">
        <f>'Péréquation directe'!K98</f>
        <v>186934.62194168405</v>
      </c>
      <c r="G91" s="244">
        <f>PCS!I98</f>
        <v>1677260.8191268933</v>
      </c>
      <c r="H91" s="260">
        <f>Police!L92</f>
        <v>101687.52536886408</v>
      </c>
      <c r="I91" s="343">
        <f t="shared" si="1"/>
        <v>1965882.9664374415</v>
      </c>
      <c r="J91" s="138"/>
    </row>
    <row r="92" spans="1:10" s="86" customFormat="1" x14ac:dyDescent="0.25">
      <c r="A92" s="298">
        <f>Données!A93</f>
        <v>5555</v>
      </c>
      <c r="B92" s="302" t="str">
        <f>Données!B93</f>
        <v>Corcelles-près-Concise</v>
      </c>
      <c r="C92" s="300">
        <f>VPI!Q93</f>
        <v>69</v>
      </c>
      <c r="D92" s="305">
        <f>Données!Z93</f>
        <v>425</v>
      </c>
      <c r="E92" s="137">
        <f>VPI!R93</f>
        <v>13639.969855072464</v>
      </c>
      <c r="F92" s="234">
        <f>'Péréquation directe'!K99</f>
        <v>67265.477171572798</v>
      </c>
      <c r="G92" s="244">
        <f>PCS!I99</f>
        <v>250556.49257943296</v>
      </c>
      <c r="H92" s="260">
        <f>Police!L93</f>
        <v>39678.342753370263</v>
      </c>
      <c r="I92" s="343">
        <f t="shared" si="1"/>
        <v>357500.31250437605</v>
      </c>
      <c r="J92" s="138"/>
    </row>
    <row r="93" spans="1:10" s="86" customFormat="1" x14ac:dyDescent="0.25">
      <c r="A93" s="298">
        <f>Données!A94</f>
        <v>5556</v>
      </c>
      <c r="B93" s="302" t="str">
        <f>Données!B94</f>
        <v>Fiez</v>
      </c>
      <c r="C93" s="300">
        <f>VPI!Q94</f>
        <v>69</v>
      </c>
      <c r="D93" s="305">
        <f>Données!Z94</f>
        <v>436</v>
      </c>
      <c r="E93" s="137">
        <f>VPI!R94</f>
        <v>12931.397729468599</v>
      </c>
      <c r="F93" s="234">
        <f>'Péréquation directe'!K100</f>
        <v>28322.982073005667</v>
      </c>
      <c r="G93" s="244">
        <f>PCS!I100</f>
        <v>158626.54928433753</v>
      </c>
      <c r="H93" s="260">
        <f>Police!L94</f>
        <v>38084.81937217783</v>
      </c>
      <c r="I93" s="343">
        <f t="shared" si="1"/>
        <v>225034.35072952101</v>
      </c>
      <c r="J93" s="138"/>
    </row>
    <row r="94" spans="1:10" s="86" customFormat="1" x14ac:dyDescent="0.25">
      <c r="A94" s="298">
        <f>Données!A95</f>
        <v>5557</v>
      </c>
      <c r="B94" s="302" t="str">
        <f>Données!B95</f>
        <v>Fontaines-sur-Grandson</v>
      </c>
      <c r="C94" s="300">
        <f>VPI!Q95</f>
        <v>69</v>
      </c>
      <c r="D94" s="305">
        <f>Données!Z95</f>
        <v>199</v>
      </c>
      <c r="E94" s="137">
        <f>VPI!R95</f>
        <v>4700.3647826086954</v>
      </c>
      <c r="F94" s="234">
        <f>'Péréquation directe'!K101</f>
        <v>-33129.19792736051</v>
      </c>
      <c r="G94" s="244">
        <f>PCS!I101</f>
        <v>62959.808702163806</v>
      </c>
      <c r="H94" s="260">
        <f>Police!L95</f>
        <v>13545.300987694329</v>
      </c>
      <c r="I94" s="343">
        <f t="shared" si="1"/>
        <v>43375.911762497621</v>
      </c>
      <c r="J94" s="138"/>
    </row>
    <row r="95" spans="1:10" s="86" customFormat="1" x14ac:dyDescent="0.25">
      <c r="A95" s="298">
        <f>Données!A96</f>
        <v>5559</v>
      </c>
      <c r="B95" s="302" t="str">
        <f>Données!B96</f>
        <v>Giez</v>
      </c>
      <c r="C95" s="300">
        <f>VPI!Q96</f>
        <v>66</v>
      </c>
      <c r="D95" s="305">
        <f>Données!Z96</f>
        <v>459</v>
      </c>
      <c r="E95" s="137">
        <f>VPI!R96</f>
        <v>19760.849242424243</v>
      </c>
      <c r="F95" s="234">
        <f>'Péréquation directe'!K102</f>
        <v>270154.25002196652</v>
      </c>
      <c r="G95" s="244">
        <f>PCS!I102</f>
        <v>295925.08086107619</v>
      </c>
      <c r="H95" s="260">
        <f>Police!L96</f>
        <v>58906.201689988156</v>
      </c>
      <c r="I95" s="343">
        <f t="shared" si="1"/>
        <v>624985.5325730308</v>
      </c>
      <c r="J95" s="138"/>
    </row>
    <row r="96" spans="1:10" s="86" customFormat="1" x14ac:dyDescent="0.25">
      <c r="A96" s="298">
        <f>Données!A97</f>
        <v>5560</v>
      </c>
      <c r="B96" s="302" t="str">
        <f>Données!B97</f>
        <v>Grandevent</v>
      </c>
      <c r="C96" s="300">
        <f>VPI!Q97</f>
        <v>70</v>
      </c>
      <c r="D96" s="305">
        <f>Données!Z97</f>
        <v>237</v>
      </c>
      <c r="E96" s="137">
        <f>VPI!R97</f>
        <v>8048.598285714289</v>
      </c>
      <c r="F96" s="234">
        <f>'Péréquation directe'!K103</f>
        <v>52421.542625609261</v>
      </c>
      <c r="G96" s="244">
        <f>PCS!I103</f>
        <v>120880.93881173238</v>
      </c>
      <c r="H96" s="260">
        <f>Police!L97</f>
        <v>23858.287131530338</v>
      </c>
      <c r="I96" s="343">
        <f t="shared" si="1"/>
        <v>197160.76856887201</v>
      </c>
      <c r="J96" s="138"/>
    </row>
    <row r="97" spans="1:10" s="86" customFormat="1" x14ac:dyDescent="0.25">
      <c r="A97" s="298">
        <f>Données!A98</f>
        <v>5561</v>
      </c>
      <c r="B97" s="302" t="str">
        <f>Données!B98</f>
        <v>Grandson</v>
      </c>
      <c r="C97" s="300">
        <f>VPI!Q98</f>
        <v>69</v>
      </c>
      <c r="D97" s="305">
        <f>Données!Z98</f>
        <v>3386</v>
      </c>
      <c r="E97" s="137">
        <f>VPI!R98</f>
        <v>179345.48057971016</v>
      </c>
      <c r="F97" s="234">
        <f>'Péréquation directe'!K104</f>
        <v>2394456.2479609</v>
      </c>
      <c r="G97" s="244">
        <f>PCS!I104</f>
        <v>2729035.0466369065</v>
      </c>
      <c r="H97" s="260">
        <f>Police!L98</f>
        <v>510942.99054446956</v>
      </c>
      <c r="I97" s="343">
        <f t="shared" si="1"/>
        <v>5634434.2851422764</v>
      </c>
      <c r="J97" s="138"/>
    </row>
    <row r="98" spans="1:10" s="86" customFormat="1" x14ac:dyDescent="0.25">
      <c r="A98" s="298">
        <f>Données!A99</f>
        <v>5562</v>
      </c>
      <c r="B98" s="302" t="str">
        <f>Données!B99</f>
        <v>Mauborget</v>
      </c>
      <c r="C98" s="300">
        <f>VPI!Q99</f>
        <v>70</v>
      </c>
      <c r="D98" s="305">
        <f>Données!Z99</f>
        <v>134</v>
      </c>
      <c r="E98" s="137">
        <f>VPI!R99</f>
        <v>4951.6888333333327</v>
      </c>
      <c r="F98" s="234">
        <f>'Péréquation directe'!K105</f>
        <v>45229.33059119992</v>
      </c>
      <c r="G98" s="244">
        <f>PCS!I105</f>
        <v>96883.805271840538</v>
      </c>
      <c r="H98" s="260">
        <f>Police!L99</f>
        <v>14473.745410526724</v>
      </c>
      <c r="I98" s="343">
        <f t="shared" si="1"/>
        <v>156586.88127356718</v>
      </c>
      <c r="J98" s="138"/>
    </row>
    <row r="99" spans="1:10" s="86" customFormat="1" x14ac:dyDescent="0.25">
      <c r="A99" s="298">
        <f>Données!A100</f>
        <v>5563</v>
      </c>
      <c r="B99" s="302" t="str">
        <f>Données!B100</f>
        <v>Mutrux</v>
      </c>
      <c r="C99" s="300">
        <f>VPI!Q100</f>
        <v>80</v>
      </c>
      <c r="D99" s="305">
        <f>Données!Z100</f>
        <v>145</v>
      </c>
      <c r="E99" s="137">
        <f>VPI!R100</f>
        <v>2911.2397499999997</v>
      </c>
      <c r="F99" s="234">
        <f>'Péréquation directe'!K106</f>
        <v>-68076.698612878623</v>
      </c>
      <c r="G99" s="244">
        <f>PCS!I106</f>
        <v>44786.780612878625</v>
      </c>
      <c r="H99" s="260">
        <f>Police!L100</f>
        <v>8504.3494071945497</v>
      </c>
      <c r="I99" s="343">
        <f t="shared" si="1"/>
        <v>-14785.568592805448</v>
      </c>
      <c r="J99" s="138"/>
    </row>
    <row r="100" spans="1:10" s="86" customFormat="1" x14ac:dyDescent="0.25">
      <c r="A100" s="298">
        <f>Données!A101</f>
        <v>5564</v>
      </c>
      <c r="B100" s="302" t="str">
        <f>Données!B101</f>
        <v>Novalles</v>
      </c>
      <c r="C100" s="300">
        <f>VPI!Q101</f>
        <v>76</v>
      </c>
      <c r="D100" s="305">
        <f>Données!Z101</f>
        <v>102</v>
      </c>
      <c r="E100" s="137">
        <f>VPI!R101</f>
        <v>2278.1877960526317</v>
      </c>
      <c r="F100" s="234">
        <f>'Péréquation directe'!K107</f>
        <v>-33218.578201240023</v>
      </c>
      <c r="G100" s="244">
        <f>PCS!I107</f>
        <v>31248.307417882992</v>
      </c>
      <c r="H100" s="260">
        <f>Police!L101</f>
        <v>6739.9744345783656</v>
      </c>
      <c r="I100" s="343">
        <f t="shared" si="1"/>
        <v>4769.7036512213344</v>
      </c>
      <c r="J100" s="138"/>
    </row>
    <row r="101" spans="1:10" s="86" customFormat="1" x14ac:dyDescent="0.25">
      <c r="A101" s="298">
        <f>Données!A102</f>
        <v>5565</v>
      </c>
      <c r="B101" s="302" t="str">
        <f>Données!B102</f>
        <v>Onnens</v>
      </c>
      <c r="C101" s="300">
        <f>VPI!Q102</f>
        <v>63.5</v>
      </c>
      <c r="D101" s="305">
        <f>Données!Z102</f>
        <v>498</v>
      </c>
      <c r="E101" s="137">
        <f>VPI!R102</f>
        <v>21491.927559055119</v>
      </c>
      <c r="F101" s="234">
        <f>'Péréquation directe'!K108</f>
        <v>299077.7764568518</v>
      </c>
      <c r="G101" s="244">
        <f>PCS!I108</f>
        <v>322304.51364211278</v>
      </c>
      <c r="H101" s="260">
        <f>Police!L102</f>
        <v>62237.066384113845</v>
      </c>
      <c r="I101" s="343">
        <f t="shared" si="1"/>
        <v>683619.35648307845</v>
      </c>
      <c r="J101" s="138"/>
    </row>
    <row r="102" spans="1:10" s="86" customFormat="1" x14ac:dyDescent="0.25">
      <c r="A102" s="298">
        <f>Données!A103</f>
        <v>5566</v>
      </c>
      <c r="B102" s="302" t="str">
        <f>Données!B103</f>
        <v>Provence</v>
      </c>
      <c r="C102" s="300">
        <f>VPI!Q103</f>
        <v>81</v>
      </c>
      <c r="D102" s="305">
        <f>Données!Z103</f>
        <v>415</v>
      </c>
      <c r="E102" s="137">
        <f>VPI!R103</f>
        <v>9668.921111111109</v>
      </c>
      <c r="F102" s="234">
        <f>'Péréquation directe'!K109</f>
        <v>-152249.86497449368</v>
      </c>
      <c r="G102" s="244">
        <f>PCS!I109</f>
        <v>171667.05929161166</v>
      </c>
      <c r="H102" s="260">
        <f>Police!L103</f>
        <v>28641.236446463015</v>
      </c>
      <c r="I102" s="343">
        <f t="shared" si="1"/>
        <v>48058.430763580989</v>
      </c>
      <c r="J102" s="138"/>
    </row>
    <row r="103" spans="1:10" s="86" customFormat="1" x14ac:dyDescent="0.25">
      <c r="A103" s="298">
        <f>Données!A104</f>
        <v>5568</v>
      </c>
      <c r="B103" s="302" t="str">
        <f>Données!B104</f>
        <v>Sainte-Croix</v>
      </c>
      <c r="C103" s="300">
        <f>VPI!Q104</f>
        <v>70</v>
      </c>
      <c r="D103" s="305">
        <f>Données!Z104</f>
        <v>5051</v>
      </c>
      <c r="E103" s="137">
        <f>VPI!R104</f>
        <v>108679.35057142857</v>
      </c>
      <c r="F103" s="234">
        <f>'Péréquation directe'!K110</f>
        <v>-2610985.2623865558</v>
      </c>
      <c r="G103" s="244">
        <f>PCS!I110</f>
        <v>2277005.9116705609</v>
      </c>
      <c r="H103" s="260">
        <f>Police!L104</f>
        <v>318636.45094563742</v>
      </c>
      <c r="I103" s="343">
        <f t="shared" si="1"/>
        <v>-15342.899770357413</v>
      </c>
      <c r="J103" s="138"/>
    </row>
    <row r="104" spans="1:10" s="86" customFormat="1" x14ac:dyDescent="0.25">
      <c r="A104" s="298">
        <f>Données!A105</f>
        <v>5571</v>
      </c>
      <c r="B104" s="302" t="str">
        <f>Données!B105</f>
        <v>Tévenon</v>
      </c>
      <c r="C104" s="300">
        <f>VPI!Q105</f>
        <v>71.5</v>
      </c>
      <c r="D104" s="305">
        <f>Données!Z105</f>
        <v>865</v>
      </c>
      <c r="E104" s="137">
        <f>VPI!R105</f>
        <v>25950.769557109554</v>
      </c>
      <c r="F104" s="234">
        <f>'Péréquation directe'!K111</f>
        <v>43906.039343131997</v>
      </c>
      <c r="G104" s="244">
        <f>PCS!I111</f>
        <v>451250.67685672862</v>
      </c>
      <c r="H104" s="260">
        <f>Police!L105</f>
        <v>76073.356896538375</v>
      </c>
      <c r="I104" s="343">
        <f t="shared" si="1"/>
        <v>571230.07309639896</v>
      </c>
      <c r="J104" s="138"/>
    </row>
    <row r="105" spans="1:10" s="86" customFormat="1" x14ac:dyDescent="0.25">
      <c r="A105" s="298">
        <f>Données!A106</f>
        <v>5581</v>
      </c>
      <c r="B105" s="302" t="str">
        <f>Données!B106</f>
        <v>Belmont-sur-Lausanne</v>
      </c>
      <c r="C105" s="300">
        <f>VPI!Q106</f>
        <v>72</v>
      </c>
      <c r="D105" s="305">
        <f>Données!Z106</f>
        <v>3896</v>
      </c>
      <c r="E105" s="137">
        <f>VPI!R106</f>
        <v>216786.11745370374</v>
      </c>
      <c r="F105" s="234">
        <f>'Péréquation directe'!K112</f>
        <v>2849755.573694882</v>
      </c>
      <c r="G105" s="244">
        <f>PCS!I112</f>
        <v>3468376.5828804476</v>
      </c>
      <c r="H105" s="260">
        <f>Police!L106</f>
        <v>244210.64692664749</v>
      </c>
      <c r="I105" s="343">
        <f t="shared" si="1"/>
        <v>6562342.8035019767</v>
      </c>
      <c r="J105" s="138"/>
    </row>
    <row r="106" spans="1:10" s="86" customFormat="1" x14ac:dyDescent="0.25">
      <c r="A106" s="298">
        <f>Données!A107</f>
        <v>5582</v>
      </c>
      <c r="B106" s="302" t="str">
        <f>Données!B107</f>
        <v>Cheseaux-sur-Lausanne</v>
      </c>
      <c r="C106" s="300">
        <f>VPI!Q107</f>
        <v>73</v>
      </c>
      <c r="D106" s="305">
        <f>Données!Z107</f>
        <v>4842</v>
      </c>
      <c r="E106" s="137">
        <f>VPI!R107</f>
        <v>179452.21630136986</v>
      </c>
      <c r="F106" s="234">
        <f>'Péréquation directe'!K113</f>
        <v>354950.46335749933</v>
      </c>
      <c r="G106" s="244">
        <f>PCS!I113</f>
        <v>2554941.4223085917</v>
      </c>
      <c r="H106" s="260">
        <f>Police!L107</f>
        <v>531071.18442853622</v>
      </c>
      <c r="I106" s="343">
        <f t="shared" si="1"/>
        <v>3440963.0700946273</v>
      </c>
      <c r="J106" s="138"/>
    </row>
    <row r="107" spans="1:10" s="86" customFormat="1" x14ac:dyDescent="0.25">
      <c r="A107" s="298">
        <f>Données!A108</f>
        <v>5583</v>
      </c>
      <c r="B107" s="302" t="str">
        <f>Données!B108</f>
        <v>Crissier</v>
      </c>
      <c r="C107" s="300">
        <f>VPI!Q108</f>
        <v>63.5</v>
      </c>
      <c r="D107" s="305">
        <f>Données!Z108</f>
        <v>9327</v>
      </c>
      <c r="E107" s="137">
        <f>VPI!R108</f>
        <v>371804.01181102369</v>
      </c>
      <c r="F107" s="234">
        <f>'Péréquation directe'!K114</f>
        <v>1012093.7692798628</v>
      </c>
      <c r="G107" s="244">
        <f>PCS!I114</f>
        <v>6309938.3673438383</v>
      </c>
      <c r="H107" s="260">
        <f>Police!L108</f>
        <v>418839.08121415414</v>
      </c>
      <c r="I107" s="343">
        <f t="shared" si="1"/>
        <v>7740871.2178378552</v>
      </c>
      <c r="J107" s="138"/>
    </row>
    <row r="108" spans="1:10" s="86" customFormat="1" x14ac:dyDescent="0.25">
      <c r="A108" s="298">
        <f>Données!A109</f>
        <v>5584</v>
      </c>
      <c r="B108" s="302" t="str">
        <f>Données!B109</f>
        <v>Epalinges</v>
      </c>
      <c r="C108" s="300">
        <f>VPI!Q109</f>
        <v>64.5</v>
      </c>
      <c r="D108" s="305">
        <f>Données!Z109</f>
        <v>9910</v>
      </c>
      <c r="E108" s="137">
        <f>VPI!R109</f>
        <v>516751.95968992251</v>
      </c>
      <c r="F108" s="234">
        <f>'Péréquation directe'!K115</f>
        <v>4732071.6981393639</v>
      </c>
      <c r="G108" s="244">
        <f>PCS!I115</f>
        <v>8038166.5969132697</v>
      </c>
      <c r="H108" s="260">
        <f>Police!L109</f>
        <v>1486226.5170093498</v>
      </c>
      <c r="I108" s="343">
        <f t="shared" si="1"/>
        <v>14256464.812061982</v>
      </c>
      <c r="J108" s="138"/>
    </row>
    <row r="109" spans="1:10" s="86" customFormat="1" x14ac:dyDescent="0.25">
      <c r="A109" s="298">
        <f>Données!A110</f>
        <v>5585</v>
      </c>
      <c r="B109" s="302" t="str">
        <f>Données!B110</f>
        <v>Jouxtens-Mézery</v>
      </c>
      <c r="C109" s="300">
        <f>VPI!Q110</f>
        <v>59</v>
      </c>
      <c r="D109" s="305">
        <f>Données!Z110</f>
        <v>1493</v>
      </c>
      <c r="E109" s="137">
        <f>VPI!R110</f>
        <v>251674.37118644069</v>
      </c>
      <c r="F109" s="234">
        <f>'Péréquation directe'!K116</f>
        <v>4510784.9011042006</v>
      </c>
      <c r="G109" s="244">
        <f>PCS!I116</f>
        <v>7935794.5808449537</v>
      </c>
      <c r="H109" s="260">
        <f>Police!L110</f>
        <v>419720.87035075878</v>
      </c>
      <c r="I109" s="343">
        <f t="shared" si="1"/>
        <v>12866300.352299914</v>
      </c>
      <c r="J109" s="138"/>
    </row>
    <row r="110" spans="1:10" s="86" customFormat="1" x14ac:dyDescent="0.25">
      <c r="A110" s="298">
        <f>Données!A111</f>
        <v>5586</v>
      </c>
      <c r="B110" s="302" t="str">
        <f>Données!B111</f>
        <v>Lausanne</v>
      </c>
      <c r="C110" s="300">
        <f>VPI!Q111</f>
        <v>78.5</v>
      </c>
      <c r="D110" s="305">
        <f>Données!Z111</f>
        <v>144365</v>
      </c>
      <c r="E110" s="137">
        <f>VPI!R111</f>
        <v>6915333.6485774955</v>
      </c>
      <c r="F110" s="234">
        <f>'Péréquation directe'!K117</f>
        <v>-24805475.262259573</v>
      </c>
      <c r="G110" s="244">
        <f>PCS!I117</f>
        <v>101184937.451563</v>
      </c>
      <c r="H110" s="260">
        <f>Police!L111</f>
        <v>7790157.9855240444</v>
      </c>
      <c r="I110" s="343">
        <f t="shared" si="1"/>
        <v>84169620.174827471</v>
      </c>
      <c r="J110" s="138"/>
    </row>
    <row r="111" spans="1:10" s="86" customFormat="1" x14ac:dyDescent="0.25">
      <c r="A111" s="298">
        <f>Données!A112</f>
        <v>5587</v>
      </c>
      <c r="B111" s="302" t="str">
        <f>Données!B112</f>
        <v>Le Mont-sur-Lausanne</v>
      </c>
      <c r="C111" s="300">
        <f>VPI!Q112</f>
        <v>73.5</v>
      </c>
      <c r="D111" s="305">
        <f>Données!Z112</f>
        <v>9274</v>
      </c>
      <c r="E111" s="137">
        <f>VPI!R112</f>
        <v>490592.89707482996</v>
      </c>
      <c r="F111" s="234">
        <f>'Péréquation directe'!K118</f>
        <v>4794265.6159520857</v>
      </c>
      <c r="G111" s="244">
        <f>PCS!I118</f>
        <v>8363012.5497485949</v>
      </c>
      <c r="H111" s="260">
        <f>Police!L112</f>
        <v>1398735.052583822</v>
      </c>
      <c r="I111" s="343">
        <f t="shared" si="1"/>
        <v>14556013.218284503</v>
      </c>
      <c r="J111" s="138"/>
    </row>
    <row r="112" spans="1:10" s="86" customFormat="1" x14ac:dyDescent="0.25">
      <c r="A112" s="298">
        <f>Données!A113</f>
        <v>5588</v>
      </c>
      <c r="B112" s="302" t="str">
        <f>Données!B113</f>
        <v>Paudex</v>
      </c>
      <c r="C112" s="300">
        <f>VPI!Q113</f>
        <v>66.5</v>
      </c>
      <c r="D112" s="305">
        <f>Données!Z113</f>
        <v>1538</v>
      </c>
      <c r="E112" s="137">
        <f>VPI!R113</f>
        <v>123433.64683136411</v>
      </c>
      <c r="F112" s="234">
        <f>'Péréquation directe'!K119</f>
        <v>2054400.1703989289</v>
      </c>
      <c r="G112" s="244">
        <f>PCS!I119</f>
        <v>2628167.1200736542</v>
      </c>
      <c r="H112" s="260">
        <f>Police!L113</f>
        <v>139048.62128286509</v>
      </c>
      <c r="I112" s="343">
        <f t="shared" si="1"/>
        <v>4821615.9117554482</v>
      </c>
      <c r="J112" s="138"/>
    </row>
    <row r="113" spans="1:10" s="86" customFormat="1" x14ac:dyDescent="0.25">
      <c r="A113" s="298">
        <f>Données!A114</f>
        <v>5589</v>
      </c>
      <c r="B113" s="302" t="str">
        <f>Données!B114</f>
        <v>Prilly</v>
      </c>
      <c r="C113" s="300">
        <f>VPI!Q114</f>
        <v>72.5</v>
      </c>
      <c r="D113" s="305">
        <f>Données!Z114</f>
        <v>12439</v>
      </c>
      <c r="E113" s="137">
        <f>VPI!R114</f>
        <v>450278.56075331569</v>
      </c>
      <c r="F113" s="234">
        <f>'Péréquation directe'!K120</f>
        <v>-2338845.4119492415</v>
      </c>
      <c r="G113" s="244">
        <f>PCS!I120</f>
        <v>7176493.1620347509</v>
      </c>
      <c r="H113" s="260">
        <f>Police!L114</f>
        <v>507241.05358015065</v>
      </c>
      <c r="I113" s="343">
        <f t="shared" si="1"/>
        <v>5344888.8036656603</v>
      </c>
      <c r="J113" s="138"/>
    </row>
    <row r="114" spans="1:10" s="86" customFormat="1" x14ac:dyDescent="0.25">
      <c r="A114" s="298">
        <f>Données!A115</f>
        <v>5590</v>
      </c>
      <c r="B114" s="302" t="str">
        <f>Données!B115</f>
        <v>Pully</v>
      </c>
      <c r="C114" s="300">
        <f>VPI!Q115</f>
        <v>61</v>
      </c>
      <c r="D114" s="305">
        <f>Données!Z115</f>
        <v>19298</v>
      </c>
      <c r="E114" s="137">
        <f>VPI!R115</f>
        <v>1605465.5341920371</v>
      </c>
      <c r="F114" s="234">
        <f>'Péréquation directe'!K121</f>
        <v>16004634.568538919</v>
      </c>
      <c r="G114" s="244">
        <f>PCS!I121</f>
        <v>35726267.072185606</v>
      </c>
      <c r="H114" s="260">
        <f>Police!L115</f>
        <v>1808564.9640697257</v>
      </c>
      <c r="I114" s="343">
        <f t="shared" si="1"/>
        <v>53539466.604794249</v>
      </c>
      <c r="J114" s="138"/>
    </row>
    <row r="115" spans="1:10" s="86" customFormat="1" x14ac:dyDescent="0.25">
      <c r="A115" s="298">
        <f>Données!A116</f>
        <v>5591</v>
      </c>
      <c r="B115" s="302" t="str">
        <f>Données!B116</f>
        <v>Renens</v>
      </c>
      <c r="C115" s="300">
        <f>VPI!Q116</f>
        <v>77</v>
      </c>
      <c r="D115" s="305">
        <f>Données!Z116</f>
        <v>21466</v>
      </c>
      <c r="E115" s="137">
        <f>VPI!R116</f>
        <v>640589.63196660485</v>
      </c>
      <c r="F115" s="234">
        <f>'Péréquation directe'!K122</f>
        <v>-14984875.957031298</v>
      </c>
      <c r="G115" s="244">
        <f>PCS!I122</f>
        <v>10865011.366123054</v>
      </c>
      <c r="H115" s="260">
        <f>Police!L116</f>
        <v>721627.42833602452</v>
      </c>
      <c r="I115" s="343">
        <f t="shared" si="1"/>
        <v>-3398237.16257222</v>
      </c>
      <c r="J115" s="138"/>
    </row>
    <row r="116" spans="1:10" s="86" customFormat="1" x14ac:dyDescent="0.25">
      <c r="A116" s="298">
        <f>Données!A117</f>
        <v>5592</v>
      </c>
      <c r="B116" s="302" t="str">
        <f>Données!B117</f>
        <v>Romanel-sur-Lausanne</v>
      </c>
      <c r="C116" s="300">
        <f>VPI!Q117</f>
        <v>70.5</v>
      </c>
      <c r="D116" s="305">
        <f>Données!Z117</f>
        <v>3992</v>
      </c>
      <c r="E116" s="137">
        <f>VPI!R117</f>
        <v>135992.91645390069</v>
      </c>
      <c r="F116" s="234">
        <f>'Péréquation directe'!K123</f>
        <v>19676.001784923021</v>
      </c>
      <c r="G116" s="244">
        <f>PCS!I123</f>
        <v>2082548.224482384</v>
      </c>
      <c r="H116" s="260">
        <f>Police!L117</f>
        <v>398985.36949169455</v>
      </c>
      <c r="I116" s="343">
        <f t="shared" si="1"/>
        <v>2501209.5957590016</v>
      </c>
      <c r="J116" s="138"/>
    </row>
    <row r="117" spans="1:10" s="86" customFormat="1" x14ac:dyDescent="0.25">
      <c r="A117" s="298">
        <f>Données!A118</f>
        <v>5601</v>
      </c>
      <c r="B117" s="302" t="str">
        <f>Données!B118</f>
        <v>Chexbres</v>
      </c>
      <c r="C117" s="300">
        <f>VPI!Q118</f>
        <v>67.5</v>
      </c>
      <c r="D117" s="305">
        <f>Données!Z118</f>
        <v>2230</v>
      </c>
      <c r="E117" s="137">
        <f>VPI!R118</f>
        <v>102021.70311111111</v>
      </c>
      <c r="F117" s="234">
        <f>'Péréquation directe'!K124</f>
        <v>1236316.1999000155</v>
      </c>
      <c r="G117" s="244">
        <f>PCS!I124</f>
        <v>1394651.1944474529</v>
      </c>
      <c r="H117" s="260">
        <f>Police!L118</f>
        <v>114927.95945590724</v>
      </c>
      <c r="I117" s="343">
        <f t="shared" si="1"/>
        <v>2745895.3538033757</v>
      </c>
      <c r="J117" s="138"/>
    </row>
    <row r="118" spans="1:10" s="86" customFormat="1" x14ac:dyDescent="0.25">
      <c r="A118" s="298">
        <f>Données!A119</f>
        <v>5604</v>
      </c>
      <c r="B118" s="302" t="str">
        <f>Données!B119</f>
        <v>Forel (Lavaux)</v>
      </c>
      <c r="C118" s="300">
        <f>VPI!Q119</f>
        <v>69</v>
      </c>
      <c r="D118" s="305">
        <f>Données!Z119</f>
        <v>2068</v>
      </c>
      <c r="E118" s="137">
        <f>VPI!R119</f>
        <v>75702.239275362328</v>
      </c>
      <c r="F118" s="234">
        <f>'Péréquation directe'!K125</f>
        <v>432776.69644165563</v>
      </c>
      <c r="G118" s="244">
        <f>PCS!I125</f>
        <v>1064920.9824360879</v>
      </c>
      <c r="H118" s="260">
        <f>Police!L119</f>
        <v>223236.45048369031</v>
      </c>
      <c r="I118" s="343">
        <f t="shared" si="1"/>
        <v>1720934.1293614337</v>
      </c>
      <c r="J118" s="138"/>
    </row>
    <row r="119" spans="1:10" s="86" customFormat="1" x14ac:dyDescent="0.25">
      <c r="A119" s="298">
        <f>Données!A120</f>
        <v>5606</v>
      </c>
      <c r="B119" s="302" t="str">
        <f>Données!B120</f>
        <v>Lutry</v>
      </c>
      <c r="C119" s="300">
        <f>VPI!Q120</f>
        <v>54</v>
      </c>
      <c r="D119" s="305">
        <f>Données!Z120</f>
        <v>10796</v>
      </c>
      <c r="E119" s="137">
        <f>VPI!R120</f>
        <v>997292.15626984113</v>
      </c>
      <c r="F119" s="234">
        <f>'Péréquation directe'!K126</f>
        <v>13219679.906141249</v>
      </c>
      <c r="G119" s="244">
        <f>PCS!I126</f>
        <v>23722949.300097246</v>
      </c>
      <c r="H119" s="260">
        <f>Police!L120</f>
        <v>1123454.6082478776</v>
      </c>
      <c r="I119" s="343">
        <f t="shared" si="1"/>
        <v>38066083.814486369</v>
      </c>
      <c r="J119" s="138"/>
    </row>
    <row r="120" spans="1:10" s="86" customFormat="1" x14ac:dyDescent="0.25">
      <c r="A120" s="298">
        <f>Données!A121</f>
        <v>5607</v>
      </c>
      <c r="B120" s="302" t="str">
        <f>Données!B121</f>
        <v>Puidoux</v>
      </c>
      <c r="C120" s="300">
        <f>VPI!Q121</f>
        <v>68.5</v>
      </c>
      <c r="D120" s="305">
        <f>Données!Z121</f>
        <v>3012</v>
      </c>
      <c r="E120" s="137">
        <f>VPI!R121</f>
        <v>134658.72766105999</v>
      </c>
      <c r="F120" s="234">
        <f>'Péréquation directe'!K127</f>
        <v>1459669.5351584225</v>
      </c>
      <c r="G120" s="244">
        <f>PCS!I127</f>
        <v>2187730.6997759696</v>
      </c>
      <c r="H120" s="260">
        <f>Police!L121</f>
        <v>151693.73105014232</v>
      </c>
      <c r="I120" s="343">
        <f t="shared" si="1"/>
        <v>3799093.9659845345</v>
      </c>
      <c r="J120" s="138"/>
    </row>
    <row r="121" spans="1:10" s="86" customFormat="1" x14ac:dyDescent="0.25">
      <c r="A121" s="298">
        <f>Données!A122</f>
        <v>5609</v>
      </c>
      <c r="B121" s="302" t="str">
        <f>Données!B122</f>
        <v>Rivaz</v>
      </c>
      <c r="C121" s="300">
        <f>VPI!Q122</f>
        <v>62</v>
      </c>
      <c r="D121" s="305">
        <f>Données!Z122</f>
        <v>326</v>
      </c>
      <c r="E121" s="137">
        <f>VPI!R122</f>
        <v>13979.892580645163</v>
      </c>
      <c r="F121" s="234">
        <f>'Péréquation directe'!K128</f>
        <v>194237.81740602475</v>
      </c>
      <c r="G121" s="244">
        <f>PCS!I128</f>
        <v>168403.49541140403</v>
      </c>
      <c r="H121" s="260">
        <f>Police!L122</f>
        <v>15748.41900018569</v>
      </c>
      <c r="I121" s="343">
        <f t="shared" si="1"/>
        <v>378389.73181761446</v>
      </c>
      <c r="J121" s="138"/>
    </row>
    <row r="122" spans="1:10" s="86" customFormat="1" x14ac:dyDescent="0.25">
      <c r="A122" s="298">
        <f>Données!A123</f>
        <v>5610</v>
      </c>
      <c r="B122" s="302" t="str">
        <f>Données!B123</f>
        <v>St-Saphorin (Lavaux)</v>
      </c>
      <c r="C122" s="300">
        <f>VPI!Q123</f>
        <v>72</v>
      </c>
      <c r="D122" s="305">
        <f>Données!Z123</f>
        <v>391</v>
      </c>
      <c r="E122" s="137">
        <f>VPI!R123</f>
        <v>19286.757384259257</v>
      </c>
      <c r="F122" s="234">
        <f>'Péréquation directe'!K129</f>
        <v>320013.49535420828</v>
      </c>
      <c r="G122" s="244">
        <f>PCS!I129</f>
        <v>240606.59075841564</v>
      </c>
      <c r="H122" s="260">
        <f>Police!L123</f>
        <v>21726.628777016176</v>
      </c>
      <c r="I122" s="343">
        <f t="shared" si="1"/>
        <v>582346.7148896401</v>
      </c>
      <c r="J122" s="138"/>
    </row>
    <row r="123" spans="1:10" s="86" customFormat="1" x14ac:dyDescent="0.25">
      <c r="A123" s="298">
        <f>Données!A124</f>
        <v>5611</v>
      </c>
      <c r="B123" s="302" t="str">
        <f>Données!B124</f>
        <v>Savigny</v>
      </c>
      <c r="C123" s="300">
        <f>VPI!Q124</f>
        <v>69</v>
      </c>
      <c r="D123" s="305">
        <f>Données!Z124</f>
        <v>3448</v>
      </c>
      <c r="E123" s="137">
        <f>VPI!R124</f>
        <v>143902.95567632848</v>
      </c>
      <c r="F123" s="234">
        <f>'Péréquation directe'!K130</f>
        <v>1171200.7621477803</v>
      </c>
      <c r="G123" s="244">
        <f>PCS!I130</f>
        <v>2381763.7599863363</v>
      </c>
      <c r="H123" s="260">
        <f>Police!L124</f>
        <v>162107.40020231149</v>
      </c>
      <c r="I123" s="343">
        <f t="shared" si="1"/>
        <v>3715071.9223364284</v>
      </c>
      <c r="J123" s="138"/>
    </row>
    <row r="124" spans="1:10" s="86" customFormat="1" x14ac:dyDescent="0.25">
      <c r="A124" s="298">
        <f>Données!A125</f>
        <v>5613</v>
      </c>
      <c r="B124" s="302" t="str">
        <f>Données!B125</f>
        <v>Bourg-en-Lavaux</v>
      </c>
      <c r="C124" s="300">
        <f>VPI!Q125</f>
        <v>62.5</v>
      </c>
      <c r="D124" s="305">
        <f>Données!Z125</f>
        <v>5411</v>
      </c>
      <c r="E124" s="137">
        <f>VPI!R125</f>
        <v>363833.56800000003</v>
      </c>
      <c r="F124" s="234">
        <f>'Péréquation directe'!K131</f>
        <v>4850846.3397914395</v>
      </c>
      <c r="G124" s="244">
        <f>PCS!I131</f>
        <v>6948878.3067358956</v>
      </c>
      <c r="H124" s="260">
        <f>Police!L125</f>
        <v>409860.33634688531</v>
      </c>
      <c r="I124" s="343">
        <f t="shared" si="1"/>
        <v>12209584.98287422</v>
      </c>
      <c r="J124" s="138"/>
    </row>
    <row r="125" spans="1:10" s="86" customFormat="1" x14ac:dyDescent="0.25">
      <c r="A125" s="298">
        <f>Données!A126</f>
        <v>5621</v>
      </c>
      <c r="B125" s="302" t="str">
        <f>Données!B126</f>
        <v>Aclens</v>
      </c>
      <c r="C125" s="300">
        <f>VPI!Q126</f>
        <v>62</v>
      </c>
      <c r="D125" s="305">
        <f>Données!Z126</f>
        <v>578</v>
      </c>
      <c r="E125" s="137">
        <f>VPI!R126</f>
        <v>33787.730043988267</v>
      </c>
      <c r="F125" s="234">
        <f>'Péréquation directe'!K132</f>
        <v>576531.12737984036</v>
      </c>
      <c r="G125" s="244">
        <f>PCS!I132</f>
        <v>657261.42365352274</v>
      </c>
      <c r="H125" s="260">
        <f>Police!L126</f>
        <v>90793.777202702302</v>
      </c>
      <c r="I125" s="343">
        <f t="shared" si="1"/>
        <v>1324586.3282360656</v>
      </c>
      <c r="J125" s="138"/>
    </row>
    <row r="126" spans="1:10" s="86" customFormat="1" x14ac:dyDescent="0.25">
      <c r="A126" s="298">
        <f>Données!A127</f>
        <v>5622</v>
      </c>
      <c r="B126" s="302" t="str">
        <f>Données!B127</f>
        <v>Bremblens</v>
      </c>
      <c r="C126" s="300">
        <f>VPI!Q127</f>
        <v>68</v>
      </c>
      <c r="D126" s="305">
        <f>Données!Z127</f>
        <v>614</v>
      </c>
      <c r="E126" s="137">
        <f>VPI!R127</f>
        <v>29905.330441176469</v>
      </c>
      <c r="F126" s="234">
        <f>'Péréquation directe'!K133</f>
        <v>488306.24341185339</v>
      </c>
      <c r="G126" s="244">
        <f>PCS!I133</f>
        <v>403721.99868420127</v>
      </c>
      <c r="H126" s="260">
        <f>Police!L127</f>
        <v>88457.012442183186</v>
      </c>
      <c r="I126" s="343">
        <f t="shared" si="1"/>
        <v>980485.25453823782</v>
      </c>
      <c r="J126" s="138"/>
    </row>
    <row r="127" spans="1:10" s="86" customFormat="1" x14ac:dyDescent="0.25">
      <c r="A127" s="298">
        <f>Données!A128</f>
        <v>5623</v>
      </c>
      <c r="B127" s="302" t="str">
        <f>Données!B128</f>
        <v>Buchillon</v>
      </c>
      <c r="C127" s="300">
        <f>VPI!Q128</f>
        <v>52</v>
      </c>
      <c r="D127" s="305">
        <f>Données!Z128</f>
        <v>687</v>
      </c>
      <c r="E127" s="137">
        <f>VPI!R128</f>
        <v>94247.214615384597</v>
      </c>
      <c r="F127" s="234">
        <f>'Péréquation directe'!K134</f>
        <v>1729531.1864377237</v>
      </c>
      <c r="G127" s="244">
        <f>PCS!I134</f>
        <v>2470475.139713495</v>
      </c>
      <c r="H127" s="260">
        <f>Police!L128</f>
        <v>106169.95923261982</v>
      </c>
      <c r="I127" s="343">
        <f t="shared" si="1"/>
        <v>4306176.2853838382</v>
      </c>
      <c r="J127" s="138"/>
    </row>
    <row r="128" spans="1:10" s="86" customFormat="1" x14ac:dyDescent="0.25">
      <c r="A128" s="298">
        <f>Données!A129</f>
        <v>5624</v>
      </c>
      <c r="B128" s="302" t="str">
        <f>Données!B129</f>
        <v>Bussigny</v>
      </c>
      <c r="C128" s="300">
        <f>VPI!Q129</f>
        <v>62.5</v>
      </c>
      <c r="D128" s="305">
        <f>Données!Z129</f>
        <v>10645</v>
      </c>
      <c r="E128" s="137">
        <f>VPI!R129</f>
        <v>412146.03071999998</v>
      </c>
      <c r="F128" s="234">
        <f>'Péréquation directe'!K135</f>
        <v>272869.31381923519</v>
      </c>
      <c r="G128" s="244">
        <f>PCS!I135</f>
        <v>6404020.0906990906</v>
      </c>
      <c r="H128" s="260">
        <f>Police!L129</f>
        <v>464284.56753867446</v>
      </c>
      <c r="I128" s="343">
        <f t="shared" si="1"/>
        <v>7141173.9720569998</v>
      </c>
      <c r="J128" s="138"/>
    </row>
    <row r="129" spans="1:10" s="86" customFormat="1" x14ac:dyDescent="0.25">
      <c r="A129" s="298">
        <f>Données!A130</f>
        <v>5627</v>
      </c>
      <c r="B129" s="302" t="str">
        <f>Données!B130</f>
        <v>Chavannes-près-Renens</v>
      </c>
      <c r="C129" s="300">
        <f>VPI!Q130</f>
        <v>77.5</v>
      </c>
      <c r="D129" s="305">
        <f>Données!Z130</f>
        <v>9337</v>
      </c>
      <c r="E129" s="137">
        <f>VPI!R130</f>
        <v>197756.36438709678</v>
      </c>
      <c r="F129" s="234">
        <f>'Péréquation directe'!K136</f>
        <v>-4336520.4422520567</v>
      </c>
      <c r="G129" s="244">
        <f>PCS!I136</f>
        <v>2754469.5271552829</v>
      </c>
      <c r="H129" s="260">
        <f>Police!L130</f>
        <v>222773.53480048515</v>
      </c>
      <c r="I129" s="343">
        <f t="shared" si="1"/>
        <v>-1359277.3802962885</v>
      </c>
      <c r="J129" s="138"/>
    </row>
    <row r="130" spans="1:10" s="86" customFormat="1" x14ac:dyDescent="0.25">
      <c r="A130" s="298">
        <f>Données!A131</f>
        <v>5628</v>
      </c>
      <c r="B130" s="302" t="str">
        <f>Données!B131</f>
        <v>Chigny</v>
      </c>
      <c r="C130" s="300">
        <f>VPI!Q131</f>
        <v>62</v>
      </c>
      <c r="D130" s="305">
        <f>Données!Z131</f>
        <v>422</v>
      </c>
      <c r="E130" s="137">
        <f>VPI!R131</f>
        <v>29701.321935483869</v>
      </c>
      <c r="F130" s="234">
        <f>'Péréquation directe'!K137</f>
        <v>518095.7455865537</v>
      </c>
      <c r="G130" s="244">
        <f>PCS!I137</f>
        <v>566532.16583314491</v>
      </c>
      <c r="H130" s="260">
        <f>Police!L131</f>
        <v>71958.324757817463</v>
      </c>
      <c r="I130" s="343">
        <f t="shared" si="1"/>
        <v>1156586.2361775159</v>
      </c>
      <c r="J130" s="138"/>
    </row>
    <row r="131" spans="1:10" s="86" customFormat="1" x14ac:dyDescent="0.25">
      <c r="A131" s="298">
        <f>Données!A132</f>
        <v>5629</v>
      </c>
      <c r="B131" s="302" t="str">
        <f>Données!B132</f>
        <v>Clarmont</v>
      </c>
      <c r="C131" s="300">
        <f>VPI!Q132</f>
        <v>72</v>
      </c>
      <c r="D131" s="305">
        <f>Données!Z132</f>
        <v>219</v>
      </c>
      <c r="E131" s="137">
        <f>VPI!R132</f>
        <v>11214.945694444446</v>
      </c>
      <c r="F131" s="234">
        <f>'Péréquation directe'!K138</f>
        <v>187803.49478132487</v>
      </c>
      <c r="G131" s="244">
        <f>PCS!I138</f>
        <v>153063.83674088347</v>
      </c>
      <c r="H131" s="260">
        <f>Police!L132</f>
        <v>32613.361852449169</v>
      </c>
      <c r="I131" s="343">
        <f t="shared" si="1"/>
        <v>373480.69337465754</v>
      </c>
      <c r="J131" s="138"/>
    </row>
    <row r="132" spans="1:10" s="86" customFormat="1" x14ac:dyDescent="0.25">
      <c r="A132" s="298">
        <f>Données!A133</f>
        <v>5631</v>
      </c>
      <c r="B132" s="302" t="str">
        <f>Données!B133</f>
        <v>Denens</v>
      </c>
      <c r="C132" s="300">
        <f>VPI!Q133</f>
        <v>65</v>
      </c>
      <c r="D132" s="305">
        <f>Données!Z133</f>
        <v>742</v>
      </c>
      <c r="E132" s="137">
        <f>VPI!R133</f>
        <v>47500.25692307693</v>
      </c>
      <c r="F132" s="234">
        <f>'Péréquation directe'!K139</f>
        <v>819769.55549191614</v>
      </c>
      <c r="G132" s="244">
        <f>PCS!I139</f>
        <v>871042.69742313924</v>
      </c>
      <c r="H132" s="260">
        <f>Police!L133</f>
        <v>121202.95158377718</v>
      </c>
      <c r="I132" s="343">
        <f t="shared" si="1"/>
        <v>1812015.2044988326</v>
      </c>
      <c r="J132" s="138"/>
    </row>
    <row r="133" spans="1:10" s="86" customFormat="1" x14ac:dyDescent="0.25">
      <c r="A133" s="298">
        <f>Données!A134</f>
        <v>5632</v>
      </c>
      <c r="B133" s="302" t="str">
        <f>Données!B134</f>
        <v>Denges</v>
      </c>
      <c r="C133" s="300">
        <f>VPI!Q134</f>
        <v>62</v>
      </c>
      <c r="D133" s="305">
        <f>Données!Z134</f>
        <v>1821</v>
      </c>
      <c r="E133" s="137">
        <f>VPI!R134</f>
        <v>89815.216612903241</v>
      </c>
      <c r="F133" s="234">
        <f>'Péréquation directe'!K140</f>
        <v>1297551.7687047303</v>
      </c>
      <c r="G133" s="244">
        <f>PCS!I140</f>
        <v>1291474.0789266238</v>
      </c>
      <c r="H133" s="260">
        <f>Police!L134</f>
        <v>267309.61053542141</v>
      </c>
      <c r="I133" s="343">
        <f t="shared" si="1"/>
        <v>2856335.4581667753</v>
      </c>
      <c r="J133" s="138"/>
    </row>
    <row r="134" spans="1:10" s="86" customFormat="1" x14ac:dyDescent="0.25">
      <c r="A134" s="298">
        <f>Données!A135</f>
        <v>5633</v>
      </c>
      <c r="B134" s="302" t="str">
        <f>Données!B135</f>
        <v>Echandens</v>
      </c>
      <c r="C134" s="300">
        <f>VPI!Q135</f>
        <v>60.5</v>
      </c>
      <c r="D134" s="305">
        <f>Données!Z135</f>
        <v>2910</v>
      </c>
      <c r="E134" s="137">
        <f>VPI!R135</f>
        <v>146616.96727272726</v>
      </c>
      <c r="F134" s="234">
        <f>'Péréquation directe'!K141</f>
        <v>1998130.7952123901</v>
      </c>
      <c r="G134" s="244">
        <f>PCS!I141</f>
        <v>2343591.3887090394</v>
      </c>
      <c r="H134" s="260">
        <f>Police!L135</f>
        <v>430648.02573095832</v>
      </c>
      <c r="I134" s="343">
        <f t="shared" ref="I134:I197" si="2">SUM(F134:H134)</f>
        <v>4772370.2096523875</v>
      </c>
      <c r="J134" s="138"/>
    </row>
    <row r="135" spans="1:10" s="86" customFormat="1" x14ac:dyDescent="0.25">
      <c r="A135" s="298">
        <f>Données!A136</f>
        <v>5634</v>
      </c>
      <c r="B135" s="302" t="str">
        <f>Données!B136</f>
        <v>Echichens</v>
      </c>
      <c r="C135" s="300">
        <f>VPI!Q136</f>
        <v>66</v>
      </c>
      <c r="D135" s="305">
        <f>Données!Z136</f>
        <v>3181</v>
      </c>
      <c r="E135" s="137">
        <f>VPI!R136</f>
        <v>181424.03242424241</v>
      </c>
      <c r="F135" s="234">
        <f>'Péréquation directe'!K142</f>
        <v>2542139.8525323528</v>
      </c>
      <c r="G135" s="244">
        <f>PCS!I142</f>
        <v>3188753.8939781841</v>
      </c>
      <c r="H135" s="260">
        <f>Police!L136</f>
        <v>494582.05937799683</v>
      </c>
      <c r="I135" s="343">
        <f t="shared" si="2"/>
        <v>6225475.8058885345</v>
      </c>
      <c r="J135" s="138"/>
    </row>
    <row r="136" spans="1:10" s="86" customFormat="1" x14ac:dyDescent="0.25">
      <c r="A136" s="298">
        <f>Données!A137</f>
        <v>5635</v>
      </c>
      <c r="B136" s="302" t="str">
        <f>Données!B137</f>
        <v>Ecublens</v>
      </c>
      <c r="C136" s="300">
        <f>VPI!Q137</f>
        <v>62.5</v>
      </c>
      <c r="D136" s="305">
        <f>Données!Z137</f>
        <v>13334</v>
      </c>
      <c r="E136" s="137">
        <f>VPI!R137</f>
        <v>505560.77512000001</v>
      </c>
      <c r="F136" s="234">
        <f>'Péréquation directe'!K143</f>
        <v>-1149383.4143782016</v>
      </c>
      <c r="G136" s="244">
        <f>PCS!I143</f>
        <v>8582816.5149243847</v>
      </c>
      <c r="H136" s="260">
        <f>Police!L137</f>
        <v>569516.74490484397</v>
      </c>
      <c r="I136" s="343">
        <f t="shared" si="2"/>
        <v>8002949.8454510272</v>
      </c>
      <c r="J136" s="138"/>
    </row>
    <row r="137" spans="1:10" s="86" customFormat="1" x14ac:dyDescent="0.25">
      <c r="A137" s="298">
        <f>Données!A138</f>
        <v>5636</v>
      </c>
      <c r="B137" s="302" t="str">
        <f>Données!B138</f>
        <v>Etoy</v>
      </c>
      <c r="C137" s="300">
        <f>VPI!Q138</f>
        <v>60</v>
      </c>
      <c r="D137" s="305">
        <f>Données!Z138</f>
        <v>2920</v>
      </c>
      <c r="E137" s="137">
        <f>VPI!R138</f>
        <v>236704.12550000002</v>
      </c>
      <c r="F137" s="234">
        <f>'Péréquation directe'!K144</f>
        <v>3733779.1377201979</v>
      </c>
      <c r="G137" s="244">
        <f>PCS!I144</f>
        <v>5404105.3703174256</v>
      </c>
      <c r="H137" s="260">
        <f>Police!L138</f>
        <v>533043.97427943454</v>
      </c>
      <c r="I137" s="343">
        <f t="shared" si="2"/>
        <v>9670928.4823170584</v>
      </c>
      <c r="J137" s="138"/>
    </row>
    <row r="138" spans="1:10" s="86" customFormat="1" x14ac:dyDescent="0.25">
      <c r="A138" s="298">
        <f>Données!A139</f>
        <v>5637</v>
      </c>
      <c r="B138" s="302" t="str">
        <f>Données!B139</f>
        <v>Lavigny</v>
      </c>
      <c r="C138" s="300">
        <f>VPI!Q139</f>
        <v>73</v>
      </c>
      <c r="D138" s="305">
        <f>Données!Z139</f>
        <v>1052</v>
      </c>
      <c r="E138" s="137">
        <f>VPI!R139</f>
        <v>38282.802876712332</v>
      </c>
      <c r="F138" s="234">
        <f>'Péréquation directe'!K145</f>
        <v>296248.31373745669</v>
      </c>
      <c r="G138" s="244">
        <f>PCS!I145</f>
        <v>624219.73444262752</v>
      </c>
      <c r="H138" s="260">
        <f>Police!L139</f>
        <v>113905.42011099847</v>
      </c>
      <c r="I138" s="343">
        <f t="shared" si="2"/>
        <v>1034373.4682910827</v>
      </c>
      <c r="J138" s="138"/>
    </row>
    <row r="139" spans="1:10" s="86" customFormat="1" x14ac:dyDescent="0.25">
      <c r="A139" s="298">
        <f>Données!A140</f>
        <v>5638</v>
      </c>
      <c r="B139" s="302" t="str">
        <f>Données!B140</f>
        <v>Lonay</v>
      </c>
      <c r="C139" s="300">
        <f>VPI!Q140</f>
        <v>55</v>
      </c>
      <c r="D139" s="305">
        <f>Données!Z140</f>
        <v>2693</v>
      </c>
      <c r="E139" s="137">
        <f>VPI!R140</f>
        <v>168507.09218181815</v>
      </c>
      <c r="F139" s="234">
        <f>'Péréquation directe'!K146</f>
        <v>2500459.4224812407</v>
      </c>
      <c r="G139" s="244">
        <f>PCS!I146</f>
        <v>8309058.0803084597</v>
      </c>
      <c r="H139" s="260">
        <f>Police!L140</f>
        <v>435510.15442991059</v>
      </c>
      <c r="I139" s="343">
        <f t="shared" si="2"/>
        <v>11245027.657219611</v>
      </c>
      <c r="J139" s="138"/>
    </row>
    <row r="140" spans="1:10" s="86" customFormat="1" x14ac:dyDescent="0.25">
      <c r="A140" s="298">
        <f>Données!A141</f>
        <v>5639</v>
      </c>
      <c r="B140" s="302" t="str">
        <f>Données!B141</f>
        <v>Lully</v>
      </c>
      <c r="C140" s="300">
        <f>VPI!Q141</f>
        <v>61</v>
      </c>
      <c r="D140" s="305">
        <f>Données!Z141</f>
        <v>833</v>
      </c>
      <c r="E140" s="137">
        <f>VPI!R141</f>
        <v>50946.176393442627</v>
      </c>
      <c r="F140" s="234">
        <f>'Péréquation directe'!K147</f>
        <v>874364.49363117362</v>
      </c>
      <c r="G140" s="244">
        <f>PCS!I147</f>
        <v>976221.60805357038</v>
      </c>
      <c r="H140" s="260">
        <f>Police!L141</f>
        <v>133386.85151751968</v>
      </c>
      <c r="I140" s="343">
        <f t="shared" si="2"/>
        <v>1983972.9532022637</v>
      </c>
      <c r="J140" s="138"/>
    </row>
    <row r="141" spans="1:10" s="86" customFormat="1" x14ac:dyDescent="0.25">
      <c r="A141" s="298">
        <f>Données!A142</f>
        <v>5640</v>
      </c>
      <c r="B141" s="302" t="str">
        <f>Données!B142</f>
        <v>Lussy-sur-Morges</v>
      </c>
      <c r="C141" s="300">
        <f>VPI!Q142</f>
        <v>61.5</v>
      </c>
      <c r="D141" s="305">
        <f>Données!Z142</f>
        <v>732</v>
      </c>
      <c r="E141" s="137">
        <f>VPI!R142</f>
        <v>53692.239837398381</v>
      </c>
      <c r="F141" s="234">
        <f>'Péréquation directe'!K148</f>
        <v>940630.3470265778</v>
      </c>
      <c r="G141" s="244">
        <f>PCS!I148</f>
        <v>1003226.7233987959</v>
      </c>
      <c r="H141" s="260">
        <f>Police!L142</f>
        <v>60484.577055225789</v>
      </c>
      <c r="I141" s="343">
        <f t="shared" si="2"/>
        <v>2004341.6474805996</v>
      </c>
      <c r="J141" s="138"/>
    </row>
    <row r="142" spans="1:10" s="86" customFormat="1" x14ac:dyDescent="0.25">
      <c r="A142" s="298">
        <f>Données!A143</f>
        <v>5642</v>
      </c>
      <c r="B142" s="302" t="str">
        <f>Données!B143</f>
        <v>Morges</v>
      </c>
      <c r="C142" s="300">
        <f>VPI!Q143</f>
        <v>67</v>
      </c>
      <c r="D142" s="305">
        <f>Données!Z143</f>
        <v>17755</v>
      </c>
      <c r="E142" s="137">
        <f>VPI!R143</f>
        <v>1132235.5279104479</v>
      </c>
      <c r="F142" s="234">
        <f>'Péréquation directe'!K149</f>
        <v>8567956.7644377872</v>
      </c>
      <c r="G142" s="244">
        <f>PCS!I149</f>
        <v>22595461.686641857</v>
      </c>
      <c r="H142" s="260">
        <f>Police!L143</f>
        <v>1275468.9921664111</v>
      </c>
      <c r="I142" s="343">
        <f t="shared" si="2"/>
        <v>32438887.443246055</v>
      </c>
      <c r="J142" s="138"/>
    </row>
    <row r="143" spans="1:10" s="86" customFormat="1" x14ac:dyDescent="0.25">
      <c r="A143" s="298">
        <f>Données!A144</f>
        <v>5643</v>
      </c>
      <c r="B143" s="302" t="str">
        <f>Données!B144</f>
        <v>Préverenges</v>
      </c>
      <c r="C143" s="300">
        <f>VPI!Q144</f>
        <v>62.5</v>
      </c>
      <c r="D143" s="305">
        <f>Données!Z144</f>
        <v>5223</v>
      </c>
      <c r="E143" s="137">
        <f>VPI!R144</f>
        <v>249027.28047999999</v>
      </c>
      <c r="F143" s="234">
        <f>'Péréquation directe'!K150</f>
        <v>2607555.7038756302</v>
      </c>
      <c r="G143" s="244">
        <f>PCS!I150</f>
        <v>3577948.7639523223</v>
      </c>
      <c r="H143" s="260">
        <f>Police!L144</f>
        <v>280530.47853210435</v>
      </c>
      <c r="I143" s="343">
        <f t="shared" si="2"/>
        <v>6466034.9463600572</v>
      </c>
      <c r="J143" s="138"/>
    </row>
    <row r="144" spans="1:10" s="86" customFormat="1" x14ac:dyDescent="0.25">
      <c r="A144" s="298">
        <f>Données!A145</f>
        <v>5645</v>
      </c>
      <c r="B144" s="302" t="str">
        <f>Données!B145</f>
        <v>Romanel-sur-Morges</v>
      </c>
      <c r="C144" s="300">
        <f>VPI!Q145</f>
        <v>56</v>
      </c>
      <c r="D144" s="305">
        <f>Données!Z145</f>
        <v>462</v>
      </c>
      <c r="E144" s="137">
        <f>VPI!R145</f>
        <v>27135.573571428577</v>
      </c>
      <c r="F144" s="234">
        <f>'Péréquation directe'!K151</f>
        <v>463312.13196080609</v>
      </c>
      <c r="G144" s="244">
        <f>PCS!I151</f>
        <v>424380.76892418793</v>
      </c>
      <c r="H144" s="260">
        <f>Police!L145</f>
        <v>72717.251055713656</v>
      </c>
      <c r="I144" s="343">
        <f t="shared" si="2"/>
        <v>960410.1519407077</v>
      </c>
      <c r="J144" s="138"/>
    </row>
    <row r="145" spans="1:10" s="86" customFormat="1" x14ac:dyDescent="0.25">
      <c r="A145" s="298">
        <f>Données!A146</f>
        <v>5646</v>
      </c>
      <c r="B145" s="302" t="str">
        <f>Données!B146</f>
        <v>Saint-Prex</v>
      </c>
      <c r="C145" s="300">
        <f>VPI!Q146</f>
        <v>59</v>
      </c>
      <c r="D145" s="305">
        <f>Données!Z146</f>
        <v>5907</v>
      </c>
      <c r="E145" s="137">
        <f>VPI!R146</f>
        <v>525095.71629943512</v>
      </c>
      <c r="F145" s="234">
        <f>'Péréquation directe'!K152</f>
        <v>7652078.7387729511</v>
      </c>
      <c r="G145" s="244">
        <f>PCS!I152</f>
        <v>11599894.766582545</v>
      </c>
      <c r="H145" s="260">
        <f>Police!L146</f>
        <v>591522.95396997326</v>
      </c>
      <c r="I145" s="343">
        <f t="shared" si="2"/>
        <v>19843496.45932547</v>
      </c>
      <c r="J145" s="138"/>
    </row>
    <row r="146" spans="1:10" s="86" customFormat="1" x14ac:dyDescent="0.25">
      <c r="A146" s="298">
        <f>Données!A147</f>
        <v>5648</v>
      </c>
      <c r="B146" s="302" t="str">
        <f>Données!B147</f>
        <v>Saint-Sulpice</v>
      </c>
      <c r="C146" s="300">
        <f>VPI!Q147</f>
        <v>55</v>
      </c>
      <c r="D146" s="305">
        <f>Données!Z147</f>
        <v>5138</v>
      </c>
      <c r="E146" s="137">
        <f>VPI!R147</f>
        <v>396373.38209090912</v>
      </c>
      <c r="F146" s="234">
        <f>'Péréquation directe'!K153</f>
        <v>5650970.1090755295</v>
      </c>
      <c r="G146" s="244">
        <f>PCS!I153</f>
        <v>8545628.9552328493</v>
      </c>
      <c r="H146" s="260">
        <f>Police!L147</f>
        <v>446516.59987220442</v>
      </c>
      <c r="I146" s="343">
        <f t="shared" si="2"/>
        <v>14643115.664180582</v>
      </c>
      <c r="J146" s="138"/>
    </row>
    <row r="147" spans="1:10" s="86" customFormat="1" x14ac:dyDescent="0.25">
      <c r="A147" s="298">
        <f>Données!A148</f>
        <v>5649</v>
      </c>
      <c r="B147" s="302" t="str">
        <f>Données!B148</f>
        <v>Tolochenaz</v>
      </c>
      <c r="C147" s="300">
        <f>VPI!Q148</f>
        <v>64</v>
      </c>
      <c r="D147" s="305">
        <f>Données!Z148</f>
        <v>1922</v>
      </c>
      <c r="E147" s="137">
        <f>VPI!R148</f>
        <v>281314.52828124992</v>
      </c>
      <c r="F147" s="234">
        <f>'Péréquation directe'!K154</f>
        <v>4961595.2162002278</v>
      </c>
      <c r="G147" s="244">
        <f>PCS!I154</f>
        <v>9016597.5732008275</v>
      </c>
      <c r="H147" s="260">
        <f>Police!L148</f>
        <v>316902.22486732854</v>
      </c>
      <c r="I147" s="343">
        <f t="shared" si="2"/>
        <v>14295095.014268383</v>
      </c>
      <c r="J147" s="138"/>
    </row>
    <row r="148" spans="1:10" s="86" customFormat="1" x14ac:dyDescent="0.25">
      <c r="A148" s="298">
        <f>Données!A149</f>
        <v>5650</v>
      </c>
      <c r="B148" s="302" t="str">
        <f>Données!B149</f>
        <v>Vaux-sur-Morges</v>
      </c>
      <c r="C148" s="300">
        <f>VPI!Q149</f>
        <v>56</v>
      </c>
      <c r="D148" s="305">
        <f>Données!Z149</f>
        <v>180</v>
      </c>
      <c r="E148" s="137">
        <f>VPI!R149</f>
        <v>96067.741964285728</v>
      </c>
      <c r="F148" s="234">
        <f>'Péréquation directe'!K155</f>
        <v>765213.54571799538</v>
      </c>
      <c r="G148" s="244">
        <f>PCS!I155</f>
        <v>3848817.0585677195</v>
      </c>
      <c r="H148" s="260">
        <f>Police!L149</f>
        <v>124642.43846201106</v>
      </c>
      <c r="I148" s="343">
        <f t="shared" si="2"/>
        <v>4738673.0427477267</v>
      </c>
      <c r="J148" s="138"/>
    </row>
    <row r="149" spans="1:10" s="86" customFormat="1" x14ac:dyDescent="0.25">
      <c r="A149" s="298">
        <f>Données!A150</f>
        <v>5651</v>
      </c>
      <c r="B149" s="302" t="str">
        <f>Données!B150</f>
        <v>Villars-Sainte-Croix</v>
      </c>
      <c r="C149" s="300">
        <f>VPI!Q150</f>
        <v>60.5</v>
      </c>
      <c r="D149" s="305">
        <f>Données!Z150</f>
        <v>980</v>
      </c>
      <c r="E149" s="137">
        <f>VPI!R150</f>
        <v>61414.015041322302</v>
      </c>
      <c r="F149" s="234">
        <f>'Péréquation directe'!K156</f>
        <v>1057187.1873470689</v>
      </c>
      <c r="G149" s="244">
        <f>PCS!I156</f>
        <v>1056762.3477106479</v>
      </c>
      <c r="H149" s="260">
        <f>Police!L150</f>
        <v>69183.195491321545</v>
      </c>
      <c r="I149" s="343">
        <f t="shared" si="2"/>
        <v>2183132.7305490384</v>
      </c>
      <c r="J149" s="138"/>
    </row>
    <row r="150" spans="1:10" s="86" customFormat="1" x14ac:dyDescent="0.25">
      <c r="A150" s="298">
        <f>Données!A151</f>
        <v>5652</v>
      </c>
      <c r="B150" s="302" t="str">
        <f>Données!B151</f>
        <v>Villars-sous-Yens</v>
      </c>
      <c r="C150" s="300">
        <f>VPI!Q151</f>
        <v>76</v>
      </c>
      <c r="D150" s="305">
        <f>Données!Z151</f>
        <v>609</v>
      </c>
      <c r="E150" s="137">
        <f>VPI!R151</f>
        <v>29186.92625</v>
      </c>
      <c r="F150" s="234">
        <f>'Péréquation directe'!K157</f>
        <v>462094.68470127386</v>
      </c>
      <c r="G150" s="244">
        <f>PCS!I157</f>
        <v>681026.34108321229</v>
      </c>
      <c r="H150" s="260">
        <f>Police!L151</f>
        <v>88053.294108359143</v>
      </c>
      <c r="I150" s="343">
        <f t="shared" si="2"/>
        <v>1231174.3198928453</v>
      </c>
      <c r="J150" s="138"/>
    </row>
    <row r="151" spans="1:10" s="86" customFormat="1" x14ac:dyDescent="0.25">
      <c r="A151" s="298">
        <f>Données!A152</f>
        <v>5653</v>
      </c>
      <c r="B151" s="302" t="str">
        <f>Données!B152</f>
        <v>Vufflens-le-Château</v>
      </c>
      <c r="C151" s="300">
        <f>VPI!Q152</f>
        <v>62.5</v>
      </c>
      <c r="D151" s="305">
        <f>Données!Z152</f>
        <v>882</v>
      </c>
      <c r="E151" s="137">
        <f>VPI!R152</f>
        <v>66751.135840000003</v>
      </c>
      <c r="F151" s="234">
        <f>'Péréquation directe'!K158</f>
        <v>1173085.3325417787</v>
      </c>
      <c r="G151" s="244">
        <f>PCS!I158</f>
        <v>1217168.2433600428</v>
      </c>
      <c r="H151" s="260">
        <f>Police!L152</f>
        <v>155661.55446305702</v>
      </c>
      <c r="I151" s="343">
        <f t="shared" si="2"/>
        <v>2545915.1303648781</v>
      </c>
      <c r="J151" s="138"/>
    </row>
    <row r="152" spans="1:10" s="86" customFormat="1" x14ac:dyDescent="0.25">
      <c r="A152" s="298">
        <f>Données!A153</f>
        <v>5654</v>
      </c>
      <c r="B152" s="302" t="str">
        <f>Données!B153</f>
        <v>Vullierens</v>
      </c>
      <c r="C152" s="300">
        <f>VPI!Q153</f>
        <v>76</v>
      </c>
      <c r="D152" s="305">
        <f>Données!Z153</f>
        <v>571</v>
      </c>
      <c r="E152" s="137">
        <f>VPI!R153</f>
        <v>21960.434210526313</v>
      </c>
      <c r="F152" s="234">
        <f>'Péréquation directe'!K159</f>
        <v>204203.42540103878</v>
      </c>
      <c r="G152" s="244">
        <f>PCS!I159</f>
        <v>299080.79965304525</v>
      </c>
      <c r="H152" s="260">
        <f>Police!L153</f>
        <v>65528.923321491355</v>
      </c>
      <c r="I152" s="343">
        <f t="shared" si="2"/>
        <v>568813.14837557543</v>
      </c>
      <c r="J152" s="138"/>
    </row>
    <row r="153" spans="1:10" s="86" customFormat="1" x14ac:dyDescent="0.25">
      <c r="A153" s="298">
        <f>Données!A154</f>
        <v>5655</v>
      </c>
      <c r="B153" s="302" t="str">
        <f>Données!B154</f>
        <v>Yens</v>
      </c>
      <c r="C153" s="300">
        <f>VPI!Q154</f>
        <v>70</v>
      </c>
      <c r="D153" s="305">
        <f>Données!Z154</f>
        <v>1505</v>
      </c>
      <c r="E153" s="137">
        <f>VPI!R154</f>
        <v>83347.731285714282</v>
      </c>
      <c r="F153" s="234">
        <f>'Péréquation directe'!K160</f>
        <v>1292577.1547625507</v>
      </c>
      <c r="G153" s="244">
        <f>PCS!I160</f>
        <v>1312347.3073845033</v>
      </c>
      <c r="H153" s="260">
        <f>Police!L154</f>
        <v>231194.84396507073</v>
      </c>
      <c r="I153" s="343">
        <f t="shared" si="2"/>
        <v>2836119.3061121251</v>
      </c>
      <c r="J153" s="138"/>
    </row>
    <row r="154" spans="1:10" s="86" customFormat="1" x14ac:dyDescent="0.25">
      <c r="A154" s="298">
        <f>Données!A155</f>
        <v>5656</v>
      </c>
      <c r="B154" s="302" t="str">
        <f>Données!B155</f>
        <v>Hautemorges</v>
      </c>
      <c r="C154" s="300">
        <f>VPI!Q155</f>
        <v>71</v>
      </c>
      <c r="D154" s="305">
        <f>Données!Z155</f>
        <v>4343</v>
      </c>
      <c r="E154" s="137">
        <f>VPI!R155</f>
        <v>167962.47422535214</v>
      </c>
      <c r="F154" s="234">
        <f>'Péréquation directe'!K161</f>
        <v>729541.07677948475</v>
      </c>
      <c r="G154" s="244">
        <f>PCS!I161</f>
        <v>2369533.1042839242</v>
      </c>
      <c r="H154" s="260">
        <f>Police!L155</f>
        <v>498749.05621964968</v>
      </c>
      <c r="I154" s="343">
        <f t="shared" si="2"/>
        <v>3597823.2372830585</v>
      </c>
      <c r="J154" s="138"/>
    </row>
    <row r="155" spans="1:10" s="86" customFormat="1" x14ac:dyDescent="0.25">
      <c r="A155" s="298">
        <f>Données!A156</f>
        <v>5661</v>
      </c>
      <c r="B155" s="302" t="str">
        <f>Données!B156</f>
        <v>Boulens</v>
      </c>
      <c r="C155" s="300">
        <f>VPI!Q156</f>
        <v>71.5</v>
      </c>
      <c r="D155" s="305">
        <f>Données!Z156</f>
        <v>379</v>
      </c>
      <c r="E155" s="137">
        <f>VPI!R156</f>
        <v>10042.510349650349</v>
      </c>
      <c r="F155" s="234">
        <f>'Péréquation directe'!K162</f>
        <v>-33511.081141631497</v>
      </c>
      <c r="G155" s="244">
        <f>PCS!I162</f>
        <v>159016.28242423703</v>
      </c>
      <c r="H155" s="260">
        <f>Police!L156</f>
        <v>29619.860996667583</v>
      </c>
      <c r="I155" s="343">
        <f t="shared" si="2"/>
        <v>155125.06227927312</v>
      </c>
      <c r="J155" s="138"/>
    </row>
    <row r="156" spans="1:10" s="86" customFormat="1" x14ac:dyDescent="0.25">
      <c r="A156" s="298">
        <f>Données!A157</f>
        <v>5663</v>
      </c>
      <c r="B156" s="302" t="str">
        <f>Données!B157</f>
        <v>Bussy-sur-Moudon</v>
      </c>
      <c r="C156" s="300">
        <f>VPI!Q157</f>
        <v>78.5</v>
      </c>
      <c r="D156" s="305">
        <f>Données!Z157</f>
        <v>251</v>
      </c>
      <c r="E156" s="137">
        <f>VPI!R157</f>
        <v>7115.4099363057312</v>
      </c>
      <c r="F156" s="234">
        <f>'Péréquation directe'!K163</f>
        <v>-25960.244546060625</v>
      </c>
      <c r="G156" s="244">
        <f>PCS!I163</f>
        <v>101338.5183713466</v>
      </c>
      <c r="H156" s="260">
        <f>Police!L157</f>
        <v>21339.278173993611</v>
      </c>
      <c r="I156" s="343">
        <f t="shared" si="2"/>
        <v>96717.551999279589</v>
      </c>
      <c r="J156" s="138"/>
    </row>
    <row r="157" spans="1:10" s="86" customFormat="1" x14ac:dyDescent="0.25">
      <c r="A157" s="298">
        <f>Données!A158</f>
        <v>5665</v>
      </c>
      <c r="B157" s="302" t="str">
        <f>Données!B158</f>
        <v>Chavannes-sur-Moudon</v>
      </c>
      <c r="C157" s="300">
        <f>VPI!Q158</f>
        <v>70</v>
      </c>
      <c r="D157" s="305">
        <f>Données!Z158</f>
        <v>238</v>
      </c>
      <c r="E157" s="137">
        <f>VPI!R158</f>
        <v>5907.4868571428569</v>
      </c>
      <c r="F157" s="234">
        <f>'Péréquation directe'!K164</f>
        <v>-31919.115123071169</v>
      </c>
      <c r="G157" s="244">
        <f>PCS!I164</f>
        <v>68080.170365295751</v>
      </c>
      <c r="H157" s="260">
        <f>Police!L158</f>
        <v>17603.904385050693</v>
      </c>
      <c r="I157" s="343">
        <f t="shared" si="2"/>
        <v>53764.959627275275</v>
      </c>
      <c r="J157" s="138"/>
    </row>
    <row r="158" spans="1:10" s="86" customFormat="1" x14ac:dyDescent="0.25">
      <c r="A158" s="298">
        <f>Données!A159</f>
        <v>5669</v>
      </c>
      <c r="B158" s="302" t="str">
        <f>Données!B159</f>
        <v>Curtilles</v>
      </c>
      <c r="C158" s="300">
        <f>VPI!Q159</f>
        <v>73</v>
      </c>
      <c r="D158" s="305">
        <f>Données!Z159</f>
        <v>310</v>
      </c>
      <c r="E158" s="137">
        <f>VPI!R159</f>
        <v>9466.6579452054793</v>
      </c>
      <c r="F158" s="234">
        <f>'Péréquation directe'!K165</f>
        <v>17266.746851634351</v>
      </c>
      <c r="G158" s="244">
        <f>PCS!I165</f>
        <v>181947.79378620378</v>
      </c>
      <c r="H158" s="260">
        <f>Police!L159</f>
        <v>28230.73155472389</v>
      </c>
      <c r="I158" s="343">
        <f t="shared" si="2"/>
        <v>227445.27219256203</v>
      </c>
      <c r="J158" s="138"/>
    </row>
    <row r="159" spans="1:10" s="86" customFormat="1" x14ac:dyDescent="0.25">
      <c r="A159" s="298">
        <f>Données!A160</f>
        <v>5671</v>
      </c>
      <c r="B159" s="302" t="str">
        <f>Données!B160</f>
        <v>Dompierre</v>
      </c>
      <c r="C159" s="300">
        <f>VPI!Q160</f>
        <v>78</v>
      </c>
      <c r="D159" s="305">
        <f>Données!Z160</f>
        <v>253</v>
      </c>
      <c r="E159" s="137">
        <f>VPI!R160</f>
        <v>8071.3430769230772</v>
      </c>
      <c r="F159" s="234">
        <f>'Péréquation directe'!K166</f>
        <v>14714.843063876964</v>
      </c>
      <c r="G159" s="244">
        <f>PCS!I166</f>
        <v>111274.38805551111</v>
      </c>
      <c r="H159" s="260">
        <f>Police!L160</f>
        <v>24302.594549431018</v>
      </c>
      <c r="I159" s="343">
        <f t="shared" si="2"/>
        <v>150291.8256688191</v>
      </c>
      <c r="J159" s="138"/>
    </row>
    <row r="160" spans="1:10" s="86" customFormat="1" x14ac:dyDescent="0.25">
      <c r="A160" s="298">
        <f>Données!A161</f>
        <v>5673</v>
      </c>
      <c r="B160" s="302" t="str">
        <f>Données!B161</f>
        <v>Hermenches</v>
      </c>
      <c r="C160" s="300">
        <f>VPI!Q161</f>
        <v>73.5</v>
      </c>
      <c r="D160" s="305">
        <f>Données!Z161</f>
        <v>377</v>
      </c>
      <c r="E160" s="137">
        <f>VPI!R161</f>
        <v>11048.340272108846</v>
      </c>
      <c r="F160" s="234">
        <f>'Péréquation directe'!K167</f>
        <v>-72.223392659652745</v>
      </c>
      <c r="G160" s="244">
        <f>PCS!I167</f>
        <v>152347.08967993269</v>
      </c>
      <c r="H160" s="260">
        <f>Police!L161</f>
        <v>33109.534725712008</v>
      </c>
      <c r="I160" s="343">
        <f t="shared" si="2"/>
        <v>185384.40101298504</v>
      </c>
      <c r="J160" s="138"/>
    </row>
    <row r="161" spans="1:10" s="86" customFormat="1" x14ac:dyDescent="0.25">
      <c r="A161" s="298">
        <f>Données!A162</f>
        <v>5674</v>
      </c>
      <c r="B161" s="302" t="str">
        <f>Données!B162</f>
        <v>Lovatens</v>
      </c>
      <c r="C161" s="300">
        <f>VPI!Q162</f>
        <v>75</v>
      </c>
      <c r="D161" s="305">
        <f>Données!Z162</f>
        <v>142</v>
      </c>
      <c r="E161" s="137">
        <f>VPI!R162</f>
        <v>4104.2373333333326</v>
      </c>
      <c r="F161" s="234">
        <f>'Péréquation directe'!K168</f>
        <v>-4962.9383618781576</v>
      </c>
      <c r="G161" s="244">
        <f>PCS!I168</f>
        <v>47570.280172472245</v>
      </c>
      <c r="H161" s="260">
        <f>Police!L162</f>
        <v>12266.809242410582</v>
      </c>
      <c r="I161" s="343">
        <f t="shared" si="2"/>
        <v>54874.151053004665</v>
      </c>
      <c r="J161" s="138"/>
    </row>
    <row r="162" spans="1:10" s="86" customFormat="1" x14ac:dyDescent="0.25">
      <c r="A162" s="298">
        <f>Données!A163</f>
        <v>5675</v>
      </c>
      <c r="B162" s="302" t="str">
        <f>Données!B163</f>
        <v>Lucens</v>
      </c>
      <c r="C162" s="300">
        <f>VPI!Q163</f>
        <v>69.5</v>
      </c>
      <c r="D162" s="305">
        <f>Données!Z163</f>
        <v>4599</v>
      </c>
      <c r="E162" s="137">
        <f>VPI!R163</f>
        <v>97920.060444735136</v>
      </c>
      <c r="F162" s="234">
        <f>'Péréquation directe'!K169</f>
        <v>-2299085.9148399709</v>
      </c>
      <c r="G162" s="244">
        <f>PCS!I169</f>
        <v>1515725.4312820891</v>
      </c>
      <c r="H162" s="260">
        <f>Police!L163</f>
        <v>284381.84449531644</v>
      </c>
      <c r="I162" s="343">
        <f t="shared" si="2"/>
        <v>-498978.63906256534</v>
      </c>
      <c r="J162" s="138"/>
    </row>
    <row r="163" spans="1:10" s="86" customFormat="1" x14ac:dyDescent="0.25">
      <c r="A163" s="298">
        <f>Données!A164</f>
        <v>5678</v>
      </c>
      <c r="B163" s="302" t="str">
        <f>Données!B164</f>
        <v>Moudon</v>
      </c>
      <c r="C163" s="300">
        <f>VPI!Q164</f>
        <v>72.5</v>
      </c>
      <c r="D163" s="305">
        <f>Données!Z164</f>
        <v>6375</v>
      </c>
      <c r="E163" s="137">
        <f>VPI!R164</f>
        <v>133786.12827586205</v>
      </c>
      <c r="F163" s="234">
        <f>'Péréquation directe'!K170</f>
        <v>-3261323.8866922981</v>
      </c>
      <c r="G163" s="244">
        <f>PCS!I170</f>
        <v>2191034.8604854019</v>
      </c>
      <c r="H163" s="260">
        <f>Police!L164</f>
        <v>389907.52140397415</v>
      </c>
      <c r="I163" s="343">
        <f t="shared" si="2"/>
        <v>-680381.50480292202</v>
      </c>
      <c r="J163" s="138"/>
    </row>
    <row r="164" spans="1:10" s="86" customFormat="1" x14ac:dyDescent="0.25">
      <c r="A164" s="298">
        <f>Données!A165</f>
        <v>5680</v>
      </c>
      <c r="B164" s="302" t="str">
        <f>Données!B165</f>
        <v>Ogens</v>
      </c>
      <c r="C164" s="300">
        <f>VPI!Q165</f>
        <v>78</v>
      </c>
      <c r="D164" s="305">
        <f>Données!Z165</f>
        <v>332</v>
      </c>
      <c r="E164" s="137">
        <f>VPI!R165</f>
        <v>7909.509316239315</v>
      </c>
      <c r="F164" s="234">
        <f>'Péréquation directe'!K171</f>
        <v>-97649.257700353861</v>
      </c>
      <c r="G164" s="244">
        <f>PCS!I171</f>
        <v>142999.16826071538</v>
      </c>
      <c r="H164" s="260">
        <f>Police!L165</f>
        <v>23159.579033235506</v>
      </c>
      <c r="I164" s="343">
        <f t="shared" si="2"/>
        <v>68509.489593597027</v>
      </c>
      <c r="J164" s="138"/>
    </row>
    <row r="165" spans="1:10" s="86" customFormat="1" x14ac:dyDescent="0.25">
      <c r="A165" s="298">
        <f>Données!A166</f>
        <v>5683</v>
      </c>
      <c r="B165" s="302" t="str">
        <f>Données!B166</f>
        <v>Prévonloup</v>
      </c>
      <c r="C165" s="300">
        <f>VPI!Q166</f>
        <v>72.5</v>
      </c>
      <c r="D165" s="305">
        <f>Données!Z166</f>
        <v>226</v>
      </c>
      <c r="E165" s="137">
        <f>VPI!R166</f>
        <v>6488.9761379310348</v>
      </c>
      <c r="F165" s="234">
        <f>'Péréquation directe'!K172</f>
        <v>-2794.359210016919</v>
      </c>
      <c r="G165" s="244">
        <f>PCS!I172</f>
        <v>117048.69566980876</v>
      </c>
      <c r="H165" s="260">
        <f>Police!L166</f>
        <v>19335.250873301076</v>
      </c>
      <c r="I165" s="343">
        <f t="shared" si="2"/>
        <v>133589.58733309293</v>
      </c>
      <c r="J165" s="138"/>
    </row>
    <row r="166" spans="1:10" s="86" customFormat="1" x14ac:dyDescent="0.25">
      <c r="A166" s="298">
        <f>Données!A167</f>
        <v>5684</v>
      </c>
      <c r="B166" s="302" t="str">
        <f>Données!B167</f>
        <v>Rossenges</v>
      </c>
      <c r="C166" s="300">
        <f>VPI!Q167</f>
        <v>70</v>
      </c>
      <c r="D166" s="305">
        <f>Données!Z167</f>
        <v>88</v>
      </c>
      <c r="E166" s="137">
        <f>VPI!R167</f>
        <v>5023.6746428571432</v>
      </c>
      <c r="F166" s="234">
        <f>'Péréquation directe'!K173</f>
        <v>85450.28527275534</v>
      </c>
      <c r="G166" s="244">
        <f>PCS!I173</f>
        <v>67011.700177194361</v>
      </c>
      <c r="H166" s="260">
        <f>Police!L167</f>
        <v>13687.554935688211</v>
      </c>
      <c r="I166" s="343">
        <f t="shared" si="2"/>
        <v>166149.5403856379</v>
      </c>
      <c r="J166" s="138"/>
    </row>
    <row r="167" spans="1:10" s="86" customFormat="1" x14ac:dyDescent="0.25">
      <c r="A167" s="298">
        <f>Données!A168</f>
        <v>5688</v>
      </c>
      <c r="B167" s="302" t="str">
        <f>Données!B168</f>
        <v>Syens</v>
      </c>
      <c r="C167" s="300">
        <f>VPI!Q168</f>
        <v>65</v>
      </c>
      <c r="D167" s="305">
        <f>Données!Z168</f>
        <v>166</v>
      </c>
      <c r="E167" s="137">
        <f>VPI!R168</f>
        <v>5225.3353846153841</v>
      </c>
      <c r="F167" s="234">
        <f>'Péréquation directe'!K174</f>
        <v>28743.677593835615</v>
      </c>
      <c r="G167" s="244">
        <f>PCS!I174</f>
        <v>61939.648033713129</v>
      </c>
      <c r="H167" s="260">
        <f>Police!L168</f>
        <v>15551.068016509387</v>
      </c>
      <c r="I167" s="343">
        <f t="shared" si="2"/>
        <v>106234.39364405812</v>
      </c>
      <c r="J167" s="138"/>
    </row>
    <row r="168" spans="1:10" s="86" customFormat="1" x14ac:dyDescent="0.25">
      <c r="A168" s="298">
        <f>Données!A169</f>
        <v>5690</v>
      </c>
      <c r="B168" s="302" t="str">
        <f>Données!B169</f>
        <v>Villars-le-Comte</v>
      </c>
      <c r="C168" s="300">
        <f>VPI!Q169</f>
        <v>68</v>
      </c>
      <c r="D168" s="305">
        <f>Données!Z169</f>
        <v>135</v>
      </c>
      <c r="E168" s="137">
        <f>VPI!R169</f>
        <v>4383.2226470588239</v>
      </c>
      <c r="F168" s="234">
        <f>'Péréquation directe'!K175</f>
        <v>24558.091566379495</v>
      </c>
      <c r="G168" s="244">
        <f>PCS!I175</f>
        <v>82215.680673623778</v>
      </c>
      <c r="H168" s="260">
        <f>Police!L169</f>
        <v>13028.496967965697</v>
      </c>
      <c r="I168" s="343">
        <f t="shared" si="2"/>
        <v>119802.26920796897</v>
      </c>
      <c r="J168" s="138"/>
    </row>
    <row r="169" spans="1:10" s="86" customFormat="1" x14ac:dyDescent="0.25">
      <c r="A169" s="298">
        <f>Données!A170</f>
        <v>5692</v>
      </c>
      <c r="B169" s="302" t="str">
        <f>Données!B170</f>
        <v>Vucherens</v>
      </c>
      <c r="C169" s="300">
        <f>VPI!Q170</f>
        <v>77</v>
      </c>
      <c r="D169" s="305">
        <f>Données!Z170</f>
        <v>635</v>
      </c>
      <c r="E169" s="137">
        <f>VPI!R170</f>
        <v>18408.334805194805</v>
      </c>
      <c r="F169" s="234">
        <f>'Péréquation directe'!K176</f>
        <v>-35683.234654076048</v>
      </c>
      <c r="G169" s="244">
        <f>PCS!I176</f>
        <v>296063.02301389119</v>
      </c>
      <c r="H169" s="260">
        <f>Police!L170</f>
        <v>54541.854849255193</v>
      </c>
      <c r="I169" s="343">
        <f t="shared" si="2"/>
        <v>314921.64320907032</v>
      </c>
      <c r="J169" s="138"/>
    </row>
    <row r="170" spans="1:10" s="86" customFormat="1" x14ac:dyDescent="0.25">
      <c r="A170" s="298">
        <f>Données!A171</f>
        <v>5693</v>
      </c>
      <c r="B170" s="302" t="str">
        <f>Données!B171</f>
        <v>Montanaire</v>
      </c>
      <c r="C170" s="300">
        <f>VPI!Q171</f>
        <v>70</v>
      </c>
      <c r="D170" s="305">
        <f>Données!Z171</f>
        <v>2835</v>
      </c>
      <c r="E170" s="137">
        <f>VPI!R171</f>
        <v>74596.156714285724</v>
      </c>
      <c r="F170" s="234">
        <f>'Péréquation directe'!K177</f>
        <v>-649082.93197054393</v>
      </c>
      <c r="G170" s="244">
        <f>PCS!I177</f>
        <v>1154134.6451242014</v>
      </c>
      <c r="H170" s="260">
        <f>Police!L171</f>
        <v>219829.3418133363</v>
      </c>
      <c r="I170" s="343">
        <f t="shared" si="2"/>
        <v>724881.05496699386</v>
      </c>
      <c r="J170" s="138"/>
    </row>
    <row r="171" spans="1:10" s="86" customFormat="1" x14ac:dyDescent="0.25">
      <c r="A171" s="298">
        <f>Données!A172</f>
        <v>5701</v>
      </c>
      <c r="B171" s="302" t="str">
        <f>Données!B172</f>
        <v>Arnex-sur-Nyon</v>
      </c>
      <c r="C171" s="300">
        <f>VPI!Q172</f>
        <v>70</v>
      </c>
      <c r="D171" s="305">
        <f>Données!Z172</f>
        <v>242</v>
      </c>
      <c r="E171" s="137">
        <f>VPI!R172</f>
        <v>14428.628999999999</v>
      </c>
      <c r="F171" s="234">
        <f>'Péréquation directe'!K178</f>
        <v>246833.64245442697</v>
      </c>
      <c r="G171" s="244">
        <f>PCS!I178</f>
        <v>227219.57340737717</v>
      </c>
      <c r="H171" s="260">
        <f>Police!L172</f>
        <v>38331.913629787341</v>
      </c>
      <c r="I171" s="343">
        <f t="shared" si="2"/>
        <v>512385.12949159148</v>
      </c>
      <c r="J171" s="138"/>
    </row>
    <row r="172" spans="1:10" s="86" customFormat="1" x14ac:dyDescent="0.25">
      <c r="A172" s="298">
        <f>Données!A173</f>
        <v>5702</v>
      </c>
      <c r="B172" s="302" t="str">
        <f>Données!B173</f>
        <v>Arzier-Le Muids</v>
      </c>
      <c r="C172" s="300">
        <f>VPI!Q173</f>
        <v>64</v>
      </c>
      <c r="D172" s="305">
        <f>Données!Z173</f>
        <v>2971</v>
      </c>
      <c r="E172" s="137">
        <f>VPI!R173</f>
        <v>188642.38078125002</v>
      </c>
      <c r="F172" s="234">
        <f>'Péréquation directe'!K179</f>
        <v>2787116.7741099866</v>
      </c>
      <c r="G172" s="244">
        <f>PCS!I179</f>
        <v>3386352.2920582285</v>
      </c>
      <c r="H172" s="260">
        <f>Police!L173</f>
        <v>483554.97788691189</v>
      </c>
      <c r="I172" s="343">
        <f t="shared" si="2"/>
        <v>6657024.0440551266</v>
      </c>
      <c r="J172" s="138"/>
    </row>
    <row r="173" spans="1:10" s="86" customFormat="1" x14ac:dyDescent="0.25">
      <c r="A173" s="298">
        <f>Données!A174</f>
        <v>5703</v>
      </c>
      <c r="B173" s="302" t="str">
        <f>Données!B174</f>
        <v>Bassins</v>
      </c>
      <c r="C173" s="300">
        <f>VPI!Q174</f>
        <v>72.5</v>
      </c>
      <c r="D173" s="305">
        <f>Données!Z174</f>
        <v>1483</v>
      </c>
      <c r="E173" s="137">
        <f>VPI!R174</f>
        <v>66120.332571428575</v>
      </c>
      <c r="F173" s="234">
        <f>'Péréquation directe'!K180</f>
        <v>816307.91363118193</v>
      </c>
      <c r="G173" s="244">
        <f>PCS!I180</f>
        <v>958306.7401907926</v>
      </c>
      <c r="H173" s="260">
        <f>Police!L174</f>
        <v>196907.10065369448</v>
      </c>
      <c r="I173" s="343">
        <f t="shared" si="2"/>
        <v>1971521.754475669</v>
      </c>
      <c r="J173" s="138"/>
    </row>
    <row r="174" spans="1:10" s="86" customFormat="1" x14ac:dyDescent="0.25">
      <c r="A174" s="298">
        <f>Données!A175</f>
        <v>5704</v>
      </c>
      <c r="B174" s="302" t="str">
        <f>Données!B175</f>
        <v>Begnins</v>
      </c>
      <c r="C174" s="300">
        <f>VPI!Q175</f>
        <v>62.5</v>
      </c>
      <c r="D174" s="305">
        <f>Données!Z175</f>
        <v>2008</v>
      </c>
      <c r="E174" s="137">
        <f>VPI!R175</f>
        <v>140338.01370666668</v>
      </c>
      <c r="F174" s="234">
        <f>'Péréquation directe'!K181</f>
        <v>2208165.1492461162</v>
      </c>
      <c r="G174" s="244">
        <f>PCS!I181</f>
        <v>2805199.1895507597</v>
      </c>
      <c r="H174" s="260">
        <f>Police!L175</f>
        <v>341284.06009094272</v>
      </c>
      <c r="I174" s="343">
        <f t="shared" si="2"/>
        <v>5354648.3988878187</v>
      </c>
      <c r="J174" s="138"/>
    </row>
    <row r="175" spans="1:10" s="86" customFormat="1" x14ac:dyDescent="0.25">
      <c r="A175" s="298">
        <f>Données!A176</f>
        <v>5705</v>
      </c>
      <c r="B175" s="302" t="str">
        <f>Données!B176</f>
        <v>Bogis-Bossey</v>
      </c>
      <c r="C175" s="300">
        <f>VPI!Q176</f>
        <v>72</v>
      </c>
      <c r="D175" s="305">
        <f>Données!Z176</f>
        <v>983</v>
      </c>
      <c r="E175" s="137">
        <f>VPI!R176</f>
        <v>55817.342916666668</v>
      </c>
      <c r="F175" s="234">
        <f>'Péréquation directe'!K182</f>
        <v>948738.24864879565</v>
      </c>
      <c r="G175" s="244">
        <f>PCS!I182</f>
        <v>879650.58672025567</v>
      </c>
      <c r="H175" s="260">
        <f>Police!L176</f>
        <v>152558.95004467358</v>
      </c>
      <c r="I175" s="343">
        <f t="shared" si="2"/>
        <v>1980947.7854137251</v>
      </c>
      <c r="J175" s="138"/>
    </row>
    <row r="176" spans="1:10" s="86" customFormat="1" x14ac:dyDescent="0.25">
      <c r="A176" s="298">
        <f>Données!A177</f>
        <v>5706</v>
      </c>
      <c r="B176" s="302" t="str">
        <f>Données!B177</f>
        <v>Borex</v>
      </c>
      <c r="C176" s="300">
        <f>VPI!Q177</f>
        <v>57</v>
      </c>
      <c r="D176" s="305">
        <f>Données!Z177</f>
        <v>1135</v>
      </c>
      <c r="E176" s="137">
        <f>VPI!R177</f>
        <v>71534.631578947388</v>
      </c>
      <c r="F176" s="234">
        <f>'Péréquation directe'!K183</f>
        <v>1200384.3775776592</v>
      </c>
      <c r="G176" s="244">
        <f>PCS!I183</f>
        <v>1090285.759484946</v>
      </c>
      <c r="H176" s="260">
        <f>Police!L177</f>
        <v>184131.72221029576</v>
      </c>
      <c r="I176" s="343">
        <f t="shared" si="2"/>
        <v>2474801.8592729014</v>
      </c>
      <c r="J176" s="138"/>
    </row>
    <row r="177" spans="1:10" s="86" customFormat="1" x14ac:dyDescent="0.25">
      <c r="A177" s="298">
        <f>Données!A178</f>
        <v>5707</v>
      </c>
      <c r="B177" s="302" t="str">
        <f>Données!B178</f>
        <v>Chavannes-de-Bogis</v>
      </c>
      <c r="C177" s="300">
        <f>VPI!Q178</f>
        <v>58</v>
      </c>
      <c r="D177" s="305">
        <f>Données!Z178</f>
        <v>1394</v>
      </c>
      <c r="E177" s="137">
        <f>VPI!R178</f>
        <v>92416.422643678146</v>
      </c>
      <c r="F177" s="234">
        <f>'Péréquation directe'!K184</f>
        <v>1508432.3364401213</v>
      </c>
      <c r="G177" s="244">
        <f>PCS!I184</f>
        <v>1963432.392965121</v>
      </c>
      <c r="H177" s="260">
        <f>Police!L178</f>
        <v>231284.08846039482</v>
      </c>
      <c r="I177" s="343">
        <f t="shared" si="2"/>
        <v>3703148.8178656367</v>
      </c>
      <c r="J177" s="138"/>
    </row>
    <row r="178" spans="1:10" s="86" customFormat="1" x14ac:dyDescent="0.25">
      <c r="A178" s="298">
        <f>Données!A179</f>
        <v>5708</v>
      </c>
      <c r="B178" s="302" t="str">
        <f>Données!B179</f>
        <v>Chavannes-des-Bois</v>
      </c>
      <c r="C178" s="300">
        <f>VPI!Q179</f>
        <v>68</v>
      </c>
      <c r="D178" s="305">
        <f>Données!Z179</f>
        <v>1011</v>
      </c>
      <c r="E178" s="137">
        <f>VPI!R179</f>
        <v>78320.692500000005</v>
      </c>
      <c r="F178" s="234">
        <f>'Péréquation directe'!K185</f>
        <v>1376942.9035961495</v>
      </c>
      <c r="G178" s="244">
        <f>PCS!I185</f>
        <v>1585373.8864559063</v>
      </c>
      <c r="H178" s="260">
        <f>Police!L179</f>
        <v>180463.56431697894</v>
      </c>
      <c r="I178" s="343">
        <f t="shared" si="2"/>
        <v>3142780.354369035</v>
      </c>
      <c r="J178" s="138"/>
    </row>
    <row r="179" spans="1:10" s="86" customFormat="1" x14ac:dyDescent="0.25">
      <c r="A179" s="298">
        <f>Données!A180</f>
        <v>5709</v>
      </c>
      <c r="B179" s="302" t="str">
        <f>Données!B180</f>
        <v>Chéserex</v>
      </c>
      <c r="C179" s="300">
        <f>VPI!Q180</f>
        <v>57</v>
      </c>
      <c r="D179" s="305">
        <f>Données!Z180</f>
        <v>1276</v>
      </c>
      <c r="E179" s="137">
        <f>VPI!R180</f>
        <v>110451.70315789471</v>
      </c>
      <c r="F179" s="234">
        <f>'Péréquation directe'!K186</f>
        <v>1899977.0371936655</v>
      </c>
      <c r="G179" s="244">
        <f>PCS!I186</f>
        <v>2249835.0077501363</v>
      </c>
      <c r="H179" s="260">
        <f>Police!L180</f>
        <v>240835.62097408579</v>
      </c>
      <c r="I179" s="343">
        <f t="shared" si="2"/>
        <v>4390647.6659178883</v>
      </c>
      <c r="J179" s="138"/>
    </row>
    <row r="180" spans="1:10" s="86" customFormat="1" x14ac:dyDescent="0.25">
      <c r="A180" s="298">
        <f>Données!A181</f>
        <v>5710</v>
      </c>
      <c r="B180" s="302" t="str">
        <f>Données!B181</f>
        <v>Coinsins</v>
      </c>
      <c r="C180" s="300">
        <f>VPI!Q181</f>
        <v>51</v>
      </c>
      <c r="D180" s="305">
        <f>Données!Z181</f>
        <v>519</v>
      </c>
      <c r="E180" s="137">
        <f>VPI!R181</f>
        <v>31247.070588235296</v>
      </c>
      <c r="F180" s="234">
        <f>'Péréquation directe'!K187</f>
        <v>535216.94277762074</v>
      </c>
      <c r="G180" s="244">
        <f>PCS!I187</f>
        <v>510742.91708053561</v>
      </c>
      <c r="H180" s="260">
        <f>Police!L181</f>
        <v>82549.060951701162</v>
      </c>
      <c r="I180" s="343">
        <f t="shared" si="2"/>
        <v>1128508.9208098575</v>
      </c>
      <c r="J180" s="138"/>
    </row>
    <row r="181" spans="1:10" s="86" customFormat="1" x14ac:dyDescent="0.25">
      <c r="A181" s="298">
        <f>Données!A182</f>
        <v>5711</v>
      </c>
      <c r="B181" s="302" t="str">
        <f>Données!B182</f>
        <v>Commugny</v>
      </c>
      <c r="C181" s="300">
        <f>VPI!Q182</f>
        <v>57</v>
      </c>
      <c r="D181" s="305">
        <f>Données!Z182</f>
        <v>2993</v>
      </c>
      <c r="E181" s="137">
        <f>VPI!R182</f>
        <v>264202.11623481783</v>
      </c>
      <c r="F181" s="234">
        <f>'Péréquation directe'!K188</f>
        <v>4237875.8144398266</v>
      </c>
      <c r="G181" s="244">
        <f>PCS!I188</f>
        <v>5869143.2124143066</v>
      </c>
      <c r="H181" s="260">
        <f>Police!L182</f>
        <v>570680.48833442002</v>
      </c>
      <c r="I181" s="343">
        <f t="shared" si="2"/>
        <v>10677699.515188552</v>
      </c>
      <c r="J181" s="138"/>
    </row>
    <row r="182" spans="1:10" s="86" customFormat="1" x14ac:dyDescent="0.25">
      <c r="A182" s="298">
        <f>Données!A183</f>
        <v>5712</v>
      </c>
      <c r="B182" s="302" t="str">
        <f>Données!B183</f>
        <v>Coppet</v>
      </c>
      <c r="C182" s="300">
        <f>VPI!Q183</f>
        <v>55</v>
      </c>
      <c r="D182" s="305">
        <f>Données!Z183</f>
        <v>3183</v>
      </c>
      <c r="E182" s="137">
        <f>VPI!R183</f>
        <v>381890.66242424241</v>
      </c>
      <c r="F182" s="234">
        <f>'Péréquation directe'!K189</f>
        <v>6411517.8374733692</v>
      </c>
      <c r="G182" s="244">
        <f>PCS!I189</f>
        <v>13722093.602272436</v>
      </c>
      <c r="H182" s="260">
        <f>Police!L183</f>
        <v>720591.18469773885</v>
      </c>
      <c r="I182" s="343">
        <f t="shared" si="2"/>
        <v>20854202.624443546</v>
      </c>
      <c r="J182" s="138"/>
    </row>
    <row r="183" spans="1:10" s="86" customFormat="1" x14ac:dyDescent="0.25">
      <c r="A183" s="298">
        <f>Données!A184</f>
        <v>5713</v>
      </c>
      <c r="B183" s="302" t="str">
        <f>Données!B184</f>
        <v>Crans</v>
      </c>
      <c r="C183" s="300">
        <f>VPI!Q184</f>
        <v>59</v>
      </c>
      <c r="D183" s="305">
        <f>Données!Z184</f>
        <v>2424</v>
      </c>
      <c r="E183" s="137">
        <f>VPI!R184</f>
        <v>303238.4722033898</v>
      </c>
      <c r="F183" s="234">
        <f>'Péréquation directe'!K190</f>
        <v>5200521.5085098306</v>
      </c>
      <c r="G183" s="244">
        <f>PCS!I190</f>
        <v>8528319.6048156358</v>
      </c>
      <c r="H183" s="260">
        <f>Police!L184</f>
        <v>341599.65748569125</v>
      </c>
      <c r="I183" s="343">
        <f t="shared" si="2"/>
        <v>14070440.770811157</v>
      </c>
      <c r="J183" s="138"/>
    </row>
    <row r="184" spans="1:10" s="86" customFormat="1" x14ac:dyDescent="0.25">
      <c r="A184" s="298">
        <f>Données!A185</f>
        <v>5714</v>
      </c>
      <c r="B184" s="302" t="str">
        <f>Données!B185</f>
        <v>Crassier</v>
      </c>
      <c r="C184" s="300">
        <f>VPI!Q185</f>
        <v>66.5</v>
      </c>
      <c r="D184" s="305">
        <f>Données!Z185</f>
        <v>1273</v>
      </c>
      <c r="E184" s="137">
        <f>VPI!R185</f>
        <v>66120.939097744369</v>
      </c>
      <c r="F184" s="234">
        <f>'Péréquation directe'!K191</f>
        <v>1045180.7433358418</v>
      </c>
      <c r="G184" s="244">
        <f>PCS!I191</f>
        <v>1097690.936090942</v>
      </c>
      <c r="H184" s="260">
        <f>Police!L185</f>
        <v>190623.09916114778</v>
      </c>
      <c r="I184" s="343">
        <f t="shared" si="2"/>
        <v>2333494.7785879313</v>
      </c>
      <c r="J184" s="138"/>
    </row>
    <row r="185" spans="1:10" s="86" customFormat="1" x14ac:dyDescent="0.25">
      <c r="A185" s="298">
        <f>Données!A186</f>
        <v>5715</v>
      </c>
      <c r="B185" s="302" t="str">
        <f>Données!B186</f>
        <v>Duillier</v>
      </c>
      <c r="C185" s="300">
        <f>VPI!Q186</f>
        <v>66</v>
      </c>
      <c r="D185" s="305">
        <f>Données!Z186</f>
        <v>1115</v>
      </c>
      <c r="E185" s="137">
        <f>VPI!R186</f>
        <v>62085.974545454548</v>
      </c>
      <c r="F185" s="234">
        <f>'Péréquation directe'!K192</f>
        <v>1025303.3756481197</v>
      </c>
      <c r="G185" s="244">
        <f>PCS!I192</f>
        <v>1011373.0470977672</v>
      </c>
      <c r="H185" s="260">
        <f>Police!L186</f>
        <v>171663.13540602205</v>
      </c>
      <c r="I185" s="343">
        <f t="shared" si="2"/>
        <v>2208339.5581519092</v>
      </c>
      <c r="J185" s="138"/>
    </row>
    <row r="186" spans="1:10" s="86" customFormat="1" x14ac:dyDescent="0.25">
      <c r="A186" s="298">
        <f>Données!A187</f>
        <v>5716</v>
      </c>
      <c r="B186" s="302" t="str">
        <f>Données!B187</f>
        <v>Eysins</v>
      </c>
      <c r="C186" s="300">
        <f>VPI!Q187</f>
        <v>59.5</v>
      </c>
      <c r="D186" s="305">
        <f>Données!Z187</f>
        <v>1739</v>
      </c>
      <c r="E186" s="137">
        <f>VPI!R187</f>
        <v>264344.77579831937</v>
      </c>
      <c r="F186" s="234">
        <f>'Péréquation directe'!K193</f>
        <v>4701166.0709741414</v>
      </c>
      <c r="G186" s="244">
        <f>PCS!I193</f>
        <v>7874069.4545121808</v>
      </c>
      <c r="H186" s="260">
        <f>Police!L187</f>
        <v>456437.0608704121</v>
      </c>
      <c r="I186" s="343">
        <f t="shared" si="2"/>
        <v>13031672.586356735</v>
      </c>
      <c r="J186" s="138"/>
    </row>
    <row r="187" spans="1:10" s="86" customFormat="1" x14ac:dyDescent="0.25">
      <c r="A187" s="298">
        <f>Données!A188</f>
        <v>5717</v>
      </c>
      <c r="B187" s="302" t="str">
        <f>Données!B188</f>
        <v>Founex</v>
      </c>
      <c r="C187" s="300">
        <f>VPI!Q188</f>
        <v>57</v>
      </c>
      <c r="D187" s="305">
        <f>Données!Z188</f>
        <v>3792</v>
      </c>
      <c r="E187" s="137">
        <f>VPI!R188</f>
        <v>391171.86561403517</v>
      </c>
      <c r="F187" s="234">
        <f>'Péréquation directe'!K194</f>
        <v>6271200.3000028823</v>
      </c>
      <c r="G187" s="244">
        <f>PCS!I194</f>
        <v>9226992.1476855446</v>
      </c>
      <c r="H187" s="260">
        <f>Police!L188</f>
        <v>786606.40905211493</v>
      </c>
      <c r="I187" s="343">
        <f t="shared" si="2"/>
        <v>16284798.856740542</v>
      </c>
      <c r="J187" s="138"/>
    </row>
    <row r="188" spans="1:10" s="86" customFormat="1" x14ac:dyDescent="0.25">
      <c r="A188" s="298">
        <f>Données!A189</f>
        <v>5718</v>
      </c>
      <c r="B188" s="302" t="str">
        <f>Données!B189</f>
        <v>Genolier</v>
      </c>
      <c r="C188" s="300">
        <f>VPI!Q189</f>
        <v>52</v>
      </c>
      <c r="D188" s="305">
        <f>Données!Z189</f>
        <v>2038</v>
      </c>
      <c r="E188" s="137">
        <f>VPI!R189</f>
        <v>199612.23730769227</v>
      </c>
      <c r="F188" s="234">
        <f>'Péréquation directe'!K195</f>
        <v>3341560.3172926498</v>
      </c>
      <c r="G188" s="244">
        <f>PCS!I195</f>
        <v>4456812.3698911006</v>
      </c>
      <c r="H188" s="260">
        <f>Police!L189</f>
        <v>410793.71081819822</v>
      </c>
      <c r="I188" s="343">
        <f t="shared" si="2"/>
        <v>8209166.3980019493</v>
      </c>
      <c r="J188" s="138"/>
    </row>
    <row r="189" spans="1:10" s="86" customFormat="1" x14ac:dyDescent="0.25">
      <c r="A189" s="298">
        <f>Données!A190</f>
        <v>5719</v>
      </c>
      <c r="B189" s="302" t="str">
        <f>Données!B190</f>
        <v>Gingins</v>
      </c>
      <c r="C189" s="300">
        <f>VPI!Q190</f>
        <v>60</v>
      </c>
      <c r="D189" s="305">
        <f>Données!Z190</f>
        <v>1262</v>
      </c>
      <c r="E189" s="137">
        <f>VPI!R190</f>
        <v>144024.32127777775</v>
      </c>
      <c r="F189" s="234">
        <f>'Péréquation directe'!K196</f>
        <v>2553308.1482945364</v>
      </c>
      <c r="G189" s="244">
        <f>PCS!I196</f>
        <v>3831991.5202011494</v>
      </c>
      <c r="H189" s="260">
        <f>Police!L190</f>
        <v>277378.10427255038</v>
      </c>
      <c r="I189" s="343">
        <f t="shared" si="2"/>
        <v>6662677.7727682358</v>
      </c>
      <c r="J189" s="138"/>
    </row>
    <row r="190" spans="1:10" s="86" customFormat="1" x14ac:dyDescent="0.25">
      <c r="A190" s="298">
        <f>Données!A191</f>
        <v>5720</v>
      </c>
      <c r="B190" s="302" t="str">
        <f>Données!B191</f>
        <v>Givrins</v>
      </c>
      <c r="C190" s="300">
        <f>VPI!Q191</f>
        <v>67</v>
      </c>
      <c r="D190" s="305">
        <f>Données!Z191</f>
        <v>1019</v>
      </c>
      <c r="E190" s="137">
        <f>VPI!R191</f>
        <v>79448.9027363184</v>
      </c>
      <c r="F190" s="234">
        <f>'Péréquation directe'!K197</f>
        <v>1395787.3320735577</v>
      </c>
      <c r="G190" s="244">
        <f>PCS!I197</f>
        <v>1657193.4977600479</v>
      </c>
      <c r="H190" s="260">
        <f>Police!L191</f>
        <v>182464.34973374568</v>
      </c>
      <c r="I190" s="343">
        <f t="shared" si="2"/>
        <v>3235445.179567351</v>
      </c>
      <c r="J190" s="138"/>
    </row>
    <row r="191" spans="1:10" s="86" customFormat="1" x14ac:dyDescent="0.25">
      <c r="A191" s="298">
        <f>Données!A192</f>
        <v>5721</v>
      </c>
      <c r="B191" s="302" t="str">
        <f>Données!B192</f>
        <v>Gland</v>
      </c>
      <c r="C191" s="300">
        <f>VPI!Q192</f>
        <v>61</v>
      </c>
      <c r="D191" s="305">
        <f>Données!Z192</f>
        <v>13976</v>
      </c>
      <c r="E191" s="137">
        <f>VPI!R192</f>
        <v>729933.83950819669</v>
      </c>
      <c r="F191" s="234">
        <f>'Péréquation directe'!K198</f>
        <v>4910511.0579468999</v>
      </c>
      <c r="G191" s="244">
        <f>PCS!I198</f>
        <v>11837370.945334783</v>
      </c>
      <c r="H191" s="260">
        <f>Police!L192</f>
        <v>2097323.7102785762</v>
      </c>
      <c r="I191" s="343">
        <f t="shared" si="2"/>
        <v>18845205.713560261</v>
      </c>
      <c r="J191" s="138"/>
    </row>
    <row r="192" spans="1:10" s="86" customFormat="1" x14ac:dyDescent="0.25">
      <c r="A192" s="298">
        <f>Données!A193</f>
        <v>5722</v>
      </c>
      <c r="B192" s="302" t="str">
        <f>Données!B193</f>
        <v>Grens</v>
      </c>
      <c r="C192" s="300">
        <f>VPI!Q193</f>
        <v>62</v>
      </c>
      <c r="D192" s="305">
        <f>Données!Z193</f>
        <v>392</v>
      </c>
      <c r="E192" s="137">
        <f>VPI!R193</f>
        <v>21839.736451612909</v>
      </c>
      <c r="F192" s="234">
        <f>'Péréquation directe'!K199</f>
        <v>370246.26573976298</v>
      </c>
      <c r="G192" s="244">
        <f>PCS!I199</f>
        <v>782588.66291269893</v>
      </c>
      <c r="H192" s="260">
        <f>Police!L193</f>
        <v>60365.268332211694</v>
      </c>
      <c r="I192" s="343">
        <f t="shared" si="2"/>
        <v>1213200.1969846736</v>
      </c>
      <c r="J192" s="138"/>
    </row>
    <row r="193" spans="1:10" s="86" customFormat="1" x14ac:dyDescent="0.25">
      <c r="A193" s="298">
        <f>Données!A194</f>
        <v>5723</v>
      </c>
      <c r="B193" s="302" t="str">
        <f>Données!B194</f>
        <v>Mies</v>
      </c>
      <c r="C193" s="300">
        <f>VPI!Q194</f>
        <v>52</v>
      </c>
      <c r="D193" s="305">
        <f>Données!Z194</f>
        <v>2171</v>
      </c>
      <c r="E193" s="137">
        <f>VPI!R194</f>
        <v>253199.57134615383</v>
      </c>
      <c r="F193" s="234">
        <f>'Péréquation directe'!K200</f>
        <v>4327331.0836810898</v>
      </c>
      <c r="G193" s="244">
        <f>PCS!I200</f>
        <v>6472775.9177768808</v>
      </c>
      <c r="H193" s="260">
        <f>Police!L194</f>
        <v>483293.88277219713</v>
      </c>
      <c r="I193" s="343">
        <f t="shared" si="2"/>
        <v>11283400.884230169</v>
      </c>
      <c r="J193" s="138"/>
    </row>
    <row r="194" spans="1:10" s="86" customFormat="1" x14ac:dyDescent="0.25">
      <c r="A194" s="298">
        <f>Données!A195</f>
        <v>5724</v>
      </c>
      <c r="B194" s="302" t="str">
        <f>Données!B195</f>
        <v>Nyon</v>
      </c>
      <c r="C194" s="300">
        <f>VPI!Q195</f>
        <v>61</v>
      </c>
      <c r="D194" s="305">
        <f>Données!Z195</f>
        <v>22978</v>
      </c>
      <c r="E194" s="137">
        <f>VPI!R195</f>
        <v>1663090.0153005463</v>
      </c>
      <c r="F194" s="234">
        <f>'Péréquation directe'!K201</f>
        <v>13062716.742090456</v>
      </c>
      <c r="G194" s="244">
        <f>PCS!I201</f>
        <v>35564459.737586714</v>
      </c>
      <c r="H194" s="260">
        <f>Police!L195</f>
        <v>1873479.2306086184</v>
      </c>
      <c r="I194" s="343">
        <f t="shared" si="2"/>
        <v>50500655.71028579</v>
      </c>
      <c r="J194" s="138"/>
    </row>
    <row r="195" spans="1:10" s="86" customFormat="1" x14ac:dyDescent="0.25">
      <c r="A195" s="298">
        <f>Données!A196</f>
        <v>5725</v>
      </c>
      <c r="B195" s="302" t="str">
        <f>Données!B196</f>
        <v>Prangins</v>
      </c>
      <c r="C195" s="300">
        <f>VPI!Q196</f>
        <v>55</v>
      </c>
      <c r="D195" s="305">
        <f>Données!Z196</f>
        <v>4284</v>
      </c>
      <c r="E195" s="137">
        <f>VPI!R196</f>
        <v>341674.87389610388</v>
      </c>
      <c r="F195" s="234">
        <f>'Péréquation directe'!K202</f>
        <v>5057430.6623260453</v>
      </c>
      <c r="G195" s="244">
        <f>PCS!I202</f>
        <v>7043519.661003802</v>
      </c>
      <c r="H195" s="260">
        <f>Police!L196</f>
        <v>384898.45647319913</v>
      </c>
      <c r="I195" s="343">
        <f t="shared" si="2"/>
        <v>12485848.779803047</v>
      </c>
      <c r="J195" s="138"/>
    </row>
    <row r="196" spans="1:10" s="86" customFormat="1" x14ac:dyDescent="0.25">
      <c r="A196" s="298">
        <f>Données!A197</f>
        <v>5726</v>
      </c>
      <c r="B196" s="302" t="str">
        <f>Données!B197</f>
        <v>La Rippe</v>
      </c>
      <c r="C196" s="300">
        <f>VPI!Q197</f>
        <v>63.5</v>
      </c>
      <c r="D196" s="305">
        <f>Données!Z197</f>
        <v>1206</v>
      </c>
      <c r="E196" s="137">
        <f>VPI!R197</f>
        <v>71131.071496062999</v>
      </c>
      <c r="F196" s="234">
        <f>'Péréquation directe'!K203</f>
        <v>1166517.8067102106</v>
      </c>
      <c r="G196" s="244">
        <f>PCS!I203</f>
        <v>1028940.9467814821</v>
      </c>
      <c r="H196" s="260">
        <f>Police!L197</f>
        <v>190154.53681065195</v>
      </c>
      <c r="I196" s="343">
        <f t="shared" si="2"/>
        <v>2385613.2903023446</v>
      </c>
      <c r="J196" s="138"/>
    </row>
    <row r="197" spans="1:10" s="86" customFormat="1" x14ac:dyDescent="0.25">
      <c r="A197" s="298">
        <f>Données!A198</f>
        <v>5727</v>
      </c>
      <c r="B197" s="302" t="str">
        <f>Données!B198</f>
        <v>Saint-Cergue</v>
      </c>
      <c r="C197" s="300">
        <f>VPI!Q198</f>
        <v>66</v>
      </c>
      <c r="D197" s="305">
        <f>Données!Z198</f>
        <v>2916</v>
      </c>
      <c r="E197" s="137">
        <f>VPI!R198</f>
        <v>108766.91914141414</v>
      </c>
      <c r="F197" s="234">
        <f>'Péréquation directe'!K204</f>
        <v>648284.8211809881</v>
      </c>
      <c r="G197" s="244">
        <f>PCS!I204</f>
        <v>2105113.854147803</v>
      </c>
      <c r="H197" s="260">
        <f>Police!L198</f>
        <v>322115.49969859578</v>
      </c>
      <c r="I197" s="343">
        <f t="shared" si="2"/>
        <v>3075514.1750273868</v>
      </c>
      <c r="J197" s="138"/>
    </row>
    <row r="198" spans="1:10" s="86" customFormat="1" x14ac:dyDescent="0.25">
      <c r="A198" s="298">
        <f>Données!A199</f>
        <v>5728</v>
      </c>
      <c r="B198" s="302" t="str">
        <f>Données!B199</f>
        <v>Signy-Avenex</v>
      </c>
      <c r="C198" s="300">
        <f>VPI!Q199</f>
        <v>58</v>
      </c>
      <c r="D198" s="305">
        <f>Données!Z199</f>
        <v>606</v>
      </c>
      <c r="E198" s="137">
        <f>VPI!R199</f>
        <v>54935.229999999996</v>
      </c>
      <c r="F198" s="234">
        <f>'Péréquation directe'!K205</f>
        <v>981155.2784982681</v>
      </c>
      <c r="G198" s="244">
        <f>PCS!I205</f>
        <v>1196065.6590786616</v>
      </c>
      <c r="H198" s="260">
        <f>Police!L199</f>
        <v>117171.02008004657</v>
      </c>
      <c r="I198" s="343">
        <f t="shared" ref="I198:I261" si="3">SUM(F198:H198)</f>
        <v>2294391.9576569763</v>
      </c>
      <c r="J198" s="138"/>
    </row>
    <row r="199" spans="1:10" s="86" customFormat="1" x14ac:dyDescent="0.25">
      <c r="A199" s="298">
        <f>Données!A200</f>
        <v>5729</v>
      </c>
      <c r="B199" s="302" t="str">
        <f>Données!B200</f>
        <v>Tannay</v>
      </c>
      <c r="C199" s="300">
        <f>VPI!Q200</f>
        <v>60.5</v>
      </c>
      <c r="D199" s="305">
        <f>Données!Z200</f>
        <v>1715</v>
      </c>
      <c r="E199" s="137">
        <f>VPI!R200</f>
        <v>200776.3305785124</v>
      </c>
      <c r="F199" s="234">
        <f>'Péréquation directe'!K206</f>
        <v>3482658.4582419964</v>
      </c>
      <c r="G199" s="244">
        <f>PCS!I206</f>
        <v>5366770.3658277448</v>
      </c>
      <c r="H199" s="260">
        <f>Police!L200</f>
        <v>382637.33618692681</v>
      </c>
      <c r="I199" s="343">
        <f t="shared" si="3"/>
        <v>9232066.1602566689</v>
      </c>
      <c r="J199" s="138"/>
    </row>
    <row r="200" spans="1:10" s="86" customFormat="1" x14ac:dyDescent="0.25">
      <c r="A200" s="298">
        <f>Données!A201</f>
        <v>5730</v>
      </c>
      <c r="B200" s="302" t="str">
        <f>Données!B201</f>
        <v>Trélex</v>
      </c>
      <c r="C200" s="300">
        <f>VPI!Q201</f>
        <v>55.5</v>
      </c>
      <c r="D200" s="305">
        <f>Données!Z201</f>
        <v>1447</v>
      </c>
      <c r="E200" s="137">
        <f>VPI!R201</f>
        <v>146462.65611611609</v>
      </c>
      <c r="F200" s="234">
        <f>'Péréquation directe'!K207</f>
        <v>2532443.3972219001</v>
      </c>
      <c r="G200" s="244">
        <f>PCS!I207</f>
        <v>3331278.9494190258</v>
      </c>
      <c r="H200" s="260">
        <f>Police!L201</f>
        <v>297002.70356746588</v>
      </c>
      <c r="I200" s="343">
        <f t="shared" si="3"/>
        <v>6160725.0502083916</v>
      </c>
      <c r="J200" s="138"/>
    </row>
    <row r="201" spans="1:10" s="86" customFormat="1" x14ac:dyDescent="0.25">
      <c r="A201" s="298">
        <f>Données!A202</f>
        <v>5731</v>
      </c>
      <c r="B201" s="302" t="str">
        <f>Données!B202</f>
        <v>Le Vaud</v>
      </c>
      <c r="C201" s="300">
        <f>VPI!Q202</f>
        <v>73</v>
      </c>
      <c r="D201" s="305">
        <f>Données!Z202</f>
        <v>1413</v>
      </c>
      <c r="E201" s="137">
        <f>VPI!R202</f>
        <v>70899.219223744294</v>
      </c>
      <c r="F201" s="234">
        <f>'Péréquation directe'!K208</f>
        <v>1086019.9351332169</v>
      </c>
      <c r="G201" s="244">
        <f>PCS!I208</f>
        <v>988819.68379598286</v>
      </c>
      <c r="H201" s="260">
        <f>Police!L202</f>
        <v>208778.24702700434</v>
      </c>
      <c r="I201" s="343">
        <f t="shared" si="3"/>
        <v>2283617.865956204</v>
      </c>
      <c r="J201" s="138"/>
    </row>
    <row r="202" spans="1:10" s="86" customFormat="1" x14ac:dyDescent="0.25">
      <c r="A202" s="298">
        <f>Données!A203</f>
        <v>5732</v>
      </c>
      <c r="B202" s="302" t="str">
        <f>Données!B203</f>
        <v>Vich</v>
      </c>
      <c r="C202" s="300">
        <f>VPI!Q203</f>
        <v>63</v>
      </c>
      <c r="D202" s="305">
        <f>Données!Z203</f>
        <v>1174</v>
      </c>
      <c r="E202" s="137">
        <f>VPI!R203</f>
        <v>83913.803650793649</v>
      </c>
      <c r="F202" s="234">
        <f>'Péréquation directe'!K209</f>
        <v>1425067.28039219</v>
      </c>
      <c r="G202" s="244">
        <f>PCS!I209</f>
        <v>1580110.4954739814</v>
      </c>
      <c r="H202" s="260">
        <f>Police!L203</f>
        <v>201634.94485299461</v>
      </c>
      <c r="I202" s="343">
        <f t="shared" si="3"/>
        <v>3206812.7207191661</v>
      </c>
      <c r="J202" s="138"/>
    </row>
    <row r="203" spans="1:10" s="86" customFormat="1" x14ac:dyDescent="0.25">
      <c r="A203" s="298">
        <f>Données!A204</f>
        <v>5741</v>
      </c>
      <c r="B203" s="302" t="str">
        <f>Données!B204</f>
        <v>L'Abergement</v>
      </c>
      <c r="C203" s="300">
        <f>VPI!Q204</f>
        <v>80</v>
      </c>
      <c r="D203" s="305">
        <f>Données!Z204</f>
        <v>268</v>
      </c>
      <c r="E203" s="137">
        <f>VPI!R204</f>
        <v>8275.7188124999993</v>
      </c>
      <c r="F203" s="234">
        <f>'Péréquation directe'!K210</f>
        <v>-2652.542222765187</v>
      </c>
      <c r="G203" s="244">
        <f>PCS!I210</f>
        <v>111739.9466224619</v>
      </c>
      <c r="H203" s="260">
        <f>Police!L204</f>
        <v>24765.235685178974</v>
      </c>
      <c r="I203" s="343">
        <f t="shared" si="3"/>
        <v>133852.64008487569</v>
      </c>
      <c r="J203" s="138"/>
    </row>
    <row r="204" spans="1:10" s="86" customFormat="1" x14ac:dyDescent="0.25">
      <c r="A204" s="298">
        <f>Données!A205</f>
        <v>5742</v>
      </c>
      <c r="B204" s="302" t="str">
        <f>Données!B205</f>
        <v>Agiez</v>
      </c>
      <c r="C204" s="300">
        <f>VPI!Q205</f>
        <v>76</v>
      </c>
      <c r="D204" s="305">
        <f>Données!Z205</f>
        <v>383</v>
      </c>
      <c r="E204" s="137">
        <f>VPI!R205</f>
        <v>9208.6422368421081</v>
      </c>
      <c r="F204" s="234">
        <f>'Péréquation directe'!K211</f>
        <v>-97006.828985891509</v>
      </c>
      <c r="G204" s="244">
        <f>PCS!I211</f>
        <v>110613.5687626669</v>
      </c>
      <c r="H204" s="260">
        <f>Police!L205</f>
        <v>27165.426594566452</v>
      </c>
      <c r="I204" s="343">
        <f t="shared" si="3"/>
        <v>40772.166371341838</v>
      </c>
      <c r="J204" s="138"/>
    </row>
    <row r="205" spans="1:10" s="86" customFormat="1" x14ac:dyDescent="0.25">
      <c r="A205" s="298">
        <f>Données!A206</f>
        <v>5743</v>
      </c>
      <c r="B205" s="302" t="str">
        <f>Données!B206</f>
        <v>Arnex-sur-Orbe</v>
      </c>
      <c r="C205" s="300">
        <f>VPI!Q206</f>
        <v>71</v>
      </c>
      <c r="D205" s="305">
        <f>Données!Z206</f>
        <v>661</v>
      </c>
      <c r="E205" s="137">
        <f>VPI!R206</f>
        <v>19122.067147887326</v>
      </c>
      <c r="F205" s="234">
        <f>'Péréquation directe'!K212</f>
        <v>9266.8165195866604</v>
      </c>
      <c r="G205" s="244">
        <f>PCS!I212</f>
        <v>328389.52639610879</v>
      </c>
      <c r="H205" s="260">
        <f>Police!L206</f>
        <v>56982.501020730655</v>
      </c>
      <c r="I205" s="343">
        <f t="shared" si="3"/>
        <v>394638.8439364261</v>
      </c>
      <c r="J205" s="138"/>
    </row>
    <row r="206" spans="1:10" s="86" customFormat="1" x14ac:dyDescent="0.25">
      <c r="A206" s="298">
        <f>Données!A207</f>
        <v>5744</v>
      </c>
      <c r="B206" s="302" t="str">
        <f>Données!B207</f>
        <v>Ballaigues</v>
      </c>
      <c r="C206" s="300">
        <f>VPI!Q207</f>
        <v>65</v>
      </c>
      <c r="D206" s="305">
        <f>Données!Z207</f>
        <v>1193</v>
      </c>
      <c r="E206" s="137">
        <f>VPI!R207</f>
        <v>60998.783230769215</v>
      </c>
      <c r="F206" s="234">
        <f>'Péréquation directe'!K213</f>
        <v>975667.10036820569</v>
      </c>
      <c r="G206" s="244">
        <f>PCS!I213</f>
        <v>1271076.0746315799</v>
      </c>
      <c r="H206" s="260">
        <f>Police!L207</f>
        <v>177554.4555690558</v>
      </c>
      <c r="I206" s="343">
        <f t="shared" si="3"/>
        <v>2424297.6305688415</v>
      </c>
      <c r="J206" s="138"/>
    </row>
    <row r="207" spans="1:10" s="86" customFormat="1" x14ac:dyDescent="0.25">
      <c r="A207" s="298">
        <f>Données!A208</f>
        <v>5745</v>
      </c>
      <c r="B207" s="302" t="str">
        <f>Données!B208</f>
        <v>Baulmes</v>
      </c>
      <c r="C207" s="300">
        <f>VPI!Q208</f>
        <v>76.5</v>
      </c>
      <c r="D207" s="305">
        <f>Données!Z208</f>
        <v>1146</v>
      </c>
      <c r="E207" s="137">
        <f>VPI!R208</f>
        <v>29147.980130718955</v>
      </c>
      <c r="F207" s="234">
        <f>'Péréquation directe'!K214</f>
        <v>-265558.92013951007</v>
      </c>
      <c r="G207" s="244">
        <f>PCS!I214</f>
        <v>417918.47647691937</v>
      </c>
      <c r="H207" s="260">
        <f>Police!L208</f>
        <v>86867.466629391682</v>
      </c>
      <c r="I207" s="343">
        <f t="shared" si="3"/>
        <v>239227.02296680099</v>
      </c>
      <c r="J207" s="138"/>
    </row>
    <row r="208" spans="1:10" s="86" customFormat="1" x14ac:dyDescent="0.25">
      <c r="A208" s="298">
        <f>Données!A209</f>
        <v>5746</v>
      </c>
      <c r="B208" s="302" t="str">
        <f>Données!B209</f>
        <v>Bavois</v>
      </c>
      <c r="C208" s="300">
        <f>VPI!Q209</f>
        <v>72</v>
      </c>
      <c r="D208" s="305">
        <f>Données!Z209</f>
        <v>1037</v>
      </c>
      <c r="E208" s="137">
        <f>VPI!R209</f>
        <v>33851.911712962959</v>
      </c>
      <c r="F208" s="234">
        <f>'Péréquation directe'!K215</f>
        <v>147791.10230732028</v>
      </c>
      <c r="G208" s="244">
        <f>PCS!I215</f>
        <v>495334.16611570137</v>
      </c>
      <c r="H208" s="260">
        <f>Police!L209</f>
        <v>99611.390011690572</v>
      </c>
      <c r="I208" s="343">
        <f t="shared" si="3"/>
        <v>742736.65843471221</v>
      </c>
      <c r="J208" s="138"/>
    </row>
    <row r="209" spans="1:10" s="86" customFormat="1" x14ac:dyDescent="0.25">
      <c r="A209" s="298">
        <f>Données!A210</f>
        <v>5747</v>
      </c>
      <c r="B209" s="302" t="str">
        <f>Données!B210</f>
        <v>Bofflens</v>
      </c>
      <c r="C209" s="300">
        <f>VPI!Q210</f>
        <v>69</v>
      </c>
      <c r="D209" s="305">
        <f>Données!Z210</f>
        <v>194</v>
      </c>
      <c r="E209" s="137">
        <f>VPI!R210</f>
        <v>7065.5449275362316</v>
      </c>
      <c r="F209" s="234">
        <f>'Péréquation directe'!K216</f>
        <v>62868.831166022122</v>
      </c>
      <c r="G209" s="244">
        <f>PCS!I216</f>
        <v>101993.54019013394</v>
      </c>
      <c r="H209" s="260">
        <f>Police!L210</f>
        <v>21054.887685523609</v>
      </c>
      <c r="I209" s="343">
        <f t="shared" si="3"/>
        <v>185917.25904167967</v>
      </c>
      <c r="J209" s="138"/>
    </row>
    <row r="210" spans="1:10" s="86" customFormat="1" x14ac:dyDescent="0.25">
      <c r="A210" s="298">
        <f>Données!A211</f>
        <v>5748</v>
      </c>
      <c r="B210" s="302" t="str">
        <f>Données!B211</f>
        <v>Bretonnières</v>
      </c>
      <c r="C210" s="300">
        <f>VPI!Q211</f>
        <v>70.5</v>
      </c>
      <c r="D210" s="305">
        <f>Données!Z211</f>
        <v>259</v>
      </c>
      <c r="E210" s="137">
        <f>VPI!R211</f>
        <v>6864.9177304964542</v>
      </c>
      <c r="F210" s="234">
        <f>'Péréquation directe'!K217</f>
        <v>-19445.797500856977</v>
      </c>
      <c r="G210" s="244">
        <f>PCS!I217</f>
        <v>92335.911837237611</v>
      </c>
      <c r="H210" s="260">
        <f>Police!L211</f>
        <v>20267.476258072013</v>
      </c>
      <c r="I210" s="343">
        <f t="shared" si="3"/>
        <v>93157.590594452646</v>
      </c>
      <c r="J210" s="138"/>
    </row>
    <row r="211" spans="1:10" s="86" customFormat="1" x14ac:dyDescent="0.25">
      <c r="A211" s="298">
        <f>Données!A212</f>
        <v>5749</v>
      </c>
      <c r="B211" s="302" t="str">
        <f>Données!B212</f>
        <v>Chavornay</v>
      </c>
      <c r="C211" s="300">
        <f>VPI!Q212</f>
        <v>70.5</v>
      </c>
      <c r="D211" s="305">
        <f>Données!Z212</f>
        <v>5423</v>
      </c>
      <c r="E211" s="137">
        <f>VPI!R212</f>
        <v>149579.8465248227</v>
      </c>
      <c r="F211" s="234">
        <f>'Péréquation directe'!K218</f>
        <v>-1648434.7259408506</v>
      </c>
      <c r="G211" s="244">
        <f>PCS!I218</f>
        <v>2544784.973884589</v>
      </c>
      <c r="H211" s="260">
        <f>Police!L212</f>
        <v>439350.58886674023</v>
      </c>
      <c r="I211" s="343">
        <f t="shared" si="3"/>
        <v>1335700.8368104787</v>
      </c>
      <c r="J211" s="138"/>
    </row>
    <row r="212" spans="1:10" s="86" customFormat="1" x14ac:dyDescent="0.25">
      <c r="A212" s="298">
        <f>Données!A213</f>
        <v>5750</v>
      </c>
      <c r="B212" s="302" t="str">
        <f>Données!B213</f>
        <v>Les Clées</v>
      </c>
      <c r="C212" s="300">
        <f>VPI!Q213</f>
        <v>80</v>
      </c>
      <c r="D212" s="305">
        <f>Données!Z213</f>
        <v>192</v>
      </c>
      <c r="E212" s="137">
        <f>VPI!R213</f>
        <v>5320.5294166666672</v>
      </c>
      <c r="F212" s="234">
        <f>'Péréquation directe'!K219</f>
        <v>-29195.945703841498</v>
      </c>
      <c r="G212" s="244">
        <f>PCS!I219</f>
        <v>63693.733325757959</v>
      </c>
      <c r="H212" s="260">
        <f>Police!L213</f>
        <v>15987.187281863455</v>
      </c>
      <c r="I212" s="343">
        <f t="shared" si="3"/>
        <v>50484.974903779919</v>
      </c>
      <c r="J212" s="138"/>
    </row>
    <row r="213" spans="1:10" s="86" customFormat="1" x14ac:dyDescent="0.25">
      <c r="A213" s="298">
        <f>Données!A214</f>
        <v>5752</v>
      </c>
      <c r="B213" s="302" t="str">
        <f>Données!B214</f>
        <v>Croy</v>
      </c>
      <c r="C213" s="300">
        <f>VPI!Q214</f>
        <v>74</v>
      </c>
      <c r="D213" s="305">
        <f>Données!Z214</f>
        <v>397</v>
      </c>
      <c r="E213" s="137">
        <f>VPI!R214</f>
        <v>9858.3588996138969</v>
      </c>
      <c r="F213" s="234">
        <f>'Péréquation directe'!K220</f>
        <v>-75569.526146423799</v>
      </c>
      <c r="G213" s="244">
        <f>PCS!I220</f>
        <v>242394.00661467493</v>
      </c>
      <c r="H213" s="260">
        <f>Police!L214</f>
        <v>29084.564452594364</v>
      </c>
      <c r="I213" s="343">
        <f t="shared" si="3"/>
        <v>195909.04492084548</v>
      </c>
      <c r="J213" s="138"/>
    </row>
    <row r="214" spans="1:10" s="86" customFormat="1" x14ac:dyDescent="0.25">
      <c r="A214" s="298">
        <f>Données!A215</f>
        <v>5754</v>
      </c>
      <c r="B214" s="302" t="str">
        <f>Données!B215</f>
        <v>Juriens</v>
      </c>
      <c r="C214" s="300">
        <f>VPI!Q215</f>
        <v>79</v>
      </c>
      <c r="D214" s="305">
        <f>Données!Z215</f>
        <v>351</v>
      </c>
      <c r="E214" s="137">
        <f>VPI!R215</f>
        <v>8812.2215189873423</v>
      </c>
      <c r="F214" s="234">
        <f>'Péréquation directe'!K221</f>
        <v>-88972.140640709113</v>
      </c>
      <c r="G214" s="244">
        <f>PCS!I221</f>
        <v>128055.12220140177</v>
      </c>
      <c r="H214" s="260">
        <f>Police!L215</f>
        <v>26261.186354263518</v>
      </c>
      <c r="I214" s="343">
        <f t="shared" si="3"/>
        <v>65344.167914956175</v>
      </c>
      <c r="J214" s="138"/>
    </row>
    <row r="215" spans="1:10" s="86" customFormat="1" x14ac:dyDescent="0.25">
      <c r="A215" s="298">
        <f>Données!A216</f>
        <v>5755</v>
      </c>
      <c r="B215" s="302" t="str">
        <f>Données!B216</f>
        <v>Lignerolle</v>
      </c>
      <c r="C215" s="300">
        <f>VPI!Q216</f>
        <v>78.5</v>
      </c>
      <c r="D215" s="305">
        <f>Données!Z216</f>
        <v>462</v>
      </c>
      <c r="E215" s="137">
        <f>VPI!R216</f>
        <v>11116.576615104641</v>
      </c>
      <c r="F215" s="234">
        <f>'Péréquation directe'!K222</f>
        <v>-134757.10439164066</v>
      </c>
      <c r="G215" s="244">
        <f>PCS!I222</f>
        <v>143762.74999703464</v>
      </c>
      <c r="H215" s="260">
        <f>Police!L216</f>
        <v>32923.03081853273</v>
      </c>
      <c r="I215" s="343">
        <f t="shared" si="3"/>
        <v>41928.676423926707</v>
      </c>
      <c r="J215" s="138"/>
    </row>
    <row r="216" spans="1:10" s="86" customFormat="1" x14ac:dyDescent="0.25">
      <c r="A216" s="298">
        <f>Données!A217</f>
        <v>5756</v>
      </c>
      <c r="B216" s="302" t="str">
        <f>Données!B217</f>
        <v>Montcherand</v>
      </c>
      <c r="C216" s="300">
        <f>VPI!Q217</f>
        <v>72</v>
      </c>
      <c r="D216" s="305">
        <f>Données!Z217</f>
        <v>494</v>
      </c>
      <c r="E216" s="137">
        <f>VPI!R217</f>
        <v>20941.594027777777</v>
      </c>
      <c r="F216" s="234">
        <f>'Péréquation directe'!K223</f>
        <v>267239.80563582515</v>
      </c>
      <c r="G216" s="244">
        <f>PCS!I223</f>
        <v>257786.90888068889</v>
      </c>
      <c r="H216" s="260">
        <f>Police!L217</f>
        <v>62951.426376314688</v>
      </c>
      <c r="I216" s="343">
        <f t="shared" si="3"/>
        <v>587978.1408928287</v>
      </c>
      <c r="J216" s="138"/>
    </row>
    <row r="217" spans="1:10" s="86" customFormat="1" x14ac:dyDescent="0.25">
      <c r="A217" s="298">
        <f>Données!A218</f>
        <v>5757</v>
      </c>
      <c r="B217" s="302" t="str">
        <f>Données!B218</f>
        <v>Orbe</v>
      </c>
      <c r="C217" s="300">
        <f>VPI!Q218</f>
        <v>75.5</v>
      </c>
      <c r="D217" s="305">
        <f>Données!Z218</f>
        <v>7827</v>
      </c>
      <c r="E217" s="137">
        <f>VPI!R218</f>
        <v>226209.22728476822</v>
      </c>
      <c r="F217" s="234">
        <f>'Péréquation directe'!K224</f>
        <v>-2990726.3737189798</v>
      </c>
      <c r="G217" s="244">
        <f>PCS!I224</f>
        <v>4832847.0481307562</v>
      </c>
      <c r="H217" s="260">
        <f>Police!L218</f>
        <v>663352.60641295754</v>
      </c>
      <c r="I217" s="343">
        <f t="shared" si="3"/>
        <v>2505473.2808247339</v>
      </c>
      <c r="J217" s="138"/>
    </row>
    <row r="218" spans="1:10" s="86" customFormat="1" x14ac:dyDescent="0.25">
      <c r="A218" s="298">
        <f>Données!A219</f>
        <v>5758</v>
      </c>
      <c r="B218" s="302" t="str">
        <f>Données!B219</f>
        <v>La Praz</v>
      </c>
      <c r="C218" s="300">
        <f>VPI!Q219</f>
        <v>83</v>
      </c>
      <c r="D218" s="305">
        <f>Données!Z219</f>
        <v>206</v>
      </c>
      <c r="E218" s="137">
        <f>VPI!R219</f>
        <v>5593.0973493975916</v>
      </c>
      <c r="F218" s="234">
        <f>'Péréquation directe'!K225</f>
        <v>-45477.47965500674</v>
      </c>
      <c r="G218" s="244">
        <f>PCS!I225</f>
        <v>86722.100922048267</v>
      </c>
      <c r="H218" s="260">
        <f>Police!L219</f>
        <v>16720.552895933964</v>
      </c>
      <c r="I218" s="343">
        <f t="shared" si="3"/>
        <v>57965.174162975491</v>
      </c>
      <c r="J218" s="138"/>
    </row>
    <row r="219" spans="1:10" s="86" customFormat="1" x14ac:dyDescent="0.25">
      <c r="A219" s="298">
        <f>Données!A220</f>
        <v>5759</v>
      </c>
      <c r="B219" s="302" t="str">
        <f>Données!B220</f>
        <v>Premier</v>
      </c>
      <c r="C219" s="300">
        <f>VPI!Q220</f>
        <v>79.5</v>
      </c>
      <c r="D219" s="305">
        <f>Données!Z220</f>
        <v>233</v>
      </c>
      <c r="E219" s="137">
        <f>VPI!R220</f>
        <v>5351.6616352201272</v>
      </c>
      <c r="F219" s="234">
        <f>'Péréquation directe'!K226</f>
        <v>-83045.428197300978</v>
      </c>
      <c r="G219" s="244">
        <f>PCS!I226</f>
        <v>62510.704003435683</v>
      </c>
      <c r="H219" s="260">
        <f>Police!L220</f>
        <v>15883.48998416818</v>
      </c>
      <c r="I219" s="343">
        <f t="shared" si="3"/>
        <v>-4651.2342096971151</v>
      </c>
      <c r="J219" s="138"/>
    </row>
    <row r="220" spans="1:10" s="86" customFormat="1" x14ac:dyDescent="0.25">
      <c r="A220" s="298">
        <f>Données!A221</f>
        <v>5760</v>
      </c>
      <c r="B220" s="302" t="str">
        <f>Données!B221</f>
        <v>Rances</v>
      </c>
      <c r="C220" s="300">
        <f>VPI!Q221</f>
        <v>76.5</v>
      </c>
      <c r="D220" s="305">
        <f>Données!Z221</f>
        <v>525</v>
      </c>
      <c r="E220" s="137">
        <f>VPI!R221</f>
        <v>16377.081307189543</v>
      </c>
      <c r="F220" s="234">
        <f>'Péréquation directe'!K227</f>
        <v>23199.597920065629</v>
      </c>
      <c r="G220" s="244">
        <f>PCS!I227</f>
        <v>246123.33317018597</v>
      </c>
      <c r="H220" s="260">
        <f>Police!L221</f>
        <v>48944.072471221181</v>
      </c>
      <c r="I220" s="343">
        <f t="shared" si="3"/>
        <v>318267.00356147275</v>
      </c>
      <c r="J220" s="138"/>
    </row>
    <row r="221" spans="1:10" s="86" customFormat="1" x14ac:dyDescent="0.25">
      <c r="A221" s="298">
        <f>Données!A222</f>
        <v>5761</v>
      </c>
      <c r="B221" s="302" t="str">
        <f>Données!B222</f>
        <v>Romainmôtier-Envy</v>
      </c>
      <c r="C221" s="300">
        <f>VPI!Q222</f>
        <v>81</v>
      </c>
      <c r="D221" s="305">
        <f>Données!Z222</f>
        <v>575</v>
      </c>
      <c r="E221" s="137">
        <f>VPI!R222</f>
        <v>13471.82785634119</v>
      </c>
      <c r="F221" s="234">
        <f>'Péréquation directe'!K228</f>
        <v>-207529.31169539285</v>
      </c>
      <c r="G221" s="244">
        <f>PCS!I228</f>
        <v>229221.26658857131</v>
      </c>
      <c r="H221" s="260">
        <f>Police!L222</f>
        <v>39746.738827936519</v>
      </c>
      <c r="I221" s="343">
        <f t="shared" si="3"/>
        <v>61438.693721114971</v>
      </c>
      <c r="J221" s="138"/>
    </row>
    <row r="222" spans="1:10" s="86" customFormat="1" x14ac:dyDescent="0.25">
      <c r="A222" s="298">
        <f>Données!A223</f>
        <v>5762</v>
      </c>
      <c r="B222" s="302" t="str">
        <f>Données!B223</f>
        <v>Sergey</v>
      </c>
      <c r="C222" s="300">
        <f>VPI!Q223</f>
        <v>78</v>
      </c>
      <c r="D222" s="305">
        <f>Données!Z223</f>
        <v>137</v>
      </c>
      <c r="E222" s="137">
        <f>VPI!R223</f>
        <v>3564.2302564102565</v>
      </c>
      <c r="F222" s="234">
        <f>'Péréquation directe'!K229</f>
        <v>-27197.054875847025</v>
      </c>
      <c r="G222" s="244">
        <f>PCS!I229</f>
        <v>63633.299627852299</v>
      </c>
      <c r="H222" s="260">
        <f>Police!L223</f>
        <v>10582.004258333103</v>
      </c>
      <c r="I222" s="343">
        <f t="shared" si="3"/>
        <v>47018.249010338375</v>
      </c>
      <c r="J222" s="138"/>
    </row>
    <row r="223" spans="1:10" s="86" customFormat="1" x14ac:dyDescent="0.25">
      <c r="A223" s="298">
        <f>Données!A224</f>
        <v>5763</v>
      </c>
      <c r="B223" s="302" t="str">
        <f>Données!B224</f>
        <v>Valeyres-sous-Rances</v>
      </c>
      <c r="C223" s="300">
        <f>VPI!Q224</f>
        <v>71</v>
      </c>
      <c r="D223" s="305">
        <f>Données!Z224</f>
        <v>583</v>
      </c>
      <c r="E223" s="137">
        <f>VPI!R224</f>
        <v>21279.080140845068</v>
      </c>
      <c r="F223" s="234">
        <f>'Péréquation directe'!K230</f>
        <v>182244.64145405201</v>
      </c>
      <c r="G223" s="244">
        <f>PCS!I230</f>
        <v>304118.04735724319</v>
      </c>
      <c r="H223" s="260">
        <f>Police!L224</f>
        <v>63695.864705601722</v>
      </c>
      <c r="I223" s="343">
        <f t="shared" si="3"/>
        <v>550058.55351689691</v>
      </c>
      <c r="J223" s="138"/>
    </row>
    <row r="224" spans="1:10" s="86" customFormat="1" x14ac:dyDescent="0.25">
      <c r="A224" s="298">
        <f>Données!A225</f>
        <v>5764</v>
      </c>
      <c r="B224" s="302" t="str">
        <f>Données!B225</f>
        <v>Vallorbe</v>
      </c>
      <c r="C224" s="300">
        <f>VPI!Q225</f>
        <v>71.5</v>
      </c>
      <c r="D224" s="305">
        <f>Données!Z225</f>
        <v>4121</v>
      </c>
      <c r="E224" s="137">
        <f>VPI!R225</f>
        <v>94417.86909090908</v>
      </c>
      <c r="F224" s="234">
        <f>'Péréquation directe'!K231</f>
        <v>-1864716.1672910445</v>
      </c>
      <c r="G224" s="244">
        <f>PCS!I231</f>
        <v>2163473.906460912</v>
      </c>
      <c r="H224" s="260">
        <f>Police!L225</f>
        <v>278704.20626998041</v>
      </c>
      <c r="I224" s="343">
        <f t="shared" si="3"/>
        <v>577461.94543984788</v>
      </c>
      <c r="J224" s="138"/>
    </row>
    <row r="225" spans="1:10" s="86" customFormat="1" x14ac:dyDescent="0.25">
      <c r="A225" s="298">
        <f>Données!A226</f>
        <v>5765</v>
      </c>
      <c r="B225" s="302" t="str">
        <f>Données!B226</f>
        <v>Vaulion</v>
      </c>
      <c r="C225" s="300">
        <f>VPI!Q226</f>
        <v>81</v>
      </c>
      <c r="D225" s="305">
        <f>Données!Z226</f>
        <v>486</v>
      </c>
      <c r="E225" s="137">
        <f>VPI!R226</f>
        <v>11559.011234567901</v>
      </c>
      <c r="F225" s="234">
        <f>'Péréquation directe'!K232</f>
        <v>-167561.69815739631</v>
      </c>
      <c r="G225" s="244">
        <f>PCS!I232</f>
        <v>238534.28821446333</v>
      </c>
      <c r="H225" s="260">
        <f>Police!L226</f>
        <v>34403.886756661668</v>
      </c>
      <c r="I225" s="343">
        <f t="shared" si="3"/>
        <v>105376.47681372869</v>
      </c>
      <c r="J225" s="138"/>
    </row>
    <row r="226" spans="1:10" s="86" customFormat="1" x14ac:dyDescent="0.25">
      <c r="A226" s="298">
        <f>Données!A227</f>
        <v>5766</v>
      </c>
      <c r="B226" s="302" t="str">
        <f>Données!B227</f>
        <v>Vuiteboeuf</v>
      </c>
      <c r="C226" s="300">
        <f>VPI!Q227</f>
        <v>75</v>
      </c>
      <c r="D226" s="305">
        <f>Données!Z227</f>
        <v>586</v>
      </c>
      <c r="E226" s="137">
        <f>VPI!R227</f>
        <v>14621.166361904759</v>
      </c>
      <c r="F226" s="234">
        <f>'Péréquation directe'!K233</f>
        <v>-117229.61609821429</v>
      </c>
      <c r="G226" s="244">
        <f>PCS!I233</f>
        <v>254188.54585191584</v>
      </c>
      <c r="H226" s="260">
        <f>Police!L227</f>
        <v>42802.294992792988</v>
      </c>
      <c r="I226" s="343">
        <f t="shared" si="3"/>
        <v>179761.22474649455</v>
      </c>
      <c r="J226" s="138"/>
    </row>
    <row r="227" spans="1:10" s="86" customFormat="1" x14ac:dyDescent="0.25">
      <c r="A227" s="298">
        <f>Données!A228</f>
        <v>5785</v>
      </c>
      <c r="B227" s="302" t="str">
        <f>Données!B228</f>
        <v>Corcelles-le-Jorat</v>
      </c>
      <c r="C227" s="300">
        <f>VPI!Q228</f>
        <v>75</v>
      </c>
      <c r="D227" s="305">
        <f>Données!Z228</f>
        <v>500</v>
      </c>
      <c r="E227" s="137">
        <f>VPI!R228</f>
        <v>17967.826266666671</v>
      </c>
      <c r="F227" s="234">
        <f>'Péréquation directe'!K234</f>
        <v>129412.0392586544</v>
      </c>
      <c r="G227" s="244">
        <f>PCS!I234</f>
        <v>281953.59410696756</v>
      </c>
      <c r="H227" s="260">
        <f>Police!L228</f>
        <v>53989.326801477568</v>
      </c>
      <c r="I227" s="343">
        <f t="shared" si="3"/>
        <v>465354.96016709955</v>
      </c>
      <c r="J227" s="138"/>
    </row>
    <row r="228" spans="1:10" s="86" customFormat="1" x14ac:dyDescent="0.25">
      <c r="A228" s="298">
        <f>Données!A229</f>
        <v>5790</v>
      </c>
      <c r="B228" s="302" t="str">
        <f>Données!B229</f>
        <v>Maracon</v>
      </c>
      <c r="C228" s="300">
        <f>VPI!Q229</f>
        <v>74.5</v>
      </c>
      <c r="D228" s="305">
        <f>Données!Z229</f>
        <v>567</v>
      </c>
      <c r="E228" s="137">
        <f>VPI!R229</f>
        <v>17556.382281879196</v>
      </c>
      <c r="F228" s="234">
        <f>'Péréquation directe'!K235</f>
        <v>32119.476638852037</v>
      </c>
      <c r="G228" s="244">
        <f>PCS!I235</f>
        <v>255509.00780874444</v>
      </c>
      <c r="H228" s="260">
        <f>Police!L229</f>
        <v>52252.16812933403</v>
      </c>
      <c r="I228" s="343">
        <f t="shared" si="3"/>
        <v>339880.65257693053</v>
      </c>
      <c r="J228" s="138"/>
    </row>
    <row r="229" spans="1:10" s="86" customFormat="1" x14ac:dyDescent="0.25">
      <c r="A229" s="298">
        <f>Données!A230</f>
        <v>5792</v>
      </c>
      <c r="B229" s="302" t="str">
        <f>Données!B230</f>
        <v>Montpreveyres</v>
      </c>
      <c r="C229" s="300">
        <f>VPI!Q230</f>
        <v>75</v>
      </c>
      <c r="D229" s="305">
        <f>Données!Z230</f>
        <v>632</v>
      </c>
      <c r="E229" s="137">
        <f>VPI!R230</f>
        <v>19503.116799999996</v>
      </c>
      <c r="F229" s="234">
        <f>'Péréquation directe'!K236</f>
        <v>29558.800892112427</v>
      </c>
      <c r="G229" s="244">
        <f>PCS!I236</f>
        <v>334275.41448050691</v>
      </c>
      <c r="H229" s="260">
        <f>Police!L230</f>
        <v>57762.648342326342</v>
      </c>
      <c r="I229" s="343">
        <f t="shared" si="3"/>
        <v>421596.86371494568</v>
      </c>
      <c r="J229" s="138"/>
    </row>
    <row r="230" spans="1:10" s="86" customFormat="1" x14ac:dyDescent="0.25">
      <c r="A230" s="298">
        <f>Données!A231</f>
        <v>5798</v>
      </c>
      <c r="B230" s="302" t="str">
        <f>Données!B231</f>
        <v>Ropraz</v>
      </c>
      <c r="C230" s="300">
        <f>VPI!Q231</f>
        <v>77.5</v>
      </c>
      <c r="D230" s="305">
        <f>Données!Z231</f>
        <v>535</v>
      </c>
      <c r="E230" s="137">
        <f>VPI!R231</f>
        <v>16096.874193548387</v>
      </c>
      <c r="F230" s="234">
        <f>'Péréquation directe'!K237</f>
        <v>-8006.7132847023313</v>
      </c>
      <c r="G230" s="244">
        <f>PCS!I237</f>
        <v>261182.81542415934</v>
      </c>
      <c r="H230" s="260">
        <f>Police!L231</f>
        <v>47447.728098155945</v>
      </c>
      <c r="I230" s="343">
        <f t="shared" si="3"/>
        <v>300623.83023761294</v>
      </c>
      <c r="J230" s="138"/>
    </row>
    <row r="231" spans="1:10" s="86" customFormat="1" x14ac:dyDescent="0.25">
      <c r="A231" s="298">
        <f>Données!A232</f>
        <v>5799</v>
      </c>
      <c r="B231" s="302" t="str">
        <f>Données!B232</f>
        <v>Servion</v>
      </c>
      <c r="C231" s="300">
        <f>VPI!Q232</f>
        <v>69</v>
      </c>
      <c r="D231" s="305">
        <f>Données!Z232</f>
        <v>2172</v>
      </c>
      <c r="E231" s="137">
        <f>VPI!R232</f>
        <v>78403.185652173925</v>
      </c>
      <c r="F231" s="234">
        <f>'Péréquation directe'!K238</f>
        <v>400278.30574908457</v>
      </c>
      <c r="G231" s="244">
        <f>PCS!I238</f>
        <v>1115794.062897454</v>
      </c>
      <c r="H231" s="260">
        <f>Police!L232</f>
        <v>231762.69024781481</v>
      </c>
      <c r="I231" s="343">
        <f t="shared" si="3"/>
        <v>1747835.0588943535</v>
      </c>
      <c r="J231" s="138"/>
    </row>
    <row r="232" spans="1:10" s="86" customFormat="1" x14ac:dyDescent="0.25">
      <c r="A232" s="298">
        <f>Données!A233</f>
        <v>5803</v>
      </c>
      <c r="B232" s="302" t="str">
        <f>Données!B233</f>
        <v>Vulliens</v>
      </c>
      <c r="C232" s="300">
        <f>VPI!Q233</f>
        <v>74</v>
      </c>
      <c r="D232" s="305">
        <f>Données!Z233</f>
        <v>646</v>
      </c>
      <c r="E232" s="137">
        <f>VPI!R233</f>
        <v>18504.850945945949</v>
      </c>
      <c r="F232" s="234">
        <f>'Péréquation directe'!K239</f>
        <v>-21533.020024310506</v>
      </c>
      <c r="G232" s="244">
        <f>PCS!I239</f>
        <v>261021.54594477441</v>
      </c>
      <c r="H232" s="260">
        <f>Police!L233</f>
        <v>54844.496988378247</v>
      </c>
      <c r="I232" s="343">
        <f t="shared" si="3"/>
        <v>294333.02290884213</v>
      </c>
      <c r="J232" s="138"/>
    </row>
    <row r="233" spans="1:10" s="86" customFormat="1" x14ac:dyDescent="0.25">
      <c r="A233" s="298">
        <f>Données!A234</f>
        <v>5804</v>
      </c>
      <c r="B233" s="302" t="str">
        <f>Données!B234</f>
        <v>Jorat-Menthue</v>
      </c>
      <c r="C233" s="300">
        <f>VPI!Q234</f>
        <v>70.5</v>
      </c>
      <c r="D233" s="305">
        <f>Données!Z234</f>
        <v>1557</v>
      </c>
      <c r="E233" s="137">
        <f>VPI!R234</f>
        <v>49008.353617021276</v>
      </c>
      <c r="F233" s="234">
        <f>'Péréquation directe'!K240</f>
        <v>54656.064274648787</v>
      </c>
      <c r="G233" s="244">
        <f>PCS!I240</f>
        <v>663484.87377970992</v>
      </c>
      <c r="H233" s="260">
        <f>Police!L234</f>
        <v>145118.37364448578</v>
      </c>
      <c r="I233" s="343">
        <f t="shared" si="3"/>
        <v>863259.31169884442</v>
      </c>
      <c r="J233" s="138"/>
    </row>
    <row r="234" spans="1:10" s="86" customFormat="1" x14ac:dyDescent="0.25">
      <c r="A234" s="298">
        <f>Données!A235</f>
        <v>5805</v>
      </c>
      <c r="B234" s="302" t="str">
        <f>Données!B235</f>
        <v>Oron</v>
      </c>
      <c r="C234" s="300">
        <f>VPI!Q235</f>
        <v>69</v>
      </c>
      <c r="D234" s="305">
        <f>Données!Z235</f>
        <v>6173</v>
      </c>
      <c r="E234" s="137">
        <f>VPI!R235</f>
        <v>177337.10588932806</v>
      </c>
      <c r="F234" s="234">
        <f>'Péréquation directe'!K241</f>
        <v>-1663106.5351827801</v>
      </c>
      <c r="G234" s="244">
        <f>PCS!I241</f>
        <v>2488577.3972127545</v>
      </c>
      <c r="H234" s="260">
        <f>Police!L235</f>
        <v>520216.08045649098</v>
      </c>
      <c r="I234" s="343">
        <f t="shared" si="3"/>
        <v>1345686.9424864654</v>
      </c>
      <c r="J234" s="138"/>
    </row>
    <row r="235" spans="1:10" s="86" customFormat="1" x14ac:dyDescent="0.25">
      <c r="A235" s="298">
        <f>Données!A236</f>
        <v>5806</v>
      </c>
      <c r="B235" s="302" t="str">
        <f>Données!B236</f>
        <v>Jorat-Mézières</v>
      </c>
      <c r="C235" s="300">
        <f>VPI!Q236</f>
        <v>73</v>
      </c>
      <c r="D235" s="305">
        <f>Données!Z236</f>
        <v>3177</v>
      </c>
      <c r="E235" s="137">
        <f>VPI!R236</f>
        <v>98520.834794520561</v>
      </c>
      <c r="F235" s="234">
        <f>'Péréquation directe'!K242</f>
        <v>-303870.98903539195</v>
      </c>
      <c r="G235" s="244">
        <f>PCS!I242</f>
        <v>1649651.6829140494</v>
      </c>
      <c r="H235" s="260">
        <f>Police!L236</f>
        <v>290751.5148616145</v>
      </c>
      <c r="I235" s="343">
        <f t="shared" si="3"/>
        <v>1636532.2087402719</v>
      </c>
      <c r="J235" s="138"/>
    </row>
    <row r="236" spans="1:10" s="86" customFormat="1" x14ac:dyDescent="0.25">
      <c r="A236" s="298">
        <f>Données!A237</f>
        <v>5812</v>
      </c>
      <c r="B236" s="302" t="str">
        <f>Données!B237</f>
        <v>Champtauroz</v>
      </c>
      <c r="C236" s="300">
        <f>VPI!Q237</f>
        <v>77</v>
      </c>
      <c r="D236" s="305">
        <f>Données!Z237</f>
        <v>188</v>
      </c>
      <c r="E236" s="137">
        <f>VPI!R237</f>
        <v>3559.4911688311695</v>
      </c>
      <c r="F236" s="234">
        <f>'Péréquation directe'!K243</f>
        <v>-91833.995101311259</v>
      </c>
      <c r="G236" s="244">
        <f>PCS!I243</f>
        <v>68790.519275727362</v>
      </c>
      <c r="H236" s="260">
        <f>Police!L237</f>
        <v>10477.766964464314</v>
      </c>
      <c r="I236" s="343">
        <f t="shared" si="3"/>
        <v>-12565.708861119583</v>
      </c>
      <c r="J236" s="138"/>
    </row>
    <row r="237" spans="1:10" s="86" customFormat="1" x14ac:dyDescent="0.25">
      <c r="A237" s="298">
        <f>Données!A238</f>
        <v>5813</v>
      </c>
      <c r="B237" s="302" t="str">
        <f>Données!B238</f>
        <v>Chevroux</v>
      </c>
      <c r="C237" s="300">
        <f>VPI!Q238</f>
        <v>68.5</v>
      </c>
      <c r="D237" s="305">
        <f>Données!Z238</f>
        <v>524</v>
      </c>
      <c r="E237" s="137">
        <f>VPI!R238</f>
        <v>19217.847664233581</v>
      </c>
      <c r="F237" s="234">
        <f>'Péréquation directe'!K244</f>
        <v>176769.67715570622</v>
      </c>
      <c r="G237" s="244">
        <f>PCS!I244</f>
        <v>278041.54779891134</v>
      </c>
      <c r="H237" s="260">
        <f>Police!L238</f>
        <v>57016.810099476505</v>
      </c>
      <c r="I237" s="343">
        <f t="shared" si="3"/>
        <v>511828.03505409404</v>
      </c>
      <c r="J237" s="138"/>
    </row>
    <row r="238" spans="1:10" s="86" customFormat="1" x14ac:dyDescent="0.25">
      <c r="A238" s="298">
        <f>Données!A239</f>
        <v>5816</v>
      </c>
      <c r="B238" s="302" t="str">
        <f>Données!B239</f>
        <v>Corcelles-près-Payerne</v>
      </c>
      <c r="C238" s="300">
        <f>VPI!Q239</f>
        <v>65</v>
      </c>
      <c r="D238" s="305">
        <f>Données!Z239</f>
        <v>2915</v>
      </c>
      <c r="E238" s="137">
        <f>VPI!R239</f>
        <v>70362.963604395612</v>
      </c>
      <c r="F238" s="234">
        <f>'Péréquation directe'!K245</f>
        <v>-721485.10800858634</v>
      </c>
      <c r="G238" s="244">
        <f>PCS!I245</f>
        <v>1248292.4121935889</v>
      </c>
      <c r="H238" s="260">
        <f>Police!L239</f>
        <v>205484.08686190122</v>
      </c>
      <c r="I238" s="343">
        <f t="shared" si="3"/>
        <v>732291.39104690379</v>
      </c>
      <c r="J238" s="138"/>
    </row>
    <row r="239" spans="1:10" s="86" customFormat="1" x14ac:dyDescent="0.25">
      <c r="A239" s="298">
        <f>Données!A240</f>
        <v>5817</v>
      </c>
      <c r="B239" s="302" t="str">
        <f>Données!B240</f>
        <v>Grandcour</v>
      </c>
      <c r="C239" s="300">
        <f>VPI!Q240</f>
        <v>73.5</v>
      </c>
      <c r="D239" s="305">
        <f>Données!Z240</f>
        <v>1006</v>
      </c>
      <c r="E239" s="137">
        <f>VPI!R240</f>
        <v>25032.364353741497</v>
      </c>
      <c r="F239" s="234">
        <f>'Péréquation directe'!K246</f>
        <v>-183517.84236443223</v>
      </c>
      <c r="G239" s="244">
        <f>PCS!I246</f>
        <v>344127.32232045301</v>
      </c>
      <c r="H239" s="260">
        <f>Police!L240</f>
        <v>74050.432916463324</v>
      </c>
      <c r="I239" s="343">
        <f t="shared" si="3"/>
        <v>234659.9128724841</v>
      </c>
      <c r="J239" s="138"/>
    </row>
    <row r="240" spans="1:10" s="86" customFormat="1" x14ac:dyDescent="0.25">
      <c r="A240" s="298">
        <f>Données!A241</f>
        <v>5819</v>
      </c>
      <c r="B240" s="302" t="str">
        <f>Données!B241</f>
        <v>Henniez</v>
      </c>
      <c r="C240" s="300">
        <f>VPI!Q241</f>
        <v>69</v>
      </c>
      <c r="D240" s="305">
        <f>Données!Z241</f>
        <v>454</v>
      </c>
      <c r="E240" s="137">
        <f>VPI!R241</f>
        <v>17871.328115942026</v>
      </c>
      <c r="F240" s="234">
        <f>'Péréquation directe'!K247</f>
        <v>198343.98204403656</v>
      </c>
      <c r="G240" s="244">
        <f>PCS!I247</f>
        <v>295345.96749518253</v>
      </c>
      <c r="H240" s="260">
        <f>Police!L241</f>
        <v>52954.543226808011</v>
      </c>
      <c r="I240" s="343">
        <f t="shared" si="3"/>
        <v>546644.49276602711</v>
      </c>
      <c r="J240" s="138"/>
    </row>
    <row r="241" spans="1:10" s="86" customFormat="1" x14ac:dyDescent="0.25">
      <c r="A241" s="298">
        <f>Données!A242</f>
        <v>5821</v>
      </c>
      <c r="B241" s="302" t="str">
        <f>Données!B242</f>
        <v>Missy</v>
      </c>
      <c r="C241" s="300">
        <f>VPI!Q242</f>
        <v>72</v>
      </c>
      <c r="D241" s="305">
        <f>Données!Z242</f>
        <v>377</v>
      </c>
      <c r="E241" s="137">
        <f>VPI!R242</f>
        <v>8690.2762499999972</v>
      </c>
      <c r="F241" s="234">
        <f>'Péréquation directe'!K248</f>
        <v>-87800.174618680321</v>
      </c>
      <c r="G241" s="244">
        <f>PCS!I248</f>
        <v>111898.63963604449</v>
      </c>
      <c r="H241" s="260">
        <f>Police!L242</f>
        <v>25538.144992308862</v>
      </c>
      <c r="I241" s="343">
        <f t="shared" si="3"/>
        <v>49636.610009673037</v>
      </c>
      <c r="J241" s="138"/>
    </row>
    <row r="242" spans="1:10" s="86" customFormat="1" x14ac:dyDescent="0.25">
      <c r="A242" s="298">
        <f>Données!A243</f>
        <v>5822</v>
      </c>
      <c r="B242" s="302" t="str">
        <f>Données!B243</f>
        <v>Payerne</v>
      </c>
      <c r="C242" s="300">
        <f>VPI!Q243</f>
        <v>70</v>
      </c>
      <c r="D242" s="305">
        <f>Données!Z243</f>
        <v>10577</v>
      </c>
      <c r="E242" s="137">
        <f>VPI!R243</f>
        <v>264097.39385714289</v>
      </c>
      <c r="F242" s="234">
        <f>'Péréquation directe'!K249</f>
        <v>-5810309.5886369664</v>
      </c>
      <c r="G242" s="244">
        <f>PCS!I249</f>
        <v>4068416.8456060672</v>
      </c>
      <c r="H242" s="260">
        <f>Police!L243</f>
        <v>771360.75871911994</v>
      </c>
      <c r="I242" s="343">
        <f t="shared" si="3"/>
        <v>-970531.98431177926</v>
      </c>
      <c r="J242" s="138"/>
    </row>
    <row r="243" spans="1:10" s="86" customFormat="1" x14ac:dyDescent="0.25">
      <c r="A243" s="298">
        <f>Données!A244</f>
        <v>5827</v>
      </c>
      <c r="B243" s="302" t="str">
        <f>Données!B244</f>
        <v>Trey</v>
      </c>
      <c r="C243" s="300">
        <f>VPI!Q244</f>
        <v>78</v>
      </c>
      <c r="D243" s="305">
        <f>Données!Z244</f>
        <v>315</v>
      </c>
      <c r="E243" s="137">
        <f>VPI!R244</f>
        <v>7673.6615384615379</v>
      </c>
      <c r="F243" s="234">
        <f>'Péréquation directe'!K250</f>
        <v>-85272.768628077407</v>
      </c>
      <c r="G243" s="244">
        <f>PCS!I250</f>
        <v>88005.591739535623</v>
      </c>
      <c r="H243" s="260">
        <f>Police!L244</f>
        <v>22697.661740753785</v>
      </c>
      <c r="I243" s="343">
        <f t="shared" si="3"/>
        <v>25430.484852212001</v>
      </c>
      <c r="J243" s="138"/>
    </row>
    <row r="244" spans="1:10" s="86" customFormat="1" x14ac:dyDescent="0.25">
      <c r="A244" s="298">
        <f>Données!A245</f>
        <v>5828</v>
      </c>
      <c r="B244" s="302" t="str">
        <f>Données!B245</f>
        <v>Treytorrens (Payerne)</v>
      </c>
      <c r="C244" s="300">
        <f>VPI!Q245</f>
        <v>81.5</v>
      </c>
      <c r="D244" s="305">
        <f>Données!Z245</f>
        <v>109</v>
      </c>
      <c r="E244" s="137">
        <f>VPI!R245</f>
        <v>2724.637709611452</v>
      </c>
      <c r="F244" s="234">
        <f>'Péréquation directe'!K251</f>
        <v>-32430.046933275633</v>
      </c>
      <c r="G244" s="244">
        <f>PCS!I251</f>
        <v>31323.080142592797</v>
      </c>
      <c r="H244" s="260">
        <f>Police!L245</f>
        <v>8081.6429322121803</v>
      </c>
      <c r="I244" s="343">
        <f t="shared" si="3"/>
        <v>6974.676141529344</v>
      </c>
      <c r="J244" s="138"/>
    </row>
    <row r="245" spans="1:10" s="86" customFormat="1" x14ac:dyDescent="0.25">
      <c r="A245" s="298">
        <f>Données!A246</f>
        <v>5830</v>
      </c>
      <c r="B245" s="302" t="str">
        <f>Données!B246</f>
        <v>Villarzel</v>
      </c>
      <c r="C245" s="300">
        <f>VPI!Q246</f>
        <v>75</v>
      </c>
      <c r="D245" s="305">
        <f>Données!Z246</f>
        <v>525</v>
      </c>
      <c r="E245" s="137">
        <f>VPI!R246</f>
        <v>12684.394533333332</v>
      </c>
      <c r="F245" s="234">
        <f>'Péréquation directe'!K252</f>
        <v>-122353.0160764232</v>
      </c>
      <c r="G245" s="244">
        <f>PCS!I252</f>
        <v>191938.79155060367</v>
      </c>
      <c r="H245" s="260">
        <f>Police!L246</f>
        <v>37884.141695665778</v>
      </c>
      <c r="I245" s="343">
        <f t="shared" si="3"/>
        <v>107469.91716984625</v>
      </c>
      <c r="J245" s="138"/>
    </row>
    <row r="246" spans="1:10" s="86" customFormat="1" x14ac:dyDescent="0.25">
      <c r="A246" s="298">
        <f>Données!A247</f>
        <v>5831</v>
      </c>
      <c r="B246" s="302" t="str">
        <f>Données!B247</f>
        <v>Valbroye</v>
      </c>
      <c r="C246" s="300">
        <f>VPI!Q247</f>
        <v>70.5</v>
      </c>
      <c r="D246" s="305">
        <f>Données!Z247</f>
        <v>3406</v>
      </c>
      <c r="E246" s="137">
        <f>VPI!R247</f>
        <v>90997.957399527193</v>
      </c>
      <c r="F246" s="234">
        <f>'Péréquation directe'!K253</f>
        <v>-859455.62614994193</v>
      </c>
      <c r="G246" s="244">
        <f>PCS!I253</f>
        <v>1394654.6631399691</v>
      </c>
      <c r="H246" s="260">
        <f>Police!L247</f>
        <v>267799.04562940891</v>
      </c>
      <c r="I246" s="343">
        <f t="shared" si="3"/>
        <v>802998.08261943609</v>
      </c>
      <c r="J246" s="138"/>
    </row>
    <row r="247" spans="1:10" s="86" customFormat="1" x14ac:dyDescent="0.25">
      <c r="A247" s="298">
        <f>Données!A248</f>
        <v>5841</v>
      </c>
      <c r="B247" s="302" t="str">
        <f>Données!B248</f>
        <v>Château-d'Oex</v>
      </c>
      <c r="C247" s="300">
        <f>VPI!Q248</f>
        <v>81.5</v>
      </c>
      <c r="D247" s="305">
        <f>Données!Z248</f>
        <v>3625</v>
      </c>
      <c r="E247" s="137">
        <f>VPI!R248</f>
        <v>131854.94253578733</v>
      </c>
      <c r="F247" s="234">
        <f>'Péréquation directe'!K254</f>
        <v>93745.721228513401</v>
      </c>
      <c r="G247" s="244">
        <f>PCS!I254</f>
        <v>2214025.0653887982</v>
      </c>
      <c r="H247" s="260">
        <f>Police!L248</f>
        <v>385342.73944617924</v>
      </c>
      <c r="I247" s="343">
        <f t="shared" si="3"/>
        <v>2693113.5260634907</v>
      </c>
      <c r="J247" s="138"/>
    </row>
    <row r="248" spans="1:10" s="86" customFormat="1" x14ac:dyDescent="0.25">
      <c r="A248" s="298">
        <f>Données!A249</f>
        <v>5842</v>
      </c>
      <c r="B248" s="302" t="str">
        <f>Données!B249</f>
        <v>Rossinière</v>
      </c>
      <c r="C248" s="300">
        <f>VPI!Q249</f>
        <v>81</v>
      </c>
      <c r="D248" s="305">
        <f>Données!Z249</f>
        <v>529</v>
      </c>
      <c r="E248" s="137">
        <f>VPI!R249</f>
        <v>19719.391028806585</v>
      </c>
      <c r="F248" s="234">
        <f>'Péréquation directe'!K255</f>
        <v>142460.85405701387</v>
      </c>
      <c r="G248" s="244">
        <f>PCS!I255</f>
        <v>292222.38623397495</v>
      </c>
      <c r="H248" s="260">
        <f>Police!L249</f>
        <v>59196.414719437234</v>
      </c>
      <c r="I248" s="343">
        <f t="shared" si="3"/>
        <v>493879.65501042607</v>
      </c>
      <c r="J248" s="138"/>
    </row>
    <row r="249" spans="1:10" s="86" customFormat="1" x14ac:dyDescent="0.25">
      <c r="A249" s="298">
        <f>Données!A250</f>
        <v>5843</v>
      </c>
      <c r="B249" s="302" t="str">
        <f>Données!B250</f>
        <v>Rougemont</v>
      </c>
      <c r="C249" s="300">
        <f>VPI!Q250</f>
        <v>79</v>
      </c>
      <c r="D249" s="305">
        <f>Données!Z250</f>
        <v>796</v>
      </c>
      <c r="E249" s="137">
        <f>VPI!R250</f>
        <v>88722.552616033761</v>
      </c>
      <c r="F249" s="234">
        <f>'Péréquation directe'!K256</f>
        <v>1608569.3847003179</v>
      </c>
      <c r="G249" s="244">
        <f>PCS!I256</f>
        <v>3457546.6735006371</v>
      </c>
      <c r="H249" s="260">
        <f>Police!L250</f>
        <v>172566.56792989685</v>
      </c>
      <c r="I249" s="343">
        <f t="shared" si="3"/>
        <v>5238682.6261308519</v>
      </c>
      <c r="J249" s="138"/>
    </row>
    <row r="250" spans="1:10" s="86" customFormat="1" x14ac:dyDescent="0.25">
      <c r="A250" s="298">
        <f>Données!A251</f>
        <v>5851</v>
      </c>
      <c r="B250" s="302" t="str">
        <f>Données!B251</f>
        <v>Allaman</v>
      </c>
      <c r="C250" s="300">
        <f>VPI!Q251</f>
        <v>65</v>
      </c>
      <c r="D250" s="305">
        <f>Données!Z251</f>
        <v>431</v>
      </c>
      <c r="E250" s="137">
        <f>VPI!R251</f>
        <v>22070.113025641029</v>
      </c>
      <c r="F250" s="234">
        <f>'Péréquation directe'!K257</f>
        <v>369578.8501023018</v>
      </c>
      <c r="G250" s="244">
        <f>PCS!I257</f>
        <v>589240.93737820571</v>
      </c>
      <c r="H250" s="260">
        <f>Police!L251</f>
        <v>61357.616845438075</v>
      </c>
      <c r="I250" s="343">
        <f t="shared" si="3"/>
        <v>1020177.4043259455</v>
      </c>
      <c r="J250" s="138"/>
    </row>
    <row r="251" spans="1:10" s="86" customFormat="1" x14ac:dyDescent="0.25">
      <c r="A251" s="298">
        <f>Données!A252</f>
        <v>5852</v>
      </c>
      <c r="B251" s="302" t="str">
        <f>Données!B252</f>
        <v>Bursinel</v>
      </c>
      <c r="C251" s="300">
        <f>VPI!Q252</f>
        <v>62</v>
      </c>
      <c r="D251" s="305">
        <f>Données!Z252</f>
        <v>521</v>
      </c>
      <c r="E251" s="137">
        <f>VPI!R252</f>
        <v>36549.131935483871</v>
      </c>
      <c r="F251" s="234">
        <f>'Péréquation directe'!K258</f>
        <v>637321.99480281165</v>
      </c>
      <c r="G251" s="244">
        <f>PCS!I258</f>
        <v>1848167.9308423311</v>
      </c>
      <c r="H251" s="260">
        <f>Police!L252</f>
        <v>88704.322344815417</v>
      </c>
      <c r="I251" s="343">
        <f t="shared" si="3"/>
        <v>2574194.2479899582</v>
      </c>
      <c r="J251" s="138"/>
    </row>
    <row r="252" spans="1:10" s="86" customFormat="1" x14ac:dyDescent="0.25">
      <c r="A252" s="298">
        <f>Données!A253</f>
        <v>5853</v>
      </c>
      <c r="B252" s="302" t="str">
        <f>Données!B253</f>
        <v>Bursins</v>
      </c>
      <c r="C252" s="300">
        <f>VPI!Q253</f>
        <v>71</v>
      </c>
      <c r="D252" s="305">
        <f>Données!Z253</f>
        <v>796</v>
      </c>
      <c r="E252" s="137">
        <f>VPI!R253</f>
        <v>43710.813239436618</v>
      </c>
      <c r="F252" s="234">
        <f>'Péréquation directe'!K259</f>
        <v>739523.67851148697</v>
      </c>
      <c r="G252" s="244">
        <f>PCS!I259</f>
        <v>750625.5552035002</v>
      </c>
      <c r="H252" s="260">
        <f>Police!L253</f>
        <v>121860.61811371482</v>
      </c>
      <c r="I252" s="343">
        <f t="shared" si="3"/>
        <v>1612009.8518287018</v>
      </c>
      <c r="J252" s="138"/>
    </row>
    <row r="253" spans="1:10" s="86" customFormat="1" x14ac:dyDescent="0.25">
      <c r="A253" s="298">
        <f>Données!A254</f>
        <v>5854</v>
      </c>
      <c r="B253" s="302" t="str">
        <f>Données!B254</f>
        <v>Burtigny</v>
      </c>
      <c r="C253" s="300">
        <f>VPI!Q254</f>
        <v>78.5</v>
      </c>
      <c r="D253" s="305">
        <f>Données!Z254</f>
        <v>412</v>
      </c>
      <c r="E253" s="137">
        <f>VPI!R254</f>
        <v>16984.704925690025</v>
      </c>
      <c r="F253" s="234">
        <f>'Péréquation directe'!K260</f>
        <v>190389.10495461884</v>
      </c>
      <c r="G253" s="244">
        <f>PCS!I260</f>
        <v>220168.30582283286</v>
      </c>
      <c r="H253" s="260">
        <f>Police!L254</f>
        <v>50991.461396326551</v>
      </c>
      <c r="I253" s="343">
        <f t="shared" si="3"/>
        <v>461548.87217377825</v>
      </c>
      <c r="J253" s="138"/>
    </row>
    <row r="254" spans="1:10" s="86" customFormat="1" x14ac:dyDescent="0.25">
      <c r="A254" s="298">
        <f>Données!A255</f>
        <v>5855</v>
      </c>
      <c r="B254" s="302" t="str">
        <f>Données!B255</f>
        <v>Dully</v>
      </c>
      <c r="C254" s="300">
        <f>VPI!Q255</f>
        <v>53</v>
      </c>
      <c r="D254" s="305">
        <f>Données!Z255</f>
        <v>632</v>
      </c>
      <c r="E254" s="137">
        <f>VPI!R255</f>
        <v>80639.677735849051</v>
      </c>
      <c r="F254" s="234">
        <f>'Péréquation directe'!K261</f>
        <v>1474023.1547735126</v>
      </c>
      <c r="G254" s="244">
        <f>PCS!I261</f>
        <v>2110407.4660404734</v>
      </c>
      <c r="H254" s="260">
        <f>Police!L255</f>
        <v>148499.22471759058</v>
      </c>
      <c r="I254" s="343">
        <f t="shared" si="3"/>
        <v>3732929.8455315768</v>
      </c>
      <c r="J254" s="138"/>
    </row>
    <row r="255" spans="1:10" s="86" customFormat="1" x14ac:dyDescent="0.25">
      <c r="A255" s="298">
        <f>Données!A256</f>
        <v>5856</v>
      </c>
      <c r="B255" s="302" t="str">
        <f>Données!B256</f>
        <v>Essertines-sur-Rolle</v>
      </c>
      <c r="C255" s="300">
        <f>VPI!Q256</f>
        <v>66.5</v>
      </c>
      <c r="D255" s="305">
        <f>Données!Z256</f>
        <v>768</v>
      </c>
      <c r="E255" s="137">
        <f>VPI!R256</f>
        <v>40086.564661654142</v>
      </c>
      <c r="F255" s="234">
        <f>'Péréquation directe'!K262</f>
        <v>673222.52000852278</v>
      </c>
      <c r="G255" s="244">
        <f>PCS!I262</f>
        <v>619796.14145349571</v>
      </c>
      <c r="H255" s="260">
        <f>Police!L256</f>
        <v>115223.40566636118</v>
      </c>
      <c r="I255" s="343">
        <f t="shared" si="3"/>
        <v>1408242.0671283796</v>
      </c>
      <c r="J255" s="138"/>
    </row>
    <row r="256" spans="1:10" s="86" customFormat="1" x14ac:dyDescent="0.25">
      <c r="A256" s="298">
        <f>Données!A257</f>
        <v>5857</v>
      </c>
      <c r="B256" s="302" t="str">
        <f>Données!B257</f>
        <v>Gilly</v>
      </c>
      <c r="C256" s="300">
        <f>VPI!Q257</f>
        <v>64.5</v>
      </c>
      <c r="D256" s="305">
        <f>Données!Z257</f>
        <v>1475</v>
      </c>
      <c r="E256" s="137">
        <f>VPI!R257</f>
        <v>92966.463565891449</v>
      </c>
      <c r="F256" s="234">
        <f>'Péréquation directe'!K263</f>
        <v>1489304.4908542261</v>
      </c>
      <c r="G256" s="244">
        <f>PCS!I263</f>
        <v>1507259.8223561095</v>
      </c>
      <c r="H256" s="260">
        <f>Police!L257</f>
        <v>239293.45303807885</v>
      </c>
      <c r="I256" s="343">
        <f t="shared" si="3"/>
        <v>3235857.7662484143</v>
      </c>
      <c r="J256" s="138"/>
    </row>
    <row r="257" spans="1:10" s="86" customFormat="1" x14ac:dyDescent="0.25">
      <c r="A257" s="298">
        <f>Données!A258</f>
        <v>5858</v>
      </c>
      <c r="B257" s="302" t="str">
        <f>Données!B258</f>
        <v>Luins</v>
      </c>
      <c r="C257" s="300">
        <f>VPI!Q258</f>
        <v>58.5</v>
      </c>
      <c r="D257" s="305">
        <f>Données!Z258</f>
        <v>629</v>
      </c>
      <c r="E257" s="137">
        <f>VPI!R258</f>
        <v>34472.230883190881</v>
      </c>
      <c r="F257" s="234">
        <f>'Péréquation directe'!K264</f>
        <v>583057.5861694644</v>
      </c>
      <c r="G257" s="244">
        <f>PCS!I264</f>
        <v>657716.21676750237</v>
      </c>
      <c r="H257" s="260">
        <f>Police!L258</f>
        <v>96217.670541207204</v>
      </c>
      <c r="I257" s="343">
        <f t="shared" si="3"/>
        <v>1336991.4734781741</v>
      </c>
      <c r="J257" s="138"/>
    </row>
    <row r="258" spans="1:10" s="86" customFormat="1" x14ac:dyDescent="0.25">
      <c r="A258" s="298">
        <f>Données!A259</f>
        <v>5859</v>
      </c>
      <c r="B258" s="302" t="str">
        <f>Données!B259</f>
        <v>Mont-sur-Rolle</v>
      </c>
      <c r="C258" s="300">
        <f>VPI!Q259</f>
        <v>63.5</v>
      </c>
      <c r="D258" s="305">
        <f>Données!Z259</f>
        <v>2784</v>
      </c>
      <c r="E258" s="137">
        <f>VPI!R259</f>
        <v>184009.52141732289</v>
      </c>
      <c r="F258" s="234">
        <f>'Péréquation directe'!K265</f>
        <v>2766346.1495564315</v>
      </c>
      <c r="G258" s="244">
        <f>PCS!I265</f>
        <v>3352165.8092422364</v>
      </c>
      <c r="H258" s="260">
        <f>Police!L259</f>
        <v>461275.77299031208</v>
      </c>
      <c r="I258" s="343">
        <f t="shared" si="3"/>
        <v>6579787.7317889798</v>
      </c>
      <c r="J258" s="138"/>
    </row>
    <row r="259" spans="1:10" s="86" customFormat="1" x14ac:dyDescent="0.25">
      <c r="A259" s="298">
        <f>Données!A260</f>
        <v>5860</v>
      </c>
      <c r="B259" s="302" t="str">
        <f>Données!B260</f>
        <v>Perroy</v>
      </c>
      <c r="C259" s="300">
        <f>VPI!Q260</f>
        <v>58.5</v>
      </c>
      <c r="D259" s="305">
        <f>Données!Z260</f>
        <v>1600</v>
      </c>
      <c r="E259" s="137">
        <f>VPI!R260</f>
        <v>115014.47146614069</v>
      </c>
      <c r="F259" s="234">
        <f>'Péréquation directe'!K266</f>
        <v>1869080.6750279698</v>
      </c>
      <c r="G259" s="244">
        <f>PCS!I266</f>
        <v>2112797.8714785445</v>
      </c>
      <c r="H259" s="260">
        <f>Police!L260</f>
        <v>275534.56521994871</v>
      </c>
      <c r="I259" s="343">
        <f t="shared" si="3"/>
        <v>4257413.1117264628</v>
      </c>
      <c r="J259" s="138"/>
    </row>
    <row r="260" spans="1:10" s="86" customFormat="1" x14ac:dyDescent="0.25">
      <c r="A260" s="298">
        <f>Données!A261</f>
        <v>5861</v>
      </c>
      <c r="B260" s="302" t="str">
        <f>Données!B261</f>
        <v>Rolle</v>
      </c>
      <c r="C260" s="300">
        <f>VPI!Q261</f>
        <v>59.5</v>
      </c>
      <c r="D260" s="305">
        <f>Données!Z261</f>
        <v>6453</v>
      </c>
      <c r="E260" s="137">
        <f>VPI!R261</f>
        <v>1018783.8085714284</v>
      </c>
      <c r="F260" s="234">
        <f>'Péréquation directe'!K267</f>
        <v>16840009.905197896</v>
      </c>
      <c r="G260" s="244">
        <f>PCS!I267</f>
        <v>31418457.419311117</v>
      </c>
      <c r="H260" s="260">
        <f>Police!L261</f>
        <v>1736381.0732293371</v>
      </c>
      <c r="I260" s="343">
        <f t="shared" si="3"/>
        <v>49994848.397738345</v>
      </c>
      <c r="J260" s="138"/>
    </row>
    <row r="261" spans="1:10" s="86" customFormat="1" x14ac:dyDescent="0.25">
      <c r="A261" s="298">
        <f>Données!A262</f>
        <v>5862</v>
      </c>
      <c r="B261" s="302" t="str">
        <f>Données!B262</f>
        <v>Tartegnin</v>
      </c>
      <c r="C261" s="300">
        <f>VPI!Q262</f>
        <v>79</v>
      </c>
      <c r="D261" s="305">
        <f>Données!Z262</f>
        <v>250</v>
      </c>
      <c r="E261" s="137">
        <f>VPI!R262</f>
        <v>11391.445316455696</v>
      </c>
      <c r="F261" s="234">
        <f>'Péréquation directe'!K268</f>
        <v>162881.95062194279</v>
      </c>
      <c r="G261" s="244">
        <f>PCS!I268</f>
        <v>160845.77401952521</v>
      </c>
      <c r="H261" s="260">
        <f>Police!L262</f>
        <v>34244.958928904496</v>
      </c>
      <c r="I261" s="343">
        <f t="shared" si="3"/>
        <v>357972.68357037252</v>
      </c>
      <c r="J261" s="138"/>
    </row>
    <row r="262" spans="1:10" s="86" customFormat="1" x14ac:dyDescent="0.25">
      <c r="A262" s="298">
        <f>Données!A263</f>
        <v>5863</v>
      </c>
      <c r="B262" s="302" t="str">
        <f>Données!B263</f>
        <v>Vinzel</v>
      </c>
      <c r="C262" s="300">
        <f>VPI!Q263</f>
        <v>65</v>
      </c>
      <c r="D262" s="305">
        <f>Données!Z263</f>
        <v>381</v>
      </c>
      <c r="E262" s="137">
        <f>VPI!R263</f>
        <v>22595.272461538461</v>
      </c>
      <c r="F262" s="234">
        <f>'Péréquation directe'!K269</f>
        <v>386276.24922193738</v>
      </c>
      <c r="G262" s="244">
        <f>PCS!I269</f>
        <v>342921.33278633544</v>
      </c>
      <c r="H262" s="260">
        <f>Police!L263</f>
        <v>60212.8383943058</v>
      </c>
      <c r="I262" s="343">
        <f t="shared" ref="I262:I304" si="4">SUM(F262:H262)</f>
        <v>789410.42040257866</v>
      </c>
      <c r="J262" s="138"/>
    </row>
    <row r="263" spans="1:10" s="86" customFormat="1" x14ac:dyDescent="0.25">
      <c r="A263" s="298">
        <f>Données!A264</f>
        <v>5871</v>
      </c>
      <c r="B263" s="302" t="str">
        <f>Données!B264</f>
        <v>L'Abbaye</v>
      </c>
      <c r="C263" s="300">
        <f>VPI!Q264</f>
        <v>77.23</v>
      </c>
      <c r="D263" s="305">
        <f>Données!Z264</f>
        <v>1534</v>
      </c>
      <c r="E263" s="137">
        <f>VPI!R264</f>
        <v>50382.809788942126</v>
      </c>
      <c r="F263" s="234">
        <f>'Péréquation directe'!K270</f>
        <v>38295.951442751219</v>
      </c>
      <c r="G263" s="244">
        <f>PCS!I270</f>
        <v>968339.49099561491</v>
      </c>
      <c r="H263" s="260">
        <f>Police!L264</f>
        <v>149520.5766173274</v>
      </c>
      <c r="I263" s="343">
        <f t="shared" si="4"/>
        <v>1156156.0190556934</v>
      </c>
      <c r="J263" s="138"/>
    </row>
    <row r="264" spans="1:10" s="86" customFormat="1" x14ac:dyDescent="0.25">
      <c r="A264" s="298">
        <f>Données!A265</f>
        <v>5872</v>
      </c>
      <c r="B264" s="302" t="str">
        <f>Données!B265</f>
        <v>Le Chenit</v>
      </c>
      <c r="C264" s="300">
        <f>VPI!Q265</f>
        <v>67.040000000000006</v>
      </c>
      <c r="D264" s="305">
        <f>Données!Z265</f>
        <v>4712</v>
      </c>
      <c r="E264" s="137">
        <f>VPI!R265</f>
        <v>317388.40065632458</v>
      </c>
      <c r="F264" s="234">
        <f>'Péréquation directe'!K271</f>
        <v>4363980.240316011</v>
      </c>
      <c r="G264" s="244">
        <f>PCS!I271</f>
        <v>7372744.9534326177</v>
      </c>
      <c r="H264" s="260">
        <f>Police!L265</f>
        <v>787421.82389631914</v>
      </c>
      <c r="I264" s="343">
        <f t="shared" si="4"/>
        <v>12524147.017644947</v>
      </c>
      <c r="J264" s="138"/>
    </row>
    <row r="265" spans="1:10" s="86" customFormat="1" x14ac:dyDescent="0.25">
      <c r="A265" s="298">
        <f>Données!A266</f>
        <v>5873</v>
      </c>
      <c r="B265" s="302" t="str">
        <f>Données!B266</f>
        <v>Le Lieu</v>
      </c>
      <c r="C265" s="300">
        <f>VPI!Q266</f>
        <v>70</v>
      </c>
      <c r="D265" s="305">
        <f>Données!Z266</f>
        <v>910</v>
      </c>
      <c r="E265" s="137">
        <f>VPI!R266</f>
        <v>32064.674107142859</v>
      </c>
      <c r="F265" s="234">
        <f>'Péréquation directe'!K272</f>
        <v>246409.26433765132</v>
      </c>
      <c r="G265" s="244">
        <f>PCS!I272</f>
        <v>722403.16903081222</v>
      </c>
      <c r="H265" s="260">
        <f>Police!L266</f>
        <v>95900.823097071785</v>
      </c>
      <c r="I265" s="343">
        <f t="shared" si="4"/>
        <v>1064713.2564655354</v>
      </c>
      <c r="J265" s="138"/>
    </row>
    <row r="266" spans="1:10" s="86" customFormat="1" x14ac:dyDescent="0.25">
      <c r="A266" s="298">
        <f>Données!A267</f>
        <v>5882</v>
      </c>
      <c r="B266" s="302" t="str">
        <f>Données!B267</f>
        <v>Chardonne</v>
      </c>
      <c r="C266" s="300">
        <f>VPI!Q267</f>
        <v>68</v>
      </c>
      <c r="D266" s="305">
        <f>Données!Z267</f>
        <v>3243</v>
      </c>
      <c r="E266" s="137">
        <f>VPI!R267</f>
        <v>191105.75352941177</v>
      </c>
      <c r="F266" s="234">
        <f>'Péréquation directe'!K273</f>
        <v>2696537.5448934413</v>
      </c>
      <c r="G266" s="244">
        <f>PCS!I273</f>
        <v>3812156.7424467825</v>
      </c>
      <c r="H266" s="260">
        <f>Police!L267</f>
        <v>215281.58836457241</v>
      </c>
      <c r="I266" s="343">
        <f t="shared" si="4"/>
        <v>6723975.8757047961</v>
      </c>
      <c r="J266" s="138"/>
    </row>
    <row r="267" spans="1:10" s="86" customFormat="1" x14ac:dyDescent="0.25">
      <c r="A267" s="298">
        <f>Données!A268</f>
        <v>5883</v>
      </c>
      <c r="B267" s="302" t="str">
        <f>Données!B268</f>
        <v>Corseaux</v>
      </c>
      <c r="C267" s="300">
        <f>VPI!Q268</f>
        <v>67.5</v>
      </c>
      <c r="D267" s="305">
        <f>Données!Z268</f>
        <v>2339</v>
      </c>
      <c r="E267" s="137">
        <f>VPI!R268</f>
        <v>170880.8057777778</v>
      </c>
      <c r="F267" s="234">
        <f>'Péréquation directe'!K274</f>
        <v>2676296.6711491211</v>
      </c>
      <c r="G267" s="244">
        <f>PCS!I274</f>
        <v>3749949.0404094812</v>
      </c>
      <c r="H267" s="260">
        <f>Police!L268</f>
        <v>192498.0834404669</v>
      </c>
      <c r="I267" s="343">
        <f t="shared" si="4"/>
        <v>6618743.7949990695</v>
      </c>
      <c r="J267" s="138"/>
    </row>
    <row r="268" spans="1:10" s="86" customFormat="1" x14ac:dyDescent="0.25">
      <c r="A268" s="298">
        <f>Données!A269</f>
        <v>5884</v>
      </c>
      <c r="B268" s="302" t="str">
        <f>Données!B269</f>
        <v>Corsier-sur-Vevey</v>
      </c>
      <c r="C268" s="300">
        <f>VPI!Q269</f>
        <v>64.5</v>
      </c>
      <c r="D268" s="305">
        <f>Données!Z269</f>
        <v>3429</v>
      </c>
      <c r="E268" s="137">
        <f>VPI!R269</f>
        <v>147926.61447028426</v>
      </c>
      <c r="F268" s="234">
        <f>'Péréquation directe'!K275</f>
        <v>1405228.9351932171</v>
      </c>
      <c r="G268" s="244">
        <f>PCS!I275</f>
        <v>2328385.9880337715</v>
      </c>
      <c r="H268" s="260">
        <f>Police!L269</f>
        <v>166640.07198326112</v>
      </c>
      <c r="I268" s="343">
        <f t="shared" si="4"/>
        <v>3900254.9952102499</v>
      </c>
      <c r="J268" s="138"/>
    </row>
    <row r="269" spans="1:10" s="86" customFormat="1" x14ac:dyDescent="0.25">
      <c r="A269" s="298">
        <f>Données!A270</f>
        <v>5885</v>
      </c>
      <c r="B269" s="302" t="str">
        <f>Données!B270</f>
        <v>Jongny</v>
      </c>
      <c r="C269" s="300">
        <f>VPI!Q270</f>
        <v>69.5</v>
      </c>
      <c r="D269" s="305">
        <f>Données!Z270</f>
        <v>1918</v>
      </c>
      <c r="E269" s="137">
        <f>VPI!R270</f>
        <v>97976.001630695435</v>
      </c>
      <c r="F269" s="234">
        <f>'Péréquation directe'!K276</f>
        <v>1423330.7836032505</v>
      </c>
      <c r="G269" s="244">
        <f>PCS!I276</f>
        <v>1539617.8734914339</v>
      </c>
      <c r="H269" s="260">
        <f>Police!L270</f>
        <v>110370.45647827582</v>
      </c>
      <c r="I269" s="343">
        <f t="shared" si="4"/>
        <v>3073319.1135729603</v>
      </c>
      <c r="J269" s="138"/>
    </row>
    <row r="270" spans="1:10" s="86" customFormat="1" x14ac:dyDescent="0.25">
      <c r="A270" s="298">
        <f>Données!A271</f>
        <v>5886</v>
      </c>
      <c r="B270" s="302" t="str">
        <f>Données!B271</f>
        <v>Montreux</v>
      </c>
      <c r="C270" s="300">
        <f>VPI!Q271</f>
        <v>65</v>
      </c>
      <c r="D270" s="305">
        <f>Données!Z271</f>
        <v>26837</v>
      </c>
      <c r="E270" s="137">
        <f>VPI!R271</f>
        <v>1169621.0326666667</v>
      </c>
      <c r="F270" s="234">
        <f>'Péréquation directe'!K277</f>
        <v>-3377884.1890049092</v>
      </c>
      <c r="G270" s="244">
        <f>PCS!I277</f>
        <v>19722511.280645501</v>
      </c>
      <c r="H270" s="260">
        <f>Police!L271</f>
        <v>1317583.9504923066</v>
      </c>
      <c r="I270" s="343">
        <f t="shared" si="4"/>
        <v>17662211.042132899</v>
      </c>
      <c r="J270" s="138"/>
    </row>
    <row r="271" spans="1:10" s="86" customFormat="1" x14ac:dyDescent="0.25">
      <c r="A271" s="298">
        <f>Données!A272</f>
        <v>5889</v>
      </c>
      <c r="B271" s="302" t="str">
        <f>Données!B272</f>
        <v>La Tour-de-Peilz</v>
      </c>
      <c r="C271" s="300">
        <f>VPI!Q272</f>
        <v>64</v>
      </c>
      <c r="D271" s="305">
        <f>Données!Z272</f>
        <v>12605</v>
      </c>
      <c r="E271" s="137">
        <f>VPI!R272</f>
        <v>779203.88627604162</v>
      </c>
      <c r="F271" s="234">
        <f>'Péréquation directe'!K278</f>
        <v>7300356.7955111777</v>
      </c>
      <c r="G271" s="244">
        <f>PCS!I278</f>
        <v>12689599.356583392</v>
      </c>
      <c r="H271" s="260">
        <f>Police!L272</f>
        <v>877777.07996393158</v>
      </c>
      <c r="I271" s="343">
        <f t="shared" si="4"/>
        <v>20867733.232058499</v>
      </c>
      <c r="J271" s="138"/>
    </row>
    <row r="272" spans="1:10" s="86" customFormat="1" x14ac:dyDescent="0.25">
      <c r="A272" s="298">
        <f>Données!A273</f>
        <v>5890</v>
      </c>
      <c r="B272" s="302" t="str">
        <f>Données!B273</f>
        <v>Vevey</v>
      </c>
      <c r="C272" s="300">
        <f>VPI!Q273</f>
        <v>74.5</v>
      </c>
      <c r="D272" s="305">
        <f>Données!Z273</f>
        <v>20155</v>
      </c>
      <c r="E272" s="137">
        <f>VPI!R273</f>
        <v>1034326.0486800894</v>
      </c>
      <c r="F272" s="234">
        <f>'Péréquation directe'!K279</f>
        <v>4033384.2784712426</v>
      </c>
      <c r="G272" s="244">
        <f>PCS!I279</f>
        <v>15172054.658282967</v>
      </c>
      <c r="H272" s="260">
        <f>Police!L273</f>
        <v>1165173.4735052437</v>
      </c>
      <c r="I272" s="343">
        <f t="shared" si="4"/>
        <v>20370612.410259455</v>
      </c>
      <c r="J272" s="138"/>
    </row>
    <row r="273" spans="1:10" s="86" customFormat="1" x14ac:dyDescent="0.25">
      <c r="A273" s="298">
        <f>Données!A274</f>
        <v>5891</v>
      </c>
      <c r="B273" s="302" t="str">
        <f>Données!B274</f>
        <v>Veytaux</v>
      </c>
      <c r="C273" s="300">
        <f>VPI!Q274</f>
        <v>67.5</v>
      </c>
      <c r="D273" s="305">
        <f>Données!Z274</f>
        <v>997</v>
      </c>
      <c r="E273" s="137">
        <f>VPI!R274</f>
        <v>45647.230320987655</v>
      </c>
      <c r="F273" s="234">
        <f>'Péréquation directe'!K280</f>
        <v>683875.45358982368</v>
      </c>
      <c r="G273" s="244">
        <f>PCS!I280</f>
        <v>756926.62173663045</v>
      </c>
      <c r="H273" s="260">
        <f>Police!L274</f>
        <v>51421.833547430513</v>
      </c>
      <c r="I273" s="343">
        <f t="shared" si="4"/>
        <v>1492223.9088738847</v>
      </c>
      <c r="J273" s="138"/>
    </row>
    <row r="274" spans="1:10" s="86" customFormat="1" x14ac:dyDescent="0.25">
      <c r="A274" s="298">
        <f>Données!A275</f>
        <v>5892</v>
      </c>
      <c r="B274" s="302" t="str">
        <f>Données!B275</f>
        <v>Blonay - Saint-Légier</v>
      </c>
      <c r="C274" s="300">
        <f>VPI!Q275</f>
        <v>68.5</v>
      </c>
      <c r="D274" s="305">
        <f>Données!Z275</f>
        <v>12340</v>
      </c>
      <c r="E274" s="137">
        <f>VPI!R275</f>
        <v>720090.13459854003</v>
      </c>
      <c r="F274" s="234">
        <f>'Péréquation directe'!K281</f>
        <v>6437105.6479931371</v>
      </c>
      <c r="G274" s="244">
        <f>PCS!I281</f>
        <v>13037096.237558439</v>
      </c>
      <c r="H274" s="260">
        <f>Police!L275</f>
        <v>811185.14267114433</v>
      </c>
      <c r="I274" s="343">
        <f t="shared" si="4"/>
        <v>20285387.028222721</v>
      </c>
      <c r="J274" s="138"/>
    </row>
    <row r="275" spans="1:10" s="86" customFormat="1" x14ac:dyDescent="0.25">
      <c r="A275" s="298">
        <f>Données!A276</f>
        <v>5902</v>
      </c>
      <c r="B275" s="302" t="str">
        <f>Données!B276</f>
        <v>Belmont-sur-Yverdon</v>
      </c>
      <c r="C275" s="300">
        <f>VPI!Q276</f>
        <v>70</v>
      </c>
      <c r="D275" s="305">
        <f>Données!Z276</f>
        <v>443</v>
      </c>
      <c r="E275" s="137">
        <f>VPI!R276</f>
        <v>13428.751285714286</v>
      </c>
      <c r="F275" s="234">
        <f>'Péréquation directe'!K282</f>
        <v>35172.485912807402</v>
      </c>
      <c r="G275" s="244">
        <f>PCS!I282</f>
        <v>180322.24179100501</v>
      </c>
      <c r="H275" s="260">
        <f>Police!L276</f>
        <v>39885.149571457128</v>
      </c>
      <c r="I275" s="343">
        <f t="shared" si="4"/>
        <v>255379.87727526954</v>
      </c>
      <c r="J275" s="138"/>
    </row>
    <row r="276" spans="1:10" s="86" customFormat="1" x14ac:dyDescent="0.25">
      <c r="A276" s="298">
        <f>Données!A277</f>
        <v>5903</v>
      </c>
      <c r="B276" s="302" t="str">
        <f>Données!B277</f>
        <v>Bioley-Magnoux</v>
      </c>
      <c r="C276" s="300">
        <f>VPI!Q277</f>
        <v>72</v>
      </c>
      <c r="D276" s="305">
        <f>Données!Z277</f>
        <v>253</v>
      </c>
      <c r="E276" s="137">
        <f>VPI!R277</f>
        <v>6278.7138690476195</v>
      </c>
      <c r="F276" s="234">
        <f>'Péréquation directe'!K283</f>
        <v>-41045.117387214792</v>
      </c>
      <c r="G276" s="244">
        <f>PCS!I283</f>
        <v>98680.312238846396</v>
      </c>
      <c r="H276" s="260">
        <f>Police!L277</f>
        <v>18493.224004726992</v>
      </c>
      <c r="I276" s="343">
        <f t="shared" si="4"/>
        <v>76128.418856358592</v>
      </c>
      <c r="J276" s="138"/>
    </row>
    <row r="277" spans="1:10" s="86" customFormat="1" x14ac:dyDescent="0.25">
      <c r="A277" s="298">
        <f>Données!A278</f>
        <v>5904</v>
      </c>
      <c r="B277" s="302" t="str">
        <f>Données!B278</f>
        <v>Chamblon</v>
      </c>
      <c r="C277" s="300">
        <f>VPI!Q278</f>
        <v>66</v>
      </c>
      <c r="D277" s="305">
        <f>Données!Z278</f>
        <v>561</v>
      </c>
      <c r="E277" s="137">
        <f>VPI!R278</f>
        <v>18164.59121212121</v>
      </c>
      <c r="F277" s="234">
        <f>'Péréquation directe'!K284</f>
        <v>110415.29579049654</v>
      </c>
      <c r="G277" s="244">
        <f>PCS!I284</f>
        <v>254679.58312468871</v>
      </c>
      <c r="H277" s="260">
        <f>Police!L278</f>
        <v>20462.502964552394</v>
      </c>
      <c r="I277" s="343">
        <f t="shared" si="4"/>
        <v>385557.3818797376</v>
      </c>
      <c r="J277" s="138"/>
    </row>
    <row r="278" spans="1:10" s="86" customFormat="1" x14ac:dyDescent="0.25">
      <c r="A278" s="298">
        <f>Données!A279</f>
        <v>5905</v>
      </c>
      <c r="B278" s="302" t="str">
        <f>Données!B279</f>
        <v>Champvent</v>
      </c>
      <c r="C278" s="300">
        <f>VPI!Q279</f>
        <v>70</v>
      </c>
      <c r="D278" s="305">
        <f>Données!Z279</f>
        <v>731</v>
      </c>
      <c r="E278" s="137">
        <f>VPI!R279</f>
        <v>22259.587285714286</v>
      </c>
      <c r="F278" s="234">
        <f>'Péréquation directe'!K285</f>
        <v>61950.915120139194</v>
      </c>
      <c r="G278" s="244">
        <f>PCS!I285</f>
        <v>338223.19966369157</v>
      </c>
      <c r="H278" s="260">
        <f>Police!L279</f>
        <v>66121.048262539858</v>
      </c>
      <c r="I278" s="343">
        <f t="shared" si="4"/>
        <v>466295.16304637061</v>
      </c>
      <c r="J278" s="138"/>
    </row>
    <row r="279" spans="1:10" s="86" customFormat="1" x14ac:dyDescent="0.25">
      <c r="A279" s="298">
        <f>Données!A280</f>
        <v>5907</v>
      </c>
      <c r="B279" s="302" t="str">
        <f>Données!B280</f>
        <v>Chavannes-le-Chêne</v>
      </c>
      <c r="C279" s="300">
        <f>VPI!Q280</f>
        <v>75</v>
      </c>
      <c r="D279" s="305">
        <f>Données!Z280</f>
        <v>317</v>
      </c>
      <c r="E279" s="137">
        <f>VPI!R280</f>
        <v>8797.9254666666657</v>
      </c>
      <c r="F279" s="234">
        <f>'Péréquation directe'!K286</f>
        <v>-26299.402302278613</v>
      </c>
      <c r="G279" s="244">
        <f>PCS!I286</f>
        <v>159520.18254459099</v>
      </c>
      <c r="H279" s="260">
        <f>Police!L280</f>
        <v>26055.46682952196</v>
      </c>
      <c r="I279" s="343">
        <f t="shared" si="4"/>
        <v>159276.24707183434</v>
      </c>
      <c r="J279" s="138"/>
    </row>
    <row r="280" spans="1:10" s="86" customFormat="1" x14ac:dyDescent="0.25">
      <c r="A280" s="298">
        <f>Données!A281</f>
        <v>5908</v>
      </c>
      <c r="B280" s="302" t="str">
        <f>Données!B281</f>
        <v>Chêne-Pâquier</v>
      </c>
      <c r="C280" s="300">
        <f>VPI!Q281</f>
        <v>75</v>
      </c>
      <c r="D280" s="305">
        <f>Données!Z281</f>
        <v>175</v>
      </c>
      <c r="E280" s="137">
        <f>VPI!R281</f>
        <v>5848.7089333333342</v>
      </c>
      <c r="F280" s="234">
        <f>'Péréquation directe'!K287</f>
        <v>26912.661476041903</v>
      </c>
      <c r="G280" s="244">
        <f>PCS!I287</f>
        <v>73145.764180553742</v>
      </c>
      <c r="H280" s="260">
        <f>Police!L281</f>
        <v>17513.503102390077</v>
      </c>
      <c r="I280" s="343">
        <f t="shared" si="4"/>
        <v>117571.92875898573</v>
      </c>
      <c r="J280" s="138"/>
    </row>
    <row r="281" spans="1:10" s="86" customFormat="1" x14ac:dyDescent="0.25">
      <c r="A281" s="298">
        <f>Données!A282</f>
        <v>5909</v>
      </c>
      <c r="B281" s="302" t="str">
        <f>Données!B282</f>
        <v>Cheseaux-Noréaz</v>
      </c>
      <c r="C281" s="300">
        <f>VPI!Q282</f>
        <v>67</v>
      </c>
      <c r="D281" s="305">
        <f>Données!Z282</f>
        <v>739</v>
      </c>
      <c r="E281" s="137">
        <f>VPI!R282</f>
        <v>38683.585223880604</v>
      </c>
      <c r="F281" s="234">
        <f>'Péréquation directe'!K288</f>
        <v>649938.76682523463</v>
      </c>
      <c r="G281" s="244">
        <f>PCS!I288</f>
        <v>515078.59466442087</v>
      </c>
      <c r="H281" s="260">
        <f>Police!L282</f>
        <v>43577.252473205292</v>
      </c>
      <c r="I281" s="343">
        <f t="shared" si="4"/>
        <v>1208594.6139628608</v>
      </c>
      <c r="J281" s="138"/>
    </row>
    <row r="282" spans="1:10" s="86" customFormat="1" x14ac:dyDescent="0.25">
      <c r="A282" s="298">
        <f>Données!A283</f>
        <v>5910</v>
      </c>
      <c r="B282" s="302" t="str">
        <f>Données!B283</f>
        <v>Cronay</v>
      </c>
      <c r="C282" s="300">
        <f>VPI!Q283</f>
        <v>77</v>
      </c>
      <c r="D282" s="305">
        <f>Données!Z283</f>
        <v>422</v>
      </c>
      <c r="E282" s="137">
        <f>VPI!R283</f>
        <v>12977.456233766234</v>
      </c>
      <c r="F282" s="234">
        <f>'Péréquation directe'!K289</f>
        <v>8263.9339794566622</v>
      </c>
      <c r="G282" s="244">
        <f>PCS!I289</f>
        <v>174540.42246762948</v>
      </c>
      <c r="H282" s="260">
        <f>Police!L283</f>
        <v>38821.371513377831</v>
      </c>
      <c r="I282" s="343">
        <f t="shared" si="4"/>
        <v>221625.72796046396</v>
      </c>
      <c r="J282" s="138"/>
    </row>
    <row r="283" spans="1:10" s="86" customFormat="1" x14ac:dyDescent="0.25">
      <c r="A283" s="298">
        <f>Données!A284</f>
        <v>5911</v>
      </c>
      <c r="B283" s="302" t="str">
        <f>Données!B284</f>
        <v>Cuarny</v>
      </c>
      <c r="C283" s="300">
        <f>VPI!Q284</f>
        <v>77</v>
      </c>
      <c r="D283" s="305">
        <f>Données!Z284</f>
        <v>242</v>
      </c>
      <c r="E283" s="137">
        <f>VPI!R284</f>
        <v>7819.0719480519483</v>
      </c>
      <c r="F283" s="234">
        <f>'Péréquation directe'!K290</f>
        <v>20946.357486891924</v>
      </c>
      <c r="G283" s="244">
        <f>PCS!I290</f>
        <v>102501.53489488619</v>
      </c>
      <c r="H283" s="260">
        <f>Police!L284</f>
        <v>23380.319549751548</v>
      </c>
      <c r="I283" s="343">
        <f t="shared" si="4"/>
        <v>146828.21193152966</v>
      </c>
      <c r="J283" s="138"/>
    </row>
    <row r="284" spans="1:10" s="86" customFormat="1" x14ac:dyDescent="0.25">
      <c r="A284" s="298">
        <f>Données!A285</f>
        <v>5912</v>
      </c>
      <c r="B284" s="302" t="str">
        <f>Données!B285</f>
        <v>Démoret</v>
      </c>
      <c r="C284" s="300">
        <f>VPI!Q285</f>
        <v>78</v>
      </c>
      <c r="D284" s="305">
        <f>Données!Z285</f>
        <v>160</v>
      </c>
      <c r="E284" s="137">
        <f>VPI!R285</f>
        <v>3810.8220512820521</v>
      </c>
      <c r="F284" s="234">
        <f>'Péréquation directe'!K291</f>
        <v>-47103.039290379616</v>
      </c>
      <c r="G284" s="244">
        <f>PCS!I291</f>
        <v>50475.819195238495</v>
      </c>
      <c r="H284" s="260">
        <f>Police!L285</f>
        <v>11275.954227054292</v>
      </c>
      <c r="I284" s="343">
        <f t="shared" si="4"/>
        <v>14648.73413191317</v>
      </c>
      <c r="J284" s="138"/>
    </row>
    <row r="285" spans="1:10" s="86" customFormat="1" x14ac:dyDescent="0.25">
      <c r="A285" s="298">
        <f>Données!A286</f>
        <v>5913</v>
      </c>
      <c r="B285" s="302" t="str">
        <f>Données!B286</f>
        <v>Donneloye</v>
      </c>
      <c r="C285" s="300">
        <f>VPI!Q286</f>
        <v>73</v>
      </c>
      <c r="D285" s="305">
        <f>Données!Z286</f>
        <v>919</v>
      </c>
      <c r="E285" s="137">
        <f>VPI!R286</f>
        <v>21287.768493150685</v>
      </c>
      <c r="F285" s="234">
        <f>'Péréquation directe'!K292</f>
        <v>-223869.9632594866</v>
      </c>
      <c r="G285" s="244">
        <f>PCS!I292</f>
        <v>327235.28495707188</v>
      </c>
      <c r="H285" s="260">
        <f>Police!L286</f>
        <v>62994.638085758692</v>
      </c>
      <c r="I285" s="343">
        <f t="shared" si="4"/>
        <v>166359.95978334398</v>
      </c>
      <c r="J285" s="138"/>
    </row>
    <row r="286" spans="1:10" s="86" customFormat="1" x14ac:dyDescent="0.25">
      <c r="A286" s="298">
        <f>Données!A287</f>
        <v>5914</v>
      </c>
      <c r="B286" s="302" t="str">
        <f>Données!B287</f>
        <v>Ependes</v>
      </c>
      <c r="C286" s="300">
        <f>VPI!Q287</f>
        <v>73.5</v>
      </c>
      <c r="D286" s="305">
        <f>Données!Z287</f>
        <v>388</v>
      </c>
      <c r="E286" s="137">
        <f>VPI!R287</f>
        <v>11289.461224489796</v>
      </c>
      <c r="F286" s="234">
        <f>'Péréquation directe'!K293</f>
        <v>-3395.9043305288069</v>
      </c>
      <c r="G286" s="244">
        <f>PCS!I293</f>
        <v>153415.43174449838</v>
      </c>
      <c r="H286" s="260">
        <f>Police!L287</f>
        <v>12717.634604414805</v>
      </c>
      <c r="I286" s="343">
        <f t="shared" si="4"/>
        <v>162737.16201838438</v>
      </c>
      <c r="J286" s="138"/>
    </row>
    <row r="287" spans="1:10" s="86" customFormat="1" x14ac:dyDescent="0.25">
      <c r="A287" s="298">
        <f>Données!A288</f>
        <v>5919</v>
      </c>
      <c r="B287" s="302" t="str">
        <f>Données!B288</f>
        <v>Mathod</v>
      </c>
      <c r="C287" s="300">
        <f>VPI!Q288</f>
        <v>72</v>
      </c>
      <c r="D287" s="305">
        <f>Données!Z288</f>
        <v>709</v>
      </c>
      <c r="E287" s="137">
        <f>VPI!R288</f>
        <v>20397.872569444444</v>
      </c>
      <c r="F287" s="234">
        <f>'Péréquation directe'!K294</f>
        <v>-2886.6276834267192</v>
      </c>
      <c r="G287" s="244">
        <f>PCS!I294</f>
        <v>308724.60985393397</v>
      </c>
      <c r="H287" s="260">
        <f>Police!L288</f>
        <v>22978.305597336759</v>
      </c>
      <c r="I287" s="343">
        <f t="shared" si="4"/>
        <v>328816.28776784404</v>
      </c>
      <c r="J287" s="138"/>
    </row>
    <row r="288" spans="1:10" s="86" customFormat="1" x14ac:dyDescent="0.25">
      <c r="A288" s="298">
        <f>Données!A289</f>
        <v>5921</v>
      </c>
      <c r="B288" s="302" t="str">
        <f>Données!B289</f>
        <v>Molondin</v>
      </c>
      <c r="C288" s="300">
        <f>VPI!Q289</f>
        <v>81</v>
      </c>
      <c r="D288" s="305">
        <f>Données!Z289</f>
        <v>282</v>
      </c>
      <c r="E288" s="137">
        <f>VPI!R289</f>
        <v>5454.6739506172835</v>
      </c>
      <c r="F288" s="234">
        <f>'Péréquation directe'!K295</f>
        <v>-111112.41009120854</v>
      </c>
      <c r="G288" s="244">
        <f>PCS!I295</f>
        <v>67475.018486270303</v>
      </c>
      <c r="H288" s="260">
        <f>Police!L289</f>
        <v>16128.248138407766</v>
      </c>
      <c r="I288" s="343">
        <f t="shared" si="4"/>
        <v>-27509.143466530473</v>
      </c>
      <c r="J288" s="138"/>
    </row>
    <row r="289" spans="1:10" s="86" customFormat="1" x14ac:dyDescent="0.25">
      <c r="A289" s="298">
        <f>Données!A290</f>
        <v>5922</v>
      </c>
      <c r="B289" s="302" t="str">
        <f>Données!B290</f>
        <v>Montagny-près-Yverdon</v>
      </c>
      <c r="C289" s="300">
        <f>VPI!Q290</f>
        <v>64.5</v>
      </c>
      <c r="D289" s="305">
        <f>Données!Z290</f>
        <v>777</v>
      </c>
      <c r="E289" s="137">
        <f>VPI!R290</f>
        <v>39914.464612403099</v>
      </c>
      <c r="F289" s="234">
        <f>'Péréquation directe'!K296</f>
        <v>668719.31111072388</v>
      </c>
      <c r="G289" s="244">
        <f>PCS!I296</f>
        <v>649088.35840726853</v>
      </c>
      <c r="H289" s="260">
        <f>Police!L290</f>
        <v>112567.42349314314</v>
      </c>
      <c r="I289" s="343">
        <f t="shared" si="4"/>
        <v>1430375.0930111357</v>
      </c>
      <c r="J289" s="138"/>
    </row>
    <row r="290" spans="1:10" s="86" customFormat="1" x14ac:dyDescent="0.25">
      <c r="A290" s="298">
        <f>Données!A291</f>
        <v>5923</v>
      </c>
      <c r="B290" s="302" t="str">
        <f>Données!B291</f>
        <v>Oppens</v>
      </c>
      <c r="C290" s="300">
        <f>VPI!Q291</f>
        <v>81</v>
      </c>
      <c r="D290" s="305">
        <f>Données!Z291</f>
        <v>202</v>
      </c>
      <c r="E290" s="137">
        <f>VPI!R291</f>
        <v>6126.7193827160499</v>
      </c>
      <c r="F290" s="234">
        <f>'Péréquation directe'!K297</f>
        <v>-9462.1878232316667</v>
      </c>
      <c r="G290" s="244">
        <f>PCS!I297</f>
        <v>80318.424424024925</v>
      </c>
      <c r="H290" s="260">
        <f>Police!L291</f>
        <v>18476.154633733371</v>
      </c>
      <c r="I290" s="343">
        <f t="shared" si="4"/>
        <v>89332.391234526629</v>
      </c>
      <c r="J290" s="138"/>
    </row>
    <row r="291" spans="1:10" s="86" customFormat="1" x14ac:dyDescent="0.25">
      <c r="A291" s="298">
        <f>Données!A292</f>
        <v>5924</v>
      </c>
      <c r="B291" s="302" t="str">
        <f>Données!B292</f>
        <v>Orges</v>
      </c>
      <c r="C291" s="300">
        <f>VPI!Q292</f>
        <v>74</v>
      </c>
      <c r="D291" s="305">
        <f>Données!Z292</f>
        <v>416</v>
      </c>
      <c r="E291" s="137">
        <f>VPI!R292</f>
        <v>12401.843648648648</v>
      </c>
      <c r="F291" s="234">
        <f>'Péréquation directe'!K298</f>
        <v>6121.7632987714605</v>
      </c>
      <c r="G291" s="244">
        <f>PCS!I298</f>
        <v>168972.4642039387</v>
      </c>
      <c r="H291" s="260">
        <f>Police!L292</f>
        <v>36995.846543352833</v>
      </c>
      <c r="I291" s="343">
        <f t="shared" si="4"/>
        <v>212090.074046063</v>
      </c>
      <c r="J291" s="138"/>
    </row>
    <row r="292" spans="1:10" s="86" customFormat="1" x14ac:dyDescent="0.25">
      <c r="A292" s="298">
        <f>Données!A293</f>
        <v>5925</v>
      </c>
      <c r="B292" s="302" t="str">
        <f>Données!B293</f>
        <v>Orzens</v>
      </c>
      <c r="C292" s="300">
        <f>VPI!Q293</f>
        <v>79</v>
      </c>
      <c r="D292" s="305">
        <f>Données!Z293</f>
        <v>214</v>
      </c>
      <c r="E292" s="137">
        <f>VPI!R293</f>
        <v>5858.6327848101273</v>
      </c>
      <c r="F292" s="234">
        <f>'Péréquation directe'!K299</f>
        <v>-32750.232970171404</v>
      </c>
      <c r="G292" s="244">
        <f>PCS!I299</f>
        <v>120862.98613553416</v>
      </c>
      <c r="H292" s="260">
        <f>Police!L293</f>
        <v>17406.444740395305</v>
      </c>
      <c r="I292" s="343">
        <f t="shared" si="4"/>
        <v>105519.19790575806</v>
      </c>
      <c r="J292" s="138"/>
    </row>
    <row r="293" spans="1:10" s="86" customFormat="1" x14ac:dyDescent="0.25">
      <c r="A293" s="298">
        <f>Données!A294</f>
        <v>5926</v>
      </c>
      <c r="B293" s="302" t="str">
        <f>Données!B294</f>
        <v>Pomy</v>
      </c>
      <c r="C293" s="300">
        <f>VPI!Q294</f>
        <v>71</v>
      </c>
      <c r="D293" s="305">
        <f>Données!Z294</f>
        <v>875</v>
      </c>
      <c r="E293" s="137">
        <f>VPI!R294</f>
        <v>27254.567042253519</v>
      </c>
      <c r="F293" s="234">
        <f>'Péréquation directe'!K300</f>
        <v>88849.109105176933</v>
      </c>
      <c r="G293" s="244">
        <f>PCS!I300</f>
        <v>373596.48804135987</v>
      </c>
      <c r="H293" s="260">
        <f>Police!L294</f>
        <v>30702.406257706163</v>
      </c>
      <c r="I293" s="343">
        <f t="shared" si="4"/>
        <v>493148.00340424298</v>
      </c>
      <c r="J293" s="138"/>
    </row>
    <row r="294" spans="1:10" s="86" customFormat="1" x14ac:dyDescent="0.25">
      <c r="A294" s="298">
        <f>Données!A295</f>
        <v>5928</v>
      </c>
      <c r="B294" s="302" t="str">
        <f>Données!B295</f>
        <v>Rovray</v>
      </c>
      <c r="C294" s="300">
        <f>VPI!Q295</f>
        <v>73</v>
      </c>
      <c r="D294" s="305">
        <f>Données!Z295</f>
        <v>199</v>
      </c>
      <c r="E294" s="137">
        <f>VPI!R295</f>
        <v>5477.1420547945208</v>
      </c>
      <c r="F294" s="234">
        <f>'Péréquation directe'!K301</f>
        <v>-13264.126251817492</v>
      </c>
      <c r="G294" s="244">
        <f>PCS!I301</f>
        <v>74188.664537458215</v>
      </c>
      <c r="H294" s="260">
        <f>Police!L295</f>
        <v>16362.895624227451</v>
      </c>
      <c r="I294" s="343">
        <f t="shared" si="4"/>
        <v>77287.433909868181</v>
      </c>
      <c r="J294" s="138"/>
    </row>
    <row r="295" spans="1:10" s="86" customFormat="1" x14ac:dyDescent="0.25">
      <c r="A295" s="298">
        <f>Données!A296</f>
        <v>5929</v>
      </c>
      <c r="B295" s="302" t="str">
        <f>Données!B296</f>
        <v>Suchy</v>
      </c>
      <c r="C295" s="300">
        <f>VPI!Q296</f>
        <v>70</v>
      </c>
      <c r="D295" s="305">
        <f>Données!Z296</f>
        <v>665</v>
      </c>
      <c r="E295" s="137">
        <f>VPI!R296</f>
        <v>22233.767642857143</v>
      </c>
      <c r="F295" s="234">
        <f>'Péréquation directe'!K302</f>
        <v>133488.53122182965</v>
      </c>
      <c r="G295" s="244">
        <f>PCS!I302</f>
        <v>363160.636401886</v>
      </c>
      <c r="H295" s="260">
        <f>Police!L296</f>
        <v>25046.450591276731</v>
      </c>
      <c r="I295" s="343">
        <f t="shared" si="4"/>
        <v>521695.6182149924</v>
      </c>
      <c r="J295" s="138"/>
    </row>
    <row r="296" spans="1:10" s="86" customFormat="1" x14ac:dyDescent="0.25">
      <c r="A296" s="298">
        <f>Données!A297</f>
        <v>5930</v>
      </c>
      <c r="B296" s="302" t="str">
        <f>Données!B297</f>
        <v>Suscévaz</v>
      </c>
      <c r="C296" s="300">
        <f>VPI!Q297</f>
        <v>72</v>
      </c>
      <c r="D296" s="305">
        <f>Données!Z297</f>
        <v>217</v>
      </c>
      <c r="E296" s="137">
        <f>VPI!R297</f>
        <v>6011.7318055555552</v>
      </c>
      <c r="F296" s="234">
        <f>'Péréquation directe'!K303</f>
        <v>-10139.901898064913</v>
      </c>
      <c r="G296" s="244">
        <f>PCS!I303</f>
        <v>106757.43133269993</v>
      </c>
      <c r="H296" s="260">
        <f>Police!L297</f>
        <v>6772.2459843294828</v>
      </c>
      <c r="I296" s="343">
        <f t="shared" si="4"/>
        <v>103389.77541896449</v>
      </c>
      <c r="J296" s="138"/>
    </row>
    <row r="297" spans="1:10" s="86" customFormat="1" x14ac:dyDescent="0.25">
      <c r="A297" s="298">
        <f>Données!A298</f>
        <v>5931</v>
      </c>
      <c r="B297" s="302" t="str">
        <f>Données!B298</f>
        <v>Treycovagnes</v>
      </c>
      <c r="C297" s="300">
        <f>VPI!Q298</f>
        <v>73</v>
      </c>
      <c r="D297" s="305">
        <f>Données!Z298</f>
        <v>522</v>
      </c>
      <c r="E297" s="137">
        <f>VPI!R298</f>
        <v>16173.396575342462</v>
      </c>
      <c r="F297" s="234">
        <f>'Péréquation directe'!K304</f>
        <v>38523.218815061264</v>
      </c>
      <c r="G297" s="244">
        <f>PCS!I304</f>
        <v>258456.76439791557</v>
      </c>
      <c r="H297" s="260">
        <f>Police!L298</f>
        <v>18219.412234776049</v>
      </c>
      <c r="I297" s="343">
        <f t="shared" si="4"/>
        <v>315199.3954477529</v>
      </c>
      <c r="J297" s="138"/>
    </row>
    <row r="298" spans="1:10" s="86" customFormat="1" x14ac:dyDescent="0.25">
      <c r="A298" s="298">
        <f>Données!A299</f>
        <v>5932</v>
      </c>
      <c r="B298" s="302" t="str">
        <f>Données!B299</f>
        <v>Ursins</v>
      </c>
      <c r="C298" s="300">
        <f>VPI!Q299</f>
        <v>75</v>
      </c>
      <c r="D298" s="305">
        <f>Données!Z299</f>
        <v>234</v>
      </c>
      <c r="E298" s="137">
        <f>VPI!R299</f>
        <v>8679.1289333333334</v>
      </c>
      <c r="F298" s="234">
        <f>'Péréquation directe'!K305</f>
        <v>71851.427484871092</v>
      </c>
      <c r="G298" s="244">
        <f>PCS!I305</f>
        <v>116210.19633794739</v>
      </c>
      <c r="H298" s="260">
        <f>Police!L299</f>
        <v>26178.430739816227</v>
      </c>
      <c r="I298" s="343">
        <f t="shared" si="4"/>
        <v>214240.0545626347</v>
      </c>
      <c r="J298" s="138"/>
    </row>
    <row r="299" spans="1:10" s="86" customFormat="1" x14ac:dyDescent="0.25">
      <c r="A299" s="298">
        <f>Données!A300</f>
        <v>5933</v>
      </c>
      <c r="B299" s="302" t="str">
        <f>Données!B300</f>
        <v>Valeyres-sous-Montagny</v>
      </c>
      <c r="C299" s="300">
        <f>VPI!Q300</f>
        <v>70.5</v>
      </c>
      <c r="D299" s="305">
        <f>Données!Z300</f>
        <v>703</v>
      </c>
      <c r="E299" s="137">
        <f>VPI!R300</f>
        <v>22762.97602836879</v>
      </c>
      <c r="F299" s="234">
        <f>'Péréquation directe'!K306</f>
        <v>108927.7821595507</v>
      </c>
      <c r="G299" s="244">
        <f>PCS!I306</f>
        <v>337237.53686643403</v>
      </c>
      <c r="H299" s="260">
        <f>Police!L300</f>
        <v>67479.108899057072</v>
      </c>
      <c r="I299" s="343">
        <f t="shared" si="4"/>
        <v>513644.42792504182</v>
      </c>
      <c r="J299" s="138"/>
    </row>
    <row r="300" spans="1:10" s="86" customFormat="1" x14ac:dyDescent="0.25">
      <c r="A300" s="298">
        <f>Données!A301</f>
        <v>5934</v>
      </c>
      <c r="B300" s="302" t="str">
        <f>Données!B301</f>
        <v>Valeyres-sous-Ursins</v>
      </c>
      <c r="C300" s="300">
        <f>VPI!Q301</f>
        <v>77</v>
      </c>
      <c r="D300" s="305">
        <f>Données!Z301</f>
        <v>237</v>
      </c>
      <c r="E300" s="137">
        <f>VPI!R301</f>
        <v>7483.0151948051935</v>
      </c>
      <c r="F300" s="234">
        <f>'Péréquation directe'!K307</f>
        <v>13012.008021558257</v>
      </c>
      <c r="G300" s="244">
        <f>PCS!I307</f>
        <v>106668.80406950426</v>
      </c>
      <c r="H300" s="260">
        <f>Police!L301</f>
        <v>22545.224739518904</v>
      </c>
      <c r="I300" s="343">
        <f t="shared" si="4"/>
        <v>142226.03683058143</v>
      </c>
      <c r="J300" s="138"/>
    </row>
    <row r="301" spans="1:10" s="86" customFormat="1" x14ac:dyDescent="0.25">
      <c r="A301" s="298">
        <f>Données!A302</f>
        <v>5935</v>
      </c>
      <c r="B301" s="302" t="str">
        <f>Données!B302</f>
        <v>Villars-Epeney</v>
      </c>
      <c r="C301" s="300">
        <f>VPI!Q302</f>
        <v>68</v>
      </c>
      <c r="D301" s="305">
        <f>Données!Z302</f>
        <v>101</v>
      </c>
      <c r="E301" s="137">
        <f>VPI!R302</f>
        <v>4091.4220588235289</v>
      </c>
      <c r="F301" s="234">
        <f>'Péréquation directe'!K308</f>
        <v>49051.314266428875</v>
      </c>
      <c r="G301" s="244">
        <f>PCS!I308</f>
        <v>68610.582855425542</v>
      </c>
      <c r="H301" s="260">
        <f>Police!L302</f>
        <v>12143.5280264013</v>
      </c>
      <c r="I301" s="343">
        <f t="shared" si="4"/>
        <v>129805.42514825572</v>
      </c>
      <c r="J301" s="138"/>
    </row>
    <row r="302" spans="1:10" s="86" customFormat="1" x14ac:dyDescent="0.25">
      <c r="A302" s="298">
        <f>Données!A303</f>
        <v>5937</v>
      </c>
      <c r="B302" s="302" t="str">
        <f>Données!B303</f>
        <v>Vugelles-La Mothe</v>
      </c>
      <c r="C302" s="300">
        <f>VPI!Q303</f>
        <v>70</v>
      </c>
      <c r="D302" s="305">
        <f>Données!Z303</f>
        <v>151</v>
      </c>
      <c r="E302" s="137">
        <f>VPI!R303</f>
        <v>3794.0157959183671</v>
      </c>
      <c r="F302" s="234">
        <f>'Péréquation directe'!K309</f>
        <v>-18463.27805542601</v>
      </c>
      <c r="G302" s="244">
        <f>PCS!I309</f>
        <v>49357.596207970462</v>
      </c>
      <c r="H302" s="260">
        <f>Police!L303</f>
        <v>11324.252650803988</v>
      </c>
      <c r="I302" s="343">
        <f t="shared" si="4"/>
        <v>42218.570803348441</v>
      </c>
      <c r="J302" s="138"/>
    </row>
    <row r="303" spans="1:10" s="86" customFormat="1" x14ac:dyDescent="0.25">
      <c r="A303" s="298">
        <f>Données!A304</f>
        <v>5938</v>
      </c>
      <c r="B303" s="302" t="str">
        <f>Données!B304</f>
        <v>Yverdon-les-Bains</v>
      </c>
      <c r="C303" s="300">
        <f>VPI!Q304</f>
        <v>75</v>
      </c>
      <c r="D303" s="305">
        <f>Données!Z304</f>
        <v>30221</v>
      </c>
      <c r="E303" s="137">
        <f>VPI!R304</f>
        <v>793682.36159999971</v>
      </c>
      <c r="F303" s="234">
        <f>'Péréquation directe'!K310</f>
        <v>-20728145.176302891</v>
      </c>
      <c r="G303" s="244">
        <f>PCS!I310</f>
        <v>14378686.283502899</v>
      </c>
      <c r="H303" s="260">
        <f>Police!L304</f>
        <v>894087.15492124704</v>
      </c>
      <c r="I303" s="343">
        <f t="shared" si="4"/>
        <v>-5455371.7378787454</v>
      </c>
      <c r="J303" s="138"/>
    </row>
    <row r="304" spans="1:10" s="86" customFormat="1" x14ac:dyDescent="0.25">
      <c r="A304" s="299">
        <f>Données!A305</f>
        <v>5939</v>
      </c>
      <c r="B304" s="303" t="str">
        <f>Données!B305</f>
        <v>Yvonand</v>
      </c>
      <c r="C304" s="300">
        <f>VPI!Q305</f>
        <v>71.5</v>
      </c>
      <c r="D304" s="306">
        <f>Données!Z305</f>
        <v>3536</v>
      </c>
      <c r="E304" s="137">
        <f>VPI!R305</f>
        <v>96283.364335664344</v>
      </c>
      <c r="F304" s="250">
        <f>'Péréquation directe'!K311</f>
        <v>-892910.53004809306</v>
      </c>
      <c r="G304" s="384">
        <f>PCS!I311</f>
        <v>1387861.4533622975</v>
      </c>
      <c r="H304" s="261">
        <f>Police!L305</f>
        <v>282658.87670446944</v>
      </c>
      <c r="I304" s="362">
        <f t="shared" si="4"/>
        <v>777609.80001867388</v>
      </c>
      <c r="J304" s="138"/>
    </row>
    <row r="305" spans="1:10" x14ac:dyDescent="0.25">
      <c r="A305" s="147"/>
      <c r="B305" s="301">
        <f>COUNTA(B5:B304)</f>
        <v>300</v>
      </c>
      <c r="C305" s="310">
        <f>VPI!Q306</f>
        <v>67.601275090404883</v>
      </c>
      <c r="D305" s="311">
        <f>SUM(D5:D304)</f>
        <v>846303</v>
      </c>
      <c r="E305" s="311">
        <f>SUM(E5:E304)</f>
        <v>41857577.09593945</v>
      </c>
      <c r="F305" s="357">
        <f>ROUND(SUM(F5:F304),5)</f>
        <v>188807475.08684999</v>
      </c>
      <c r="G305" s="358">
        <f>ROUND(SUM(G5:G304),5)</f>
        <v>792931907</v>
      </c>
      <c r="H305" s="359">
        <f>ROUND(SUM(H5:H304),5)</f>
        <v>72090823</v>
      </c>
      <c r="I305" s="360">
        <f>SUM(I5:I304)</f>
        <v>1053830205.086846</v>
      </c>
    </row>
    <row r="306" spans="1:10" x14ac:dyDescent="0.25">
      <c r="D306" s="11"/>
      <c r="E306" s="11"/>
      <c r="G306" s="5"/>
      <c r="H306" s="5"/>
      <c r="I306" s="5"/>
      <c r="J306" s="5"/>
    </row>
    <row r="307" spans="1:10" x14ac:dyDescent="0.25">
      <c r="G307" s="5"/>
      <c r="H307" s="5"/>
      <c r="I307" s="5"/>
      <c r="J307" s="5"/>
    </row>
  </sheetData>
  <sheetProtection sheet="1" objects="1" scenarios="1"/>
  <phoneticPr fontId="0" type="noConversion"/>
  <conditionalFormatting sqref="F305">
    <cfRule type="cellIs" dxfId="2" priority="1" operator="equal">
      <formula>450000</formula>
    </cfRule>
  </conditionalFormatting>
  <hyperlinks>
    <hyperlink ref="D1" location="'Table des matières'!A1" display="Table des matières" xr:uid="{090680B4-EB0E-4E15-8AAA-D0F34968B211}"/>
    <hyperlink ref="C1" location="'Facture policière'!A1" display="← Précédent" xr:uid="{64470B6D-289A-4292-A2C1-B49B6B7BEF3C}"/>
    <hyperlink ref="E1" location="'Décompte vs acomptes'!A1" display="Suivant →" xr:uid="{272CB11A-40D6-45B0-BD95-5E8B832019FD}"/>
  </hyperlinks>
  <printOptions horizontalCentered="1" verticalCentered="1"/>
  <pageMargins left="0.19685039370078741" right="0.19685039370078741" top="0" bottom="0" header="0.51181102362204722" footer="0.51181102362204722"/>
  <pageSetup paperSize="9" fitToHeight="7" orientation="landscape" horizontalDpi="1200" verticalDpi="1200" r:id="rId1"/>
  <headerFooter alignWithMargins="0">
    <oddFooter>&amp;LSCL - Division finances communales&amp;C- &amp;P -</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5" operator="equal" id="{B3933958-71B3-4AD2-B33A-F05BD16E4DE8}">
            <xm:f>Paramètres!$B$56</xm:f>
            <x14:dxf>
              <fill>
                <patternFill>
                  <bgColor rgb="FF00B050"/>
                </patternFill>
              </fill>
            </x14:dxf>
          </x14:cfRule>
          <xm:sqref>H305</xm:sqref>
        </x14:conditionalFormatting>
        <x14:conditionalFormatting xmlns:xm="http://schemas.microsoft.com/office/excel/2006/main">
          <x14:cfRule type="cellIs" priority="7" operator="equal" id="{F8010477-7BD4-48D1-BB1D-325051C343E7}">
            <xm:f>Paramètres!$B$11</xm:f>
            <x14:dxf>
              <fill>
                <patternFill>
                  <bgColor rgb="FF00B050"/>
                </patternFill>
              </fill>
            </x14:dxf>
          </x14:cfRule>
          <xm:sqref>G305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10C10-50F0-45D0-BA57-CF12150E4EF1}">
  <sheetPr>
    <tabColor theme="3" tint="0.59999389629810485"/>
  </sheetPr>
  <dimension ref="A1:W310"/>
  <sheetViews>
    <sheetView workbookViewId="0">
      <pane ySplit="5" topLeftCell="A93" activePane="bottomLeft" state="frozen"/>
      <selection pane="bottomLeft" activeCell="C116" sqref="C116"/>
    </sheetView>
  </sheetViews>
  <sheetFormatPr baseColWidth="10" defaultColWidth="11" defaultRowHeight="12.75" x14ac:dyDescent="0.2"/>
  <cols>
    <col min="1" max="1" width="11" style="194"/>
    <col min="2" max="2" width="26.375" style="194" customWidth="1"/>
    <col min="3" max="3" width="12.25" style="194" customWidth="1"/>
    <col min="4" max="5" width="12.25" style="193" customWidth="1"/>
    <col min="6" max="6" width="12.25" style="194" customWidth="1"/>
    <col min="7" max="8" width="12.25" style="193" customWidth="1"/>
    <col min="9" max="9" width="12.25" style="194" customWidth="1"/>
    <col min="10" max="11" width="12.25" style="193" customWidth="1"/>
    <col min="12" max="12" width="15" style="193" bestFit="1" customWidth="1"/>
    <col min="13" max="13" width="11.125" style="193" bestFit="1" customWidth="1"/>
    <col min="14" max="14" width="15" style="193" bestFit="1" customWidth="1"/>
    <col min="15" max="15" width="11.125" style="193" bestFit="1" customWidth="1"/>
    <col min="16" max="16" width="14" style="193" bestFit="1" customWidth="1"/>
    <col min="17" max="17" width="11.125" style="193" bestFit="1" customWidth="1"/>
    <col min="18" max="18" width="14" style="193" bestFit="1" customWidth="1"/>
    <col min="19" max="19" width="11.125" style="193" bestFit="1" customWidth="1"/>
    <col min="20" max="20" width="13" style="193" bestFit="1" customWidth="1"/>
    <col min="21" max="21" width="11.125" style="193" bestFit="1" customWidth="1"/>
    <col min="22" max="22" width="13" style="193" bestFit="1" customWidth="1"/>
    <col min="23" max="23" width="11.125" style="193" bestFit="1" customWidth="1"/>
    <col min="24" max="16384" width="11" style="194"/>
  </cols>
  <sheetData>
    <row r="1" spans="1:11" s="193" customFormat="1" ht="27" customHeight="1" x14ac:dyDescent="0.2">
      <c r="A1" s="220" t="s">
        <v>401</v>
      </c>
      <c r="B1" s="221"/>
      <c r="C1" s="308" t="s">
        <v>402</v>
      </c>
      <c r="D1" s="625" t="s">
        <v>394</v>
      </c>
      <c r="E1" s="622"/>
      <c r="F1" s="34"/>
      <c r="G1" s="34"/>
      <c r="H1" s="34"/>
      <c r="I1" s="34"/>
      <c r="J1" s="34"/>
      <c r="K1" s="34"/>
    </row>
    <row r="2" spans="1:11" s="193" customFormat="1" ht="21" x14ac:dyDescent="0.2">
      <c r="A2" s="273"/>
      <c r="B2" s="33"/>
      <c r="C2" s="188"/>
      <c r="D2" s="188"/>
      <c r="E2" s="188"/>
      <c r="F2" s="34"/>
      <c r="G2" s="34"/>
      <c r="H2" s="34"/>
      <c r="I2" s="34"/>
      <c r="J2" s="34"/>
      <c r="K2" s="34"/>
    </row>
    <row r="3" spans="1:11" s="193" customFormat="1" ht="15" x14ac:dyDescent="0.2">
      <c r="A3"/>
      <c r="B3" s="34"/>
      <c r="C3" s="34"/>
      <c r="D3" s="34"/>
      <c r="E3" s="34"/>
      <c r="F3" s="34"/>
      <c r="G3" s="34"/>
      <c r="H3" s="34"/>
      <c r="I3" s="34"/>
      <c r="J3" s="34"/>
      <c r="K3" s="34"/>
    </row>
    <row r="4" spans="1:11" s="193" customFormat="1" ht="31.5" customHeight="1" x14ac:dyDescent="0.2">
      <c r="A4" s="724" t="s">
        <v>44</v>
      </c>
      <c r="B4" s="787" t="s">
        <v>388</v>
      </c>
      <c r="C4" s="789" t="s">
        <v>391</v>
      </c>
      <c r="D4" s="790"/>
      <c r="E4" s="791"/>
      <c r="F4" s="792" t="s">
        <v>389</v>
      </c>
      <c r="G4" s="792"/>
      <c r="H4" s="793"/>
      <c r="I4" s="785" t="s">
        <v>406</v>
      </c>
      <c r="J4" s="785"/>
      <c r="K4" s="786"/>
    </row>
    <row r="5" spans="1:11" s="193" customFormat="1" ht="30" x14ac:dyDescent="0.2">
      <c r="A5" s="725"/>
      <c r="B5" s="788"/>
      <c r="C5" s="236" t="s">
        <v>555</v>
      </c>
      <c r="D5" s="236" t="s">
        <v>556</v>
      </c>
      <c r="E5" s="236" t="s">
        <v>557</v>
      </c>
      <c r="F5" s="363" t="s">
        <v>558</v>
      </c>
      <c r="G5" s="363" t="s">
        <v>559</v>
      </c>
      <c r="H5" s="363" t="s">
        <v>560</v>
      </c>
      <c r="I5" s="364" t="s">
        <v>561</v>
      </c>
      <c r="J5" s="364" t="s">
        <v>562</v>
      </c>
      <c r="K5" s="364" t="s">
        <v>563</v>
      </c>
    </row>
    <row r="6" spans="1:11" s="193" customFormat="1" ht="15" x14ac:dyDescent="0.25">
      <c r="A6" s="85">
        <f>Données!A6</f>
        <v>5401</v>
      </c>
      <c r="B6" s="302" t="str">
        <f>Données!B6</f>
        <v>Aigle</v>
      </c>
      <c r="C6" s="190">
        <v>5028234.2576078577</v>
      </c>
      <c r="D6" s="626">
        <f>+Synthèse!G5</f>
        <v>4618453.5293844659</v>
      </c>
      <c r="E6" s="623">
        <f>+D6-C6</f>
        <v>-409780.72822339181</v>
      </c>
      <c r="F6" s="189">
        <v>-8731114.6376851052</v>
      </c>
      <c r="G6" s="627">
        <f>+Synthèse!F5</f>
        <v>-5661386.73043992</v>
      </c>
      <c r="H6" s="627">
        <f>+G6-F6</f>
        <v>3069727.9072451852</v>
      </c>
      <c r="I6" s="190">
        <v>344281.6717704832</v>
      </c>
      <c r="J6" s="629">
        <f>+Synthèse!H5</f>
        <v>331057.1214560715</v>
      </c>
      <c r="K6" s="629">
        <f>+J6-I6</f>
        <v>-13224.550314411696</v>
      </c>
    </row>
    <row r="7" spans="1:11" s="193" customFormat="1" ht="15" x14ac:dyDescent="0.25">
      <c r="A7" s="85">
        <f>Données!A7</f>
        <v>5402</v>
      </c>
      <c r="B7" s="302" t="str">
        <f>Données!B7</f>
        <v>Bex</v>
      </c>
      <c r="C7" s="190">
        <v>3347457.2045781128</v>
      </c>
      <c r="D7" s="626">
        <f>+Synthèse!G6</f>
        <v>3371538.885705451</v>
      </c>
      <c r="E7" s="623">
        <f t="shared" ref="E7:E70" si="0">+D7-C7</f>
        <v>24081.681127338205</v>
      </c>
      <c r="F7" s="189">
        <v>-6192714.0080501335</v>
      </c>
      <c r="G7" s="627">
        <f>+Synthèse!F6</f>
        <v>-4601228.046737032</v>
      </c>
      <c r="H7" s="627">
        <f t="shared" ref="H7:H70" si="1">+G7-F7</f>
        <v>1591485.9613131015</v>
      </c>
      <c r="I7" s="190">
        <v>236125.66136803883</v>
      </c>
      <c r="J7" s="629">
        <f>+Synthèse!H6</f>
        <v>228340.46469849144</v>
      </c>
      <c r="K7" s="629">
        <f t="shared" ref="K7:K70" si="2">+J7-I7</f>
        <v>-7785.196669547382</v>
      </c>
    </row>
    <row r="8" spans="1:11" s="193" customFormat="1" ht="15" x14ac:dyDescent="0.25">
      <c r="A8" s="85">
        <f>Données!A8</f>
        <v>5403</v>
      </c>
      <c r="B8" s="302" t="str">
        <f>Données!B8</f>
        <v>Chessel</v>
      </c>
      <c r="C8" s="190">
        <v>193999.06245750794</v>
      </c>
      <c r="D8" s="626">
        <f>+Synthèse!G7</f>
        <v>172362.88671721637</v>
      </c>
      <c r="E8" s="623">
        <f t="shared" si="0"/>
        <v>-21636.175740291568</v>
      </c>
      <c r="F8" s="189">
        <v>-106143.52249533369</v>
      </c>
      <c r="G8" s="627">
        <f>+Synthèse!F7</f>
        <v>-24335.770168670191</v>
      </c>
      <c r="H8" s="627">
        <f t="shared" si="1"/>
        <v>81807.752326663496</v>
      </c>
      <c r="I8" s="190">
        <v>36364.478504724946</v>
      </c>
      <c r="J8" s="629">
        <f>+Synthèse!H7</f>
        <v>38150.845572625942</v>
      </c>
      <c r="K8" s="629">
        <f t="shared" si="2"/>
        <v>1786.3670679009956</v>
      </c>
    </row>
    <row r="9" spans="1:11" s="193" customFormat="1" ht="15" x14ac:dyDescent="0.25">
      <c r="A9" s="85">
        <f>Données!A9</f>
        <v>5404</v>
      </c>
      <c r="B9" s="302" t="str">
        <f>Données!B9</f>
        <v>Corbeyrier</v>
      </c>
      <c r="C9" s="190">
        <v>201787.41445274247</v>
      </c>
      <c r="D9" s="626">
        <f>+Synthèse!G8</f>
        <v>199440.96794348132</v>
      </c>
      <c r="E9" s="623">
        <f t="shared" si="0"/>
        <v>-2346.4465092611499</v>
      </c>
      <c r="F9" s="189">
        <v>-211399.67330533062</v>
      </c>
      <c r="G9" s="627">
        <f>+Synthèse!F8</f>
        <v>-123955.21370513624</v>
      </c>
      <c r="H9" s="627">
        <f t="shared" si="1"/>
        <v>87444.459600194386</v>
      </c>
      <c r="I9" s="190">
        <v>34909.901620800141</v>
      </c>
      <c r="J9" s="629">
        <f>+Synthèse!H8</f>
        <v>30753.055624768549</v>
      </c>
      <c r="K9" s="629">
        <f t="shared" si="2"/>
        <v>-4156.8459960315922</v>
      </c>
    </row>
    <row r="10" spans="1:11" s="193" customFormat="1" ht="15" x14ac:dyDescent="0.25">
      <c r="A10" s="85">
        <f>Données!A10</f>
        <v>5405</v>
      </c>
      <c r="B10" s="302" t="str">
        <f>Données!B10</f>
        <v>Gryon</v>
      </c>
      <c r="C10" s="190">
        <v>1894061.9758343264</v>
      </c>
      <c r="D10" s="626">
        <f>+Synthèse!G9</f>
        <v>1572524.0334134321</v>
      </c>
      <c r="E10" s="623">
        <f t="shared" si="0"/>
        <v>-321537.94242089428</v>
      </c>
      <c r="F10" s="189">
        <v>355187.98527093977</v>
      </c>
      <c r="G10" s="627">
        <f>+Synthèse!F9</f>
        <v>1206990.4483190747</v>
      </c>
      <c r="H10" s="627">
        <f t="shared" si="1"/>
        <v>851802.46304813493</v>
      </c>
      <c r="I10" s="190">
        <v>217980.14856876939</v>
      </c>
      <c r="J10" s="629">
        <f>+Synthèse!H9</f>
        <v>224404.23220140781</v>
      </c>
      <c r="K10" s="629">
        <f t="shared" si="2"/>
        <v>6424.083632638416</v>
      </c>
    </row>
    <row r="11" spans="1:11" s="193" customFormat="1" ht="15" x14ac:dyDescent="0.25">
      <c r="A11" s="85">
        <f>Données!A11</f>
        <v>5406</v>
      </c>
      <c r="B11" s="302" t="str">
        <f>Données!B11</f>
        <v>Lavey-Morcles</v>
      </c>
      <c r="C11" s="190">
        <v>323713.23661060433</v>
      </c>
      <c r="D11" s="626">
        <f>+Synthèse!G10</f>
        <v>433947.40215561737</v>
      </c>
      <c r="E11" s="623">
        <f t="shared" si="0"/>
        <v>110234.16554501303</v>
      </c>
      <c r="F11" s="189">
        <v>-378405.45480828651</v>
      </c>
      <c r="G11" s="627">
        <f>+Synthèse!F10</f>
        <v>-211001.83733217715</v>
      </c>
      <c r="H11" s="627">
        <f t="shared" si="1"/>
        <v>167403.61747610936</v>
      </c>
      <c r="I11" s="190">
        <v>64714.995473519004</v>
      </c>
      <c r="J11" s="629">
        <f>+Synthèse!H10</f>
        <v>70746.534763207426</v>
      </c>
      <c r="K11" s="629">
        <f t="shared" si="2"/>
        <v>6031.5392896884223</v>
      </c>
    </row>
    <row r="12" spans="1:11" s="193" customFormat="1" ht="15" x14ac:dyDescent="0.25">
      <c r="A12" s="85">
        <f>Données!A12</f>
        <v>5407</v>
      </c>
      <c r="B12" s="302" t="str">
        <f>Données!B12</f>
        <v>Leysin</v>
      </c>
      <c r="C12" s="190">
        <v>1728160.5658100494</v>
      </c>
      <c r="D12" s="626">
        <f>+Synthèse!G11</f>
        <v>1728909.4988186792</v>
      </c>
      <c r="E12" s="623">
        <f t="shared" si="0"/>
        <v>748.93300862982869</v>
      </c>
      <c r="F12" s="189">
        <v>-3512447.724872041</v>
      </c>
      <c r="G12" s="627">
        <f>+Synthèse!F11</f>
        <v>-1474052.1885804352</v>
      </c>
      <c r="H12" s="627">
        <f t="shared" si="1"/>
        <v>2038395.5362916058</v>
      </c>
      <c r="I12" s="190">
        <v>269269.76239773078</v>
      </c>
      <c r="J12" s="629">
        <f>+Synthèse!H11</f>
        <v>282322.88026901288</v>
      </c>
      <c r="K12" s="629">
        <f t="shared" si="2"/>
        <v>13053.117871282098</v>
      </c>
    </row>
    <row r="13" spans="1:11" s="193" customFormat="1" ht="15" x14ac:dyDescent="0.25">
      <c r="A13" s="85">
        <f>Données!A13</f>
        <v>5408</v>
      </c>
      <c r="B13" s="302" t="str">
        <f>Données!B13</f>
        <v>Noville</v>
      </c>
      <c r="C13" s="190">
        <v>789661.9396226235</v>
      </c>
      <c r="D13" s="626">
        <f>+Synthèse!G12</f>
        <v>737852.44176176516</v>
      </c>
      <c r="E13" s="623">
        <f t="shared" si="0"/>
        <v>-51809.497860858333</v>
      </c>
      <c r="F13" s="189">
        <v>-48253.216376143508</v>
      </c>
      <c r="G13" s="627">
        <f>+Synthèse!F12</f>
        <v>169883.24031548947</v>
      </c>
      <c r="H13" s="627">
        <f t="shared" si="1"/>
        <v>218136.45669163298</v>
      </c>
      <c r="I13" s="190">
        <v>124016.255234524</v>
      </c>
      <c r="J13" s="629">
        <f>+Synthèse!H12</f>
        <v>115359.11909772814</v>
      </c>
      <c r="K13" s="629">
        <f t="shared" si="2"/>
        <v>-8657.1361367958598</v>
      </c>
    </row>
    <row r="14" spans="1:11" s="193" customFormat="1" ht="15" x14ac:dyDescent="0.25">
      <c r="A14" s="85">
        <f>Données!A14</f>
        <v>5409</v>
      </c>
      <c r="B14" s="302" t="str">
        <f>Données!B14</f>
        <v>Ollon</v>
      </c>
      <c r="C14" s="190">
        <v>8041418.1485210974</v>
      </c>
      <c r="D14" s="626">
        <f>+Synthèse!G13</f>
        <v>7602353.2236545682</v>
      </c>
      <c r="E14" s="623">
        <f t="shared" si="0"/>
        <v>-439064.92486652918</v>
      </c>
      <c r="F14" s="189">
        <v>1019251.8305010889</v>
      </c>
      <c r="G14" s="627">
        <f>+Synthèse!F13</f>
        <v>4252389.7743699504</v>
      </c>
      <c r="H14" s="627">
        <f t="shared" si="1"/>
        <v>3233137.9438688615</v>
      </c>
      <c r="I14" s="190">
        <v>524816.47226297343</v>
      </c>
      <c r="J14" s="629">
        <f>+Synthèse!H13</f>
        <v>475078.62168457749</v>
      </c>
      <c r="K14" s="629">
        <f t="shared" si="2"/>
        <v>-49737.850578395941</v>
      </c>
    </row>
    <row r="15" spans="1:11" s="193" customFormat="1" ht="15" x14ac:dyDescent="0.25">
      <c r="A15" s="85">
        <f>Données!A15</f>
        <v>5410</v>
      </c>
      <c r="B15" s="302" t="str">
        <f>Données!B15</f>
        <v>Ormont-Dessous</v>
      </c>
      <c r="C15" s="190">
        <v>819348.11467815354</v>
      </c>
      <c r="D15" s="626">
        <f>+Synthèse!G14</f>
        <v>658602.56555048469</v>
      </c>
      <c r="E15" s="623">
        <f t="shared" si="0"/>
        <v>-160745.54912766884</v>
      </c>
      <c r="F15" s="189">
        <v>-1149625.1131115414</v>
      </c>
      <c r="G15" s="627">
        <f>+Synthèse!F14</f>
        <v>-46925.307538899593</v>
      </c>
      <c r="H15" s="627">
        <f t="shared" si="1"/>
        <v>1102699.8055726418</v>
      </c>
      <c r="I15" s="190">
        <v>114023.29302869763</v>
      </c>
      <c r="J15" s="629">
        <f>+Synthèse!H14</f>
        <v>104132.85250878226</v>
      </c>
      <c r="K15" s="629">
        <f t="shared" si="2"/>
        <v>-9890.4405199153698</v>
      </c>
    </row>
    <row r="16" spans="1:11" s="193" customFormat="1" ht="15" x14ac:dyDescent="0.25">
      <c r="A16" s="85">
        <f>Données!A16</f>
        <v>5411</v>
      </c>
      <c r="B16" s="302" t="str">
        <f>Données!B16</f>
        <v>Ormont-Dessus</v>
      </c>
      <c r="C16" s="190">
        <v>1617624.1456319755</v>
      </c>
      <c r="D16" s="626">
        <f>+Synthèse!G15</f>
        <v>1572063.9166389548</v>
      </c>
      <c r="E16" s="623">
        <f t="shared" si="0"/>
        <v>-45560.228993020719</v>
      </c>
      <c r="F16" s="189">
        <v>243331.7333666326</v>
      </c>
      <c r="G16" s="627">
        <f>+Synthèse!F15</f>
        <v>1241106.2874809622</v>
      </c>
      <c r="H16" s="627">
        <f t="shared" si="1"/>
        <v>997774.55411432963</v>
      </c>
      <c r="I16" s="190">
        <v>223226.17434643829</v>
      </c>
      <c r="J16" s="629">
        <f>+Synthèse!H15</f>
        <v>219404.25560443639</v>
      </c>
      <c r="K16" s="629">
        <f t="shared" si="2"/>
        <v>-3821.9187420019007</v>
      </c>
    </row>
    <row r="17" spans="1:11" s="193" customFormat="1" ht="15" x14ac:dyDescent="0.25">
      <c r="A17" s="85">
        <f>Données!A17</f>
        <v>5412</v>
      </c>
      <c r="B17" s="302" t="str">
        <f>Données!B17</f>
        <v>Rennaz</v>
      </c>
      <c r="C17" s="190">
        <v>709741.27914337663</v>
      </c>
      <c r="D17" s="626">
        <f>+Synthèse!G16</f>
        <v>713376.64277638425</v>
      </c>
      <c r="E17" s="623">
        <f t="shared" si="0"/>
        <v>3635.363633007626</v>
      </c>
      <c r="F17" s="189">
        <v>94670.106576312392</v>
      </c>
      <c r="G17" s="627">
        <f>+Synthèse!F16</f>
        <v>117810.3526527771</v>
      </c>
      <c r="H17" s="627">
        <f t="shared" si="1"/>
        <v>23140.246076464711</v>
      </c>
      <c r="I17" s="190">
        <v>81499.500051068055</v>
      </c>
      <c r="J17" s="629">
        <f>+Synthèse!H16</f>
        <v>80738.357766894202</v>
      </c>
      <c r="K17" s="629">
        <f t="shared" si="2"/>
        <v>-761.14228417385311</v>
      </c>
    </row>
    <row r="18" spans="1:11" s="193" customFormat="1" ht="15" x14ac:dyDescent="0.25">
      <c r="A18" s="85">
        <f>Données!A18</f>
        <v>5413</v>
      </c>
      <c r="B18" s="302" t="str">
        <f>Données!B18</f>
        <v>Roche</v>
      </c>
      <c r="C18" s="190">
        <v>1048963.627414576</v>
      </c>
      <c r="D18" s="626">
        <f>+Synthèse!G17</f>
        <v>724166.67263312545</v>
      </c>
      <c r="E18" s="623">
        <f t="shared" si="0"/>
        <v>-324796.95478145056</v>
      </c>
      <c r="F18" s="189">
        <v>-556314.56842436141</v>
      </c>
      <c r="G18" s="627">
        <f>+Synthèse!F17</f>
        <v>-714386.10187274253</v>
      </c>
      <c r="H18" s="627">
        <f t="shared" si="1"/>
        <v>-158071.53344838112</v>
      </c>
      <c r="I18" s="190">
        <v>129801.37343510079</v>
      </c>
      <c r="J18" s="629">
        <f>+Synthèse!H17</f>
        <v>118675.77177218866</v>
      </c>
      <c r="K18" s="629">
        <f t="shared" si="2"/>
        <v>-11125.60166291213</v>
      </c>
    </row>
    <row r="19" spans="1:11" s="193" customFormat="1" ht="15" x14ac:dyDescent="0.25">
      <c r="A19" s="85">
        <f>Données!A19</f>
        <v>5414</v>
      </c>
      <c r="B19" s="302" t="str">
        <f>Données!B19</f>
        <v>Villeneuve</v>
      </c>
      <c r="C19" s="190">
        <v>3648500.971185144</v>
      </c>
      <c r="D19" s="626">
        <f>+Synthèse!G18</f>
        <v>3391587.5547936526</v>
      </c>
      <c r="E19" s="623">
        <f t="shared" si="0"/>
        <v>-256913.41639149142</v>
      </c>
      <c r="F19" s="189">
        <v>-3004413.4338890519</v>
      </c>
      <c r="G19" s="627">
        <f>+Synthèse!F18</f>
        <v>-903036.08634742117</v>
      </c>
      <c r="H19" s="627">
        <f t="shared" si="1"/>
        <v>2101377.3475416307</v>
      </c>
      <c r="I19" s="190">
        <v>555886.84754524054</v>
      </c>
      <c r="J19" s="629">
        <f>+Synthèse!H18</f>
        <v>549687.35316761048</v>
      </c>
      <c r="K19" s="629">
        <f t="shared" si="2"/>
        <v>-6199.4943776300643</v>
      </c>
    </row>
    <row r="20" spans="1:11" s="193" customFormat="1" ht="15" x14ac:dyDescent="0.25">
      <c r="A20" s="85">
        <f>Données!A20</f>
        <v>5415</v>
      </c>
      <c r="B20" s="302" t="str">
        <f>Données!B20</f>
        <v>Yvorne</v>
      </c>
      <c r="C20" s="190">
        <v>739720.29100931354</v>
      </c>
      <c r="D20" s="626">
        <f>+Synthèse!G19</f>
        <v>578191.31809411361</v>
      </c>
      <c r="E20" s="623">
        <f t="shared" si="0"/>
        <v>-161528.97291519993</v>
      </c>
      <c r="F20" s="189">
        <v>42349.610166456434</v>
      </c>
      <c r="G20" s="627">
        <f>+Synthèse!F19</f>
        <v>171380.98102566402</v>
      </c>
      <c r="H20" s="627">
        <f t="shared" si="1"/>
        <v>129031.37085920759</v>
      </c>
      <c r="I20" s="190">
        <v>108820.98316633166</v>
      </c>
      <c r="J20" s="629">
        <f>+Synthèse!H19</f>
        <v>107745.17398371483</v>
      </c>
      <c r="K20" s="629">
        <f t="shared" si="2"/>
        <v>-1075.8091826168238</v>
      </c>
    </row>
    <row r="21" spans="1:11" s="193" customFormat="1" ht="15" x14ac:dyDescent="0.25">
      <c r="A21" s="85">
        <f>Données!A21</f>
        <v>5422</v>
      </c>
      <c r="B21" s="302" t="str">
        <f>Données!B21</f>
        <v>Aubonne</v>
      </c>
      <c r="C21" s="190">
        <v>7552928.2665608069</v>
      </c>
      <c r="D21" s="626">
        <f>+Synthèse!G20</f>
        <v>11284502.178511487</v>
      </c>
      <c r="E21" s="623">
        <f t="shared" si="0"/>
        <v>3731573.9119506804</v>
      </c>
      <c r="F21" s="189">
        <v>4664274.1239330946</v>
      </c>
      <c r="G21" s="627">
        <f>+Synthèse!F20</f>
        <v>6769935.1432558782</v>
      </c>
      <c r="H21" s="627">
        <f t="shared" si="1"/>
        <v>2105661.0193227837</v>
      </c>
      <c r="I21" s="190">
        <v>710759.50213850313</v>
      </c>
      <c r="J21" s="629">
        <f>+Synthèse!H20</f>
        <v>821676.24091281253</v>
      </c>
      <c r="K21" s="629">
        <f t="shared" si="2"/>
        <v>110916.7387743094</v>
      </c>
    </row>
    <row r="22" spans="1:11" s="193" customFormat="1" ht="15" x14ac:dyDescent="0.25">
      <c r="A22" s="85">
        <f>Données!A22</f>
        <v>5423</v>
      </c>
      <c r="B22" s="302" t="str">
        <f>Données!B22</f>
        <v>Ballens</v>
      </c>
      <c r="C22" s="190">
        <v>285663.40197876736</v>
      </c>
      <c r="D22" s="626">
        <f>+Synthèse!G21</f>
        <v>282722.45923536981</v>
      </c>
      <c r="E22" s="623">
        <f t="shared" si="0"/>
        <v>-2940.9427433975507</v>
      </c>
      <c r="F22" s="189">
        <v>-77800.20808350353</v>
      </c>
      <c r="G22" s="627">
        <f>+Synthèse!F21</f>
        <v>31806.504790176754</v>
      </c>
      <c r="H22" s="627">
        <f t="shared" si="1"/>
        <v>109606.71287368028</v>
      </c>
      <c r="I22" s="190">
        <v>49938.75020633643</v>
      </c>
      <c r="J22" s="629">
        <f>+Synthèse!H21</f>
        <v>52607.519355696961</v>
      </c>
      <c r="K22" s="629">
        <f t="shared" si="2"/>
        <v>2668.7691493605307</v>
      </c>
    </row>
    <row r="23" spans="1:11" s="193" customFormat="1" ht="15" x14ac:dyDescent="0.25">
      <c r="A23" s="85">
        <f>Données!A23</f>
        <v>5424</v>
      </c>
      <c r="B23" s="302" t="str">
        <f>Données!B23</f>
        <v>Berolle</v>
      </c>
      <c r="C23" s="190">
        <v>121189.56233189306</v>
      </c>
      <c r="D23" s="626">
        <f>+Synthèse!G22</f>
        <v>193449.09871320601</v>
      </c>
      <c r="E23" s="623">
        <f t="shared" si="0"/>
        <v>72259.536381312952</v>
      </c>
      <c r="F23" s="189">
        <v>-101573.35511658361</v>
      </c>
      <c r="G23" s="627">
        <f>+Synthèse!F22</f>
        <v>42408.559856258071</v>
      </c>
      <c r="H23" s="627">
        <f t="shared" si="1"/>
        <v>143981.91497284168</v>
      </c>
      <c r="I23" s="190">
        <v>25419.299390223317</v>
      </c>
      <c r="J23" s="629">
        <f>+Synthèse!H22</f>
        <v>30066.443156174064</v>
      </c>
      <c r="K23" s="629">
        <f t="shared" si="2"/>
        <v>4647.1437659507465</v>
      </c>
    </row>
    <row r="24" spans="1:11" s="193" customFormat="1" ht="15" x14ac:dyDescent="0.25">
      <c r="A24" s="85">
        <f>Données!A24</f>
        <v>5425</v>
      </c>
      <c r="B24" s="302" t="str">
        <f>Données!B24</f>
        <v>Bière</v>
      </c>
      <c r="C24" s="190">
        <v>724488.93913275679</v>
      </c>
      <c r="D24" s="626">
        <f>+Synthèse!G23</f>
        <v>743030.24511519726</v>
      </c>
      <c r="E24" s="623">
        <f t="shared" si="0"/>
        <v>18541.305982440477</v>
      </c>
      <c r="F24" s="189">
        <v>-900587.50208646711</v>
      </c>
      <c r="G24" s="627">
        <f>+Synthèse!F23</f>
        <v>-291672.73433845269</v>
      </c>
      <c r="H24" s="627">
        <f t="shared" si="1"/>
        <v>608914.76774801442</v>
      </c>
      <c r="I24" s="190">
        <v>135862.33140973229</v>
      </c>
      <c r="J24" s="629">
        <f>+Synthèse!H23</f>
        <v>132721.94663418189</v>
      </c>
      <c r="K24" s="629">
        <f t="shared" si="2"/>
        <v>-3140.3847755503957</v>
      </c>
    </row>
    <row r="25" spans="1:11" s="193" customFormat="1" ht="15" x14ac:dyDescent="0.25">
      <c r="A25" s="85">
        <f>Données!A25</f>
        <v>5426</v>
      </c>
      <c r="B25" s="302" t="str">
        <f>Données!B25</f>
        <v>Bougy-Villars</v>
      </c>
      <c r="C25" s="190">
        <v>1512410.4331260992</v>
      </c>
      <c r="D25" s="626">
        <f>+Synthèse!G24</f>
        <v>2297778.9088427415</v>
      </c>
      <c r="E25" s="623">
        <f t="shared" si="0"/>
        <v>785368.47571664234</v>
      </c>
      <c r="F25" s="189">
        <v>958449.14411814231</v>
      </c>
      <c r="G25" s="627">
        <f>+Synthèse!F24</f>
        <v>1285493.3642782327</v>
      </c>
      <c r="H25" s="627">
        <f t="shared" si="1"/>
        <v>327044.22016009036</v>
      </c>
      <c r="I25" s="190">
        <v>108974.0016333168</v>
      </c>
      <c r="J25" s="629">
        <f>+Synthèse!H24</f>
        <v>125633.02520073648</v>
      </c>
      <c r="K25" s="629">
        <f t="shared" si="2"/>
        <v>16659.023567419674</v>
      </c>
    </row>
    <row r="26" spans="1:11" s="193" customFormat="1" ht="15" x14ac:dyDescent="0.25">
      <c r="A26" s="85">
        <f>Données!A26</f>
        <v>5427</v>
      </c>
      <c r="B26" s="302" t="str">
        <f>Données!B26</f>
        <v>Féchy</v>
      </c>
      <c r="C26" s="190">
        <v>2324015.8279521898</v>
      </c>
      <c r="D26" s="626">
        <f>+Synthèse!G25</f>
        <v>2944664.3215816673</v>
      </c>
      <c r="E26" s="623">
        <f t="shared" si="0"/>
        <v>620648.49362947745</v>
      </c>
      <c r="F26" s="189">
        <v>1585336.7013681112</v>
      </c>
      <c r="G26" s="627">
        <f>+Synthèse!F25</f>
        <v>1562570.38537551</v>
      </c>
      <c r="H26" s="627">
        <f t="shared" si="1"/>
        <v>-22766.315992601216</v>
      </c>
      <c r="I26" s="190">
        <v>187106.47136431793</v>
      </c>
      <c r="J26" s="629">
        <f>+Synthèse!H25</f>
        <v>179771.10160798294</v>
      </c>
      <c r="K26" s="629">
        <f t="shared" si="2"/>
        <v>-7335.3697563349851</v>
      </c>
    </row>
    <row r="27" spans="1:11" s="193" customFormat="1" ht="15" x14ac:dyDescent="0.25">
      <c r="A27" s="85">
        <f>Données!A27</f>
        <v>5428</v>
      </c>
      <c r="B27" s="302" t="str">
        <f>Données!B27</f>
        <v>Gimel</v>
      </c>
      <c r="C27" s="190">
        <v>1316010.425106704</v>
      </c>
      <c r="D27" s="626">
        <f>+Synthèse!G26</f>
        <v>1188239.9721753641</v>
      </c>
      <c r="E27" s="623">
        <f t="shared" si="0"/>
        <v>-127770.45293133985</v>
      </c>
      <c r="F27" s="189">
        <v>-831658.40105339419</v>
      </c>
      <c r="G27" s="627">
        <f>+Synthèse!F26</f>
        <v>-338531.42127919989</v>
      </c>
      <c r="H27" s="627">
        <f t="shared" si="1"/>
        <v>493126.9797741943</v>
      </c>
      <c r="I27" s="190">
        <v>216546.53065915441</v>
      </c>
      <c r="J27" s="629">
        <f>+Synthèse!H26</f>
        <v>212594.3605285032</v>
      </c>
      <c r="K27" s="629">
        <f t="shared" si="2"/>
        <v>-3952.1701306512114</v>
      </c>
    </row>
    <row r="28" spans="1:11" s="193" customFormat="1" ht="15" x14ac:dyDescent="0.25">
      <c r="A28" s="85">
        <f>Données!A28</f>
        <v>5429</v>
      </c>
      <c r="B28" s="302" t="str">
        <f>Données!B28</f>
        <v>Longirod</v>
      </c>
      <c r="C28" s="190">
        <v>330637.00009351096</v>
      </c>
      <c r="D28" s="626">
        <f>+Synthèse!G27</f>
        <v>265972.92315156315</v>
      </c>
      <c r="E28" s="623">
        <f t="shared" si="0"/>
        <v>-64664.076941947802</v>
      </c>
      <c r="F28" s="189">
        <v>49372.331912493915</v>
      </c>
      <c r="G28" s="627">
        <f>+Synthèse!F27</f>
        <v>103589.17951470573</v>
      </c>
      <c r="H28" s="627">
        <f t="shared" si="1"/>
        <v>54216.847602211812</v>
      </c>
      <c r="I28" s="190">
        <v>57112.814009809736</v>
      </c>
      <c r="J28" s="629">
        <f>+Synthèse!H27</f>
        <v>57309.137421957508</v>
      </c>
      <c r="K28" s="629">
        <f t="shared" si="2"/>
        <v>196.32341214777261</v>
      </c>
    </row>
    <row r="29" spans="1:11" s="193" customFormat="1" ht="15" x14ac:dyDescent="0.25">
      <c r="A29" s="85">
        <f>Données!A29</f>
        <v>5430</v>
      </c>
      <c r="B29" s="302" t="str">
        <f>Données!B29</f>
        <v>Marchissy</v>
      </c>
      <c r="C29" s="190">
        <v>245608.74982396801</v>
      </c>
      <c r="D29" s="626">
        <f>+Synthèse!G28</f>
        <v>206041.3013880963</v>
      </c>
      <c r="E29" s="623">
        <f t="shared" si="0"/>
        <v>-39567.448435871716</v>
      </c>
      <c r="F29" s="189">
        <v>-6604.4831264992827</v>
      </c>
      <c r="G29" s="627">
        <f>+Synthèse!F28</f>
        <v>31220.407573301345</v>
      </c>
      <c r="H29" s="627">
        <f t="shared" si="1"/>
        <v>37824.890699800628</v>
      </c>
      <c r="I29" s="190">
        <v>47799.602027512257</v>
      </c>
      <c r="J29" s="629">
        <f>+Synthèse!H28</f>
        <v>48099.904841062744</v>
      </c>
      <c r="K29" s="629">
        <f t="shared" si="2"/>
        <v>300.30281355048646</v>
      </c>
    </row>
    <row r="30" spans="1:11" s="193" customFormat="1" ht="15" x14ac:dyDescent="0.25">
      <c r="A30" s="85">
        <f>Données!A30</f>
        <v>5431</v>
      </c>
      <c r="B30" s="302" t="str">
        <f>Données!B30</f>
        <v>Mollens</v>
      </c>
      <c r="C30" s="190">
        <v>150038.10117769425</v>
      </c>
      <c r="D30" s="626">
        <f>+Synthèse!G29</f>
        <v>111750.21485592271</v>
      </c>
      <c r="E30" s="623">
        <f t="shared" si="0"/>
        <v>-38287.886321771541</v>
      </c>
      <c r="F30" s="189">
        <v>16545.214273075282</v>
      </c>
      <c r="G30" s="627">
        <f>+Synthèse!F29</f>
        <v>-5272.1500774807355</v>
      </c>
      <c r="H30" s="627">
        <f t="shared" si="1"/>
        <v>-21817.364350556018</v>
      </c>
      <c r="I30" s="190">
        <v>32292.770702622656</v>
      </c>
      <c r="J30" s="629">
        <f>+Synthèse!H29</f>
        <v>27813.007720575722</v>
      </c>
      <c r="K30" s="629">
        <f t="shared" si="2"/>
        <v>-4479.7629820469338</v>
      </c>
    </row>
    <row r="31" spans="1:11" s="193" customFormat="1" ht="15" x14ac:dyDescent="0.25">
      <c r="A31" s="85">
        <f>Données!A31</f>
        <v>5434</v>
      </c>
      <c r="B31" s="302" t="str">
        <f>Données!B31</f>
        <v>Saint-George</v>
      </c>
      <c r="C31" s="190">
        <v>695535.71360468247</v>
      </c>
      <c r="D31" s="626">
        <f>+Synthèse!G30</f>
        <v>671013.65132690314</v>
      </c>
      <c r="E31" s="623">
        <f t="shared" si="0"/>
        <v>-24522.062277779332</v>
      </c>
      <c r="F31" s="189">
        <v>460751.98059142835</v>
      </c>
      <c r="G31" s="627">
        <f>+Synthèse!F30</f>
        <v>616737.14207202476</v>
      </c>
      <c r="H31" s="627">
        <f t="shared" si="1"/>
        <v>155985.16148059641</v>
      </c>
      <c r="I31" s="190">
        <v>133407.6161314708</v>
      </c>
      <c r="J31" s="629">
        <f>+Synthèse!H30</f>
        <v>137063.75953597564</v>
      </c>
      <c r="K31" s="629">
        <f t="shared" si="2"/>
        <v>3656.1434045048372</v>
      </c>
    </row>
    <row r="32" spans="1:11" s="193" customFormat="1" ht="15" x14ac:dyDescent="0.25">
      <c r="A32" s="85">
        <f>Données!A32</f>
        <v>5435</v>
      </c>
      <c r="B32" s="302" t="str">
        <f>Données!B32</f>
        <v>Saint-Livres</v>
      </c>
      <c r="C32" s="190">
        <v>465242.54610578879</v>
      </c>
      <c r="D32" s="626">
        <f>+Synthèse!G31</f>
        <v>491536.42600242363</v>
      </c>
      <c r="E32" s="623">
        <f t="shared" si="0"/>
        <v>26293.87989663484</v>
      </c>
      <c r="F32" s="189">
        <v>287274.87921338913</v>
      </c>
      <c r="G32" s="627">
        <f>+Synthèse!F31</f>
        <v>264769.05643949029</v>
      </c>
      <c r="H32" s="627">
        <f t="shared" si="1"/>
        <v>-22505.822773898835</v>
      </c>
      <c r="I32" s="190">
        <v>79668.062267586021</v>
      </c>
      <c r="J32" s="629">
        <f>+Synthèse!H31</f>
        <v>78455.965402360511</v>
      </c>
      <c r="K32" s="629">
        <f t="shared" si="2"/>
        <v>-1212.0968652255106</v>
      </c>
    </row>
    <row r="33" spans="1:11" s="193" customFormat="1" ht="15" x14ac:dyDescent="0.25">
      <c r="A33" s="85">
        <f>Données!A33</f>
        <v>5436</v>
      </c>
      <c r="B33" s="302" t="str">
        <f>Données!B33</f>
        <v>Saint-Oyens</v>
      </c>
      <c r="C33" s="190">
        <v>289991.92755411373</v>
      </c>
      <c r="D33" s="626">
        <f>+Synthèse!G32</f>
        <v>193064.37710383223</v>
      </c>
      <c r="E33" s="623">
        <f t="shared" si="0"/>
        <v>-96927.550450281502</v>
      </c>
      <c r="F33" s="189">
        <v>132809.81129889734</v>
      </c>
      <c r="G33" s="627">
        <f>+Synthèse!F32</f>
        <v>90274.031253845606</v>
      </c>
      <c r="H33" s="627">
        <f t="shared" si="1"/>
        <v>-42535.780045051739</v>
      </c>
      <c r="I33" s="190">
        <v>52170.616367562805</v>
      </c>
      <c r="J33" s="629">
        <f>+Synthèse!H32</f>
        <v>47408.29989783137</v>
      </c>
      <c r="K33" s="629">
        <f t="shared" si="2"/>
        <v>-4762.3164697314351</v>
      </c>
    </row>
    <row r="34" spans="1:11" s="193" customFormat="1" ht="15" x14ac:dyDescent="0.25">
      <c r="A34" s="85">
        <f>Données!A34</f>
        <v>5437</v>
      </c>
      <c r="B34" s="302" t="str">
        <f>Données!B34</f>
        <v>Saubraz</v>
      </c>
      <c r="C34" s="190">
        <v>330585.46887477476</v>
      </c>
      <c r="D34" s="626">
        <f>+Synthèse!G33</f>
        <v>243969.69560944114</v>
      </c>
      <c r="E34" s="623">
        <f t="shared" si="0"/>
        <v>-86615.773265333613</v>
      </c>
      <c r="F34" s="189">
        <v>-350511.85923910368</v>
      </c>
      <c r="G34" s="627">
        <f>+Synthèse!F33</f>
        <v>124981.38730059395</v>
      </c>
      <c r="H34" s="627">
        <f t="shared" si="1"/>
        <v>475493.24653969763</v>
      </c>
      <c r="I34" s="190">
        <v>41936.807841506416</v>
      </c>
      <c r="J34" s="629">
        <f>+Synthèse!H33</f>
        <v>50345.258756461553</v>
      </c>
      <c r="K34" s="629">
        <f t="shared" si="2"/>
        <v>8408.4509149551377</v>
      </c>
    </row>
    <row r="35" spans="1:11" s="193" customFormat="1" ht="15" x14ac:dyDescent="0.25">
      <c r="A35" s="85">
        <f>Données!A35</f>
        <v>5451</v>
      </c>
      <c r="B35" s="302" t="str">
        <f>Données!B35</f>
        <v>Avenches</v>
      </c>
      <c r="C35" s="190">
        <v>2315301.7360243793</v>
      </c>
      <c r="D35" s="626">
        <f>+Synthèse!G34</f>
        <v>2233046.2215962224</v>
      </c>
      <c r="E35" s="623">
        <f t="shared" si="0"/>
        <v>-82255.514428156894</v>
      </c>
      <c r="F35" s="189">
        <v>-1931556.729179672</v>
      </c>
      <c r="G35" s="627">
        <f>+Synthèse!F34</f>
        <v>-710104.56104952935</v>
      </c>
      <c r="H35" s="627">
        <f t="shared" si="1"/>
        <v>1221452.1681301426</v>
      </c>
      <c r="I35" s="190">
        <v>410966.15197616455</v>
      </c>
      <c r="J35" s="629">
        <f>+Synthèse!H34</f>
        <v>414133.71430905012</v>
      </c>
      <c r="K35" s="629">
        <f t="shared" si="2"/>
        <v>3167.5623328855727</v>
      </c>
    </row>
    <row r="36" spans="1:11" s="193" customFormat="1" ht="15" x14ac:dyDescent="0.25">
      <c r="A36" s="85">
        <f>Données!A36</f>
        <v>5456</v>
      </c>
      <c r="B36" s="302" t="str">
        <f>Données!B36</f>
        <v>Cudrefin</v>
      </c>
      <c r="C36" s="190">
        <v>1013873.5316867415</v>
      </c>
      <c r="D36" s="626">
        <f>+Synthèse!G35</f>
        <v>1063609.5542989776</v>
      </c>
      <c r="E36" s="623">
        <f t="shared" si="0"/>
        <v>49736.022612236091</v>
      </c>
      <c r="F36" s="189">
        <v>191977.12141503126</v>
      </c>
      <c r="G36" s="627">
        <f>+Synthèse!F35</f>
        <v>605471.72774640983</v>
      </c>
      <c r="H36" s="627">
        <f t="shared" si="1"/>
        <v>413494.60633137857</v>
      </c>
      <c r="I36" s="190">
        <v>194525.81184018846</v>
      </c>
      <c r="J36" s="629">
        <f>+Synthèse!H35</f>
        <v>207879.41807786791</v>
      </c>
      <c r="K36" s="629">
        <f t="shared" si="2"/>
        <v>13353.606237679458</v>
      </c>
    </row>
    <row r="37" spans="1:11" s="193" customFormat="1" ht="15" x14ac:dyDescent="0.25">
      <c r="A37" s="85">
        <f>Données!A37</f>
        <v>5458</v>
      </c>
      <c r="B37" s="302" t="str">
        <f>Données!B37</f>
        <v>Faoug</v>
      </c>
      <c r="C37" s="190">
        <v>564972.01654381398</v>
      </c>
      <c r="D37" s="626">
        <f>+Synthèse!G36</f>
        <v>422898.08108125179</v>
      </c>
      <c r="E37" s="623">
        <f t="shared" si="0"/>
        <v>-142073.93546256219</v>
      </c>
      <c r="F37" s="189">
        <v>311042.45652386139</v>
      </c>
      <c r="G37" s="627">
        <f>+Synthèse!F36</f>
        <v>219827.32340501377</v>
      </c>
      <c r="H37" s="627">
        <f t="shared" si="1"/>
        <v>-91215.133118847618</v>
      </c>
      <c r="I37" s="190">
        <v>105751.20413157367</v>
      </c>
      <c r="J37" s="629">
        <f>+Synthèse!H36</f>
        <v>88043.508291052931</v>
      </c>
      <c r="K37" s="629">
        <f t="shared" si="2"/>
        <v>-17707.695840520741</v>
      </c>
    </row>
    <row r="38" spans="1:11" s="193" customFormat="1" ht="15" x14ac:dyDescent="0.25">
      <c r="A38" s="85">
        <f>Données!A38</f>
        <v>5464</v>
      </c>
      <c r="B38" s="302" t="str">
        <f>Données!B38</f>
        <v>Vully-les-Lacs</v>
      </c>
      <c r="C38" s="190">
        <v>2253434.7067541871</v>
      </c>
      <c r="D38" s="626">
        <f>+Synthèse!G37</f>
        <v>1931875.2788129686</v>
      </c>
      <c r="E38" s="623">
        <f t="shared" si="0"/>
        <v>-321559.42794121848</v>
      </c>
      <c r="F38" s="189">
        <v>64399.72114888113</v>
      </c>
      <c r="G38" s="627">
        <f>+Synthèse!F37</f>
        <v>396747.77240718342</v>
      </c>
      <c r="H38" s="627">
        <f t="shared" si="1"/>
        <v>332348.05125830229</v>
      </c>
      <c r="I38" s="190">
        <v>362535.84070429177</v>
      </c>
      <c r="J38" s="629">
        <f>+Synthèse!H37</f>
        <v>377829.59110628988</v>
      </c>
      <c r="K38" s="629">
        <f t="shared" si="2"/>
        <v>15293.750401998113</v>
      </c>
    </row>
    <row r="39" spans="1:11" s="193" customFormat="1" ht="15" x14ac:dyDescent="0.25">
      <c r="A39" s="85">
        <f>Données!A39</f>
        <v>5471</v>
      </c>
      <c r="B39" s="302" t="str">
        <f>Données!B39</f>
        <v>Bettens</v>
      </c>
      <c r="C39" s="190">
        <v>331043.49615072133</v>
      </c>
      <c r="D39" s="626">
        <f>+Synthèse!G38</f>
        <v>345840.80342584231</v>
      </c>
      <c r="E39" s="623">
        <f t="shared" si="0"/>
        <v>14797.307275120984</v>
      </c>
      <c r="F39" s="189">
        <v>194730.94087019662</v>
      </c>
      <c r="G39" s="627">
        <f>+Synthèse!F38</f>
        <v>214787.58926133992</v>
      </c>
      <c r="H39" s="627">
        <f t="shared" si="1"/>
        <v>20056.648391143302</v>
      </c>
      <c r="I39" s="190">
        <v>69782.509261952306</v>
      </c>
      <c r="J39" s="629">
        <f>+Synthèse!H38</f>
        <v>70071.759426372097</v>
      </c>
      <c r="K39" s="629">
        <f t="shared" si="2"/>
        <v>289.25016441979096</v>
      </c>
    </row>
    <row r="40" spans="1:11" s="193" customFormat="1" ht="15" x14ac:dyDescent="0.25">
      <c r="A40" s="85">
        <f>Données!A40</f>
        <v>5472</v>
      </c>
      <c r="B40" s="302" t="str">
        <f>Données!B40</f>
        <v>Bournens</v>
      </c>
      <c r="C40" s="190">
        <v>379933.28910616494</v>
      </c>
      <c r="D40" s="626">
        <f>+Synthèse!G39</f>
        <v>293016.34616289131</v>
      </c>
      <c r="E40" s="623">
        <f t="shared" si="0"/>
        <v>-86916.942943273636</v>
      </c>
      <c r="F40" s="189">
        <v>300669.92654726031</v>
      </c>
      <c r="G40" s="627">
        <f>+Synthèse!F39</f>
        <v>218611.81274558866</v>
      </c>
      <c r="H40" s="627">
        <f t="shared" si="1"/>
        <v>-82058.113801671658</v>
      </c>
      <c r="I40" s="190">
        <v>68396.96658443936</v>
      </c>
      <c r="J40" s="629">
        <f>+Synthèse!H39</f>
        <v>59444.706812604549</v>
      </c>
      <c r="K40" s="629">
        <f t="shared" si="2"/>
        <v>-8952.2597718348115</v>
      </c>
    </row>
    <row r="41" spans="1:11" s="193" customFormat="1" ht="15" x14ac:dyDescent="0.25">
      <c r="A41" s="85">
        <f>Données!A41</f>
        <v>5473</v>
      </c>
      <c r="B41" s="302" t="str">
        <f>Données!B41</f>
        <v>Boussens</v>
      </c>
      <c r="C41" s="190">
        <v>598733.13422677643</v>
      </c>
      <c r="D41" s="626">
        <f>+Synthèse!G40</f>
        <v>535022.68925167469</v>
      </c>
      <c r="E41" s="623">
        <f t="shared" si="0"/>
        <v>-63710.444975101738</v>
      </c>
      <c r="F41" s="189">
        <v>386211.55657331843</v>
      </c>
      <c r="G41" s="627">
        <f>+Synthèse!F40</f>
        <v>399189.64823206555</v>
      </c>
      <c r="H41" s="627">
        <f t="shared" si="1"/>
        <v>12978.091658747115</v>
      </c>
      <c r="I41" s="190">
        <v>113571.90395337256</v>
      </c>
      <c r="J41" s="629">
        <f>+Synthèse!H40</f>
        <v>114571.83931514798</v>
      </c>
      <c r="K41" s="629">
        <f t="shared" si="2"/>
        <v>999.9353617754241</v>
      </c>
    </row>
    <row r="42" spans="1:11" s="193" customFormat="1" ht="15" x14ac:dyDescent="0.25">
      <c r="A42" s="85">
        <f>Données!A42</f>
        <v>5474</v>
      </c>
      <c r="B42" s="302" t="str">
        <f>Données!B42</f>
        <v>La Chaux (Cossonay)</v>
      </c>
      <c r="C42" s="190">
        <v>211158.08215859969</v>
      </c>
      <c r="D42" s="626">
        <f>+Synthèse!G41</f>
        <v>219658.81878326472</v>
      </c>
      <c r="E42" s="623">
        <f t="shared" si="0"/>
        <v>8500.7366246650345</v>
      </c>
      <c r="F42" s="189">
        <v>-174789.39140963487</v>
      </c>
      <c r="G42" s="627">
        <f>+Synthèse!F41</f>
        <v>75869.743072882091</v>
      </c>
      <c r="H42" s="627">
        <f t="shared" si="1"/>
        <v>250659.13448251697</v>
      </c>
      <c r="I42" s="190">
        <v>39651.401484095739</v>
      </c>
      <c r="J42" s="629">
        <f>+Synthèse!H41</f>
        <v>44218.406302308998</v>
      </c>
      <c r="K42" s="629">
        <f t="shared" si="2"/>
        <v>4567.0048182132596</v>
      </c>
    </row>
    <row r="43" spans="1:11" s="193" customFormat="1" ht="15" x14ac:dyDescent="0.25">
      <c r="A43" s="85">
        <f>Données!A43</f>
        <v>5475</v>
      </c>
      <c r="B43" s="302" t="str">
        <f>Données!B43</f>
        <v>Chavannes-le-Veyron</v>
      </c>
      <c r="C43" s="190">
        <v>59007.577077434384</v>
      </c>
      <c r="D43" s="626">
        <f>+Synthèse!G42</f>
        <v>73983.297825235291</v>
      </c>
      <c r="E43" s="623">
        <f t="shared" si="0"/>
        <v>14975.720747800908</v>
      </c>
      <c r="F43" s="189">
        <v>-36162.81361233459</v>
      </c>
      <c r="G43" s="627">
        <f>+Synthèse!F42</f>
        <v>-4857.8321570207627</v>
      </c>
      <c r="H43" s="627">
        <f t="shared" si="1"/>
        <v>31304.981455313828</v>
      </c>
      <c r="I43" s="190">
        <v>13119.257798158367</v>
      </c>
      <c r="J43" s="629">
        <f>+Synthèse!H42</f>
        <v>13620.013832554121</v>
      </c>
      <c r="K43" s="629">
        <f t="shared" si="2"/>
        <v>500.75603439575389</v>
      </c>
    </row>
    <row r="44" spans="1:11" s="193" customFormat="1" ht="15" x14ac:dyDescent="0.25">
      <c r="A44" s="85">
        <f>Données!A44</f>
        <v>5476</v>
      </c>
      <c r="B44" s="302" t="str">
        <f>Données!B44</f>
        <v>Chevilly</v>
      </c>
      <c r="C44" s="190">
        <v>198008.12863072418</v>
      </c>
      <c r="D44" s="626">
        <f>+Synthèse!G43</f>
        <v>193247.15450088406</v>
      </c>
      <c r="E44" s="623">
        <f t="shared" si="0"/>
        <v>-4760.9741298401204</v>
      </c>
      <c r="F44" s="189">
        <v>112065.18651727574</v>
      </c>
      <c r="G44" s="627">
        <f>+Synthèse!F43</f>
        <v>149290.19512082217</v>
      </c>
      <c r="H44" s="627">
        <f t="shared" si="1"/>
        <v>37225.008603546434</v>
      </c>
      <c r="I44" s="190">
        <v>37266.878023910685</v>
      </c>
      <c r="J44" s="629">
        <f>+Synthèse!H43</f>
        <v>40128.816401331715</v>
      </c>
      <c r="K44" s="629">
        <f t="shared" si="2"/>
        <v>2861.9383774210291</v>
      </c>
    </row>
    <row r="45" spans="1:11" s="193" customFormat="1" ht="15" x14ac:dyDescent="0.25">
      <c r="A45" s="85">
        <f>Données!A45</f>
        <v>5477</v>
      </c>
      <c r="B45" s="302" t="str">
        <f>Données!B45</f>
        <v>Cossonay</v>
      </c>
      <c r="C45" s="190">
        <v>2378591.0634569274</v>
      </c>
      <c r="D45" s="626">
        <f>+Synthèse!G44</f>
        <v>2632848.8195586074</v>
      </c>
      <c r="E45" s="623">
        <f t="shared" si="0"/>
        <v>254257.75610167999</v>
      </c>
      <c r="F45" s="189">
        <v>-853052.19010090549</v>
      </c>
      <c r="G45" s="627">
        <f>+Synthèse!F44</f>
        <v>-222948.45597251877</v>
      </c>
      <c r="H45" s="627">
        <f t="shared" si="1"/>
        <v>630103.73412838671</v>
      </c>
      <c r="I45" s="190">
        <v>436477.66082319128</v>
      </c>
      <c r="J45" s="629">
        <f>+Synthèse!H44</f>
        <v>465435.8895964335</v>
      </c>
      <c r="K45" s="629">
        <f t="shared" si="2"/>
        <v>28958.228773242212</v>
      </c>
    </row>
    <row r="46" spans="1:11" s="193" customFormat="1" ht="15" x14ac:dyDescent="0.25">
      <c r="A46" s="85">
        <f>Données!A46</f>
        <v>5479</v>
      </c>
      <c r="B46" s="302" t="str">
        <f>Données!B46</f>
        <v>Cuarnens</v>
      </c>
      <c r="C46" s="190">
        <v>288422.96628117975</v>
      </c>
      <c r="D46" s="626">
        <f>+Synthèse!G45</f>
        <v>258111.74415690335</v>
      </c>
      <c r="E46" s="623">
        <f t="shared" si="0"/>
        <v>-30311.222124276392</v>
      </c>
      <c r="F46" s="189">
        <v>4320.7275417924975</v>
      </c>
      <c r="G46" s="627">
        <f>+Synthèse!F45</f>
        <v>109474.63393059949</v>
      </c>
      <c r="H46" s="627">
        <f t="shared" si="1"/>
        <v>105153.90638880699</v>
      </c>
      <c r="I46" s="190">
        <v>55613.52468279632</v>
      </c>
      <c r="J46" s="629">
        <f>+Synthèse!H45</f>
        <v>56180.753667082521</v>
      </c>
      <c r="K46" s="629">
        <f t="shared" si="2"/>
        <v>567.22898428620101</v>
      </c>
    </row>
    <row r="47" spans="1:11" s="193" customFormat="1" ht="15" x14ac:dyDescent="0.25">
      <c r="A47" s="85">
        <f>Données!A47</f>
        <v>5480</v>
      </c>
      <c r="B47" s="302" t="str">
        <f>Données!B47</f>
        <v>Daillens</v>
      </c>
      <c r="C47" s="190">
        <v>743079.57455253159</v>
      </c>
      <c r="D47" s="626">
        <f>+Synthèse!G46</f>
        <v>776764.05358553235</v>
      </c>
      <c r="E47" s="623">
        <f t="shared" si="0"/>
        <v>33684.479033000767</v>
      </c>
      <c r="F47" s="189">
        <v>353247.10107772733</v>
      </c>
      <c r="G47" s="627">
        <f>+Synthèse!F46</f>
        <v>738704.88421456562</v>
      </c>
      <c r="H47" s="627">
        <f t="shared" si="1"/>
        <v>385457.78313683829</v>
      </c>
      <c r="I47" s="190">
        <v>123455.34629516353</v>
      </c>
      <c r="J47" s="629">
        <f>+Synthèse!H46</f>
        <v>143301.54130298269</v>
      </c>
      <c r="K47" s="629">
        <f t="shared" si="2"/>
        <v>19846.195007819158</v>
      </c>
    </row>
    <row r="48" spans="1:11" s="193" customFormat="1" ht="15" x14ac:dyDescent="0.25">
      <c r="A48" s="85">
        <f>Données!A48</f>
        <v>5481</v>
      </c>
      <c r="B48" s="302" t="str">
        <f>Données!B48</f>
        <v>Dizy</v>
      </c>
      <c r="C48" s="190">
        <v>112070.67182410843</v>
      </c>
      <c r="D48" s="626">
        <f>+Synthèse!G47</f>
        <v>140162.99532056719</v>
      </c>
      <c r="E48" s="623">
        <f t="shared" si="0"/>
        <v>28092.323496458761</v>
      </c>
      <c r="F48" s="189">
        <v>50359.090295638132</v>
      </c>
      <c r="G48" s="627">
        <f>+Synthèse!F47</f>
        <v>79172.673752688657</v>
      </c>
      <c r="H48" s="627">
        <f t="shared" si="1"/>
        <v>28813.583457050525</v>
      </c>
      <c r="I48" s="190">
        <v>25087.835789630011</v>
      </c>
      <c r="J48" s="629">
        <f>+Synthèse!H47</f>
        <v>26852.901618005948</v>
      </c>
      <c r="K48" s="629">
        <f t="shared" si="2"/>
        <v>1765.0658283759367</v>
      </c>
    </row>
    <row r="49" spans="1:11" s="193" customFormat="1" ht="15" x14ac:dyDescent="0.25">
      <c r="A49" s="85">
        <f>Données!A49</f>
        <v>5482</v>
      </c>
      <c r="B49" s="302" t="str">
        <f>Données!B49</f>
        <v>Eclépens</v>
      </c>
      <c r="C49" s="190">
        <v>884096.62094658264</v>
      </c>
      <c r="D49" s="626">
        <f>+Synthèse!G48</f>
        <v>913948.82395151118</v>
      </c>
      <c r="E49" s="623">
        <f t="shared" si="0"/>
        <v>29852.203004928539</v>
      </c>
      <c r="F49" s="189">
        <v>742876.3300397346</v>
      </c>
      <c r="G49" s="627">
        <f>+Synthèse!F48</f>
        <v>906263.6879039316</v>
      </c>
      <c r="H49" s="627">
        <f t="shared" si="1"/>
        <v>163387.35786419699</v>
      </c>
      <c r="I49" s="190">
        <v>153067.99528732174</v>
      </c>
      <c r="J49" s="629">
        <f>+Synthèse!H48</f>
        <v>159735.59984264089</v>
      </c>
      <c r="K49" s="629">
        <f t="shared" si="2"/>
        <v>6667.6045553191507</v>
      </c>
    </row>
    <row r="50" spans="1:11" s="193" customFormat="1" ht="15" x14ac:dyDescent="0.25">
      <c r="A50" s="85">
        <f>Données!A50</f>
        <v>5483</v>
      </c>
      <c r="B50" s="302" t="str">
        <f>Données!B50</f>
        <v>Ferreyres</v>
      </c>
      <c r="C50" s="190">
        <v>140334.26481514776</v>
      </c>
      <c r="D50" s="626">
        <f>+Synthèse!G49</f>
        <v>141323.50691827756</v>
      </c>
      <c r="E50" s="623">
        <f t="shared" si="0"/>
        <v>989.24210312979994</v>
      </c>
      <c r="F50" s="189">
        <v>52288.42268249148</v>
      </c>
      <c r="G50" s="627">
        <f>+Synthèse!F49</f>
        <v>98830.108511562343</v>
      </c>
      <c r="H50" s="627">
        <f t="shared" si="1"/>
        <v>46541.685829070862</v>
      </c>
      <c r="I50" s="190">
        <v>32480.75483816069</v>
      </c>
      <c r="J50" s="629">
        <f>+Synthèse!H49</f>
        <v>35687.681891806169</v>
      </c>
      <c r="K50" s="629">
        <f t="shared" si="2"/>
        <v>3206.9270536454787</v>
      </c>
    </row>
    <row r="51" spans="1:11" s="193" customFormat="1" ht="15" x14ac:dyDescent="0.25">
      <c r="A51" s="85">
        <f>Données!A51</f>
        <v>5484</v>
      </c>
      <c r="B51" s="302" t="str">
        <f>Données!B51</f>
        <v>Gollion</v>
      </c>
      <c r="C51" s="190">
        <v>585544.18225012359</v>
      </c>
      <c r="D51" s="626">
        <f>+Synthèse!G50</f>
        <v>508376.61099607963</v>
      </c>
      <c r="E51" s="623">
        <f t="shared" si="0"/>
        <v>-77167.571254043956</v>
      </c>
      <c r="F51" s="189">
        <v>113389.33382501465</v>
      </c>
      <c r="G51" s="627">
        <f>+Synthèse!F50</f>
        <v>126088.22597316385</v>
      </c>
      <c r="H51" s="627">
        <f t="shared" si="1"/>
        <v>12698.8921481492</v>
      </c>
      <c r="I51" s="190">
        <v>110403.3933110137</v>
      </c>
      <c r="J51" s="629">
        <f>+Synthèse!H50</f>
        <v>102996.59159858692</v>
      </c>
      <c r="K51" s="629">
        <f t="shared" si="2"/>
        <v>-7406.801712426779</v>
      </c>
    </row>
    <row r="52" spans="1:11" s="193" customFormat="1" ht="15" x14ac:dyDescent="0.25">
      <c r="A52" s="85">
        <f>Données!A52</f>
        <v>5485</v>
      </c>
      <c r="B52" s="302" t="str">
        <f>Données!B52</f>
        <v>Grancy</v>
      </c>
      <c r="C52" s="190">
        <v>430220.23970862466</v>
      </c>
      <c r="D52" s="626">
        <f>+Synthèse!G51</f>
        <v>393518.2795511118</v>
      </c>
      <c r="E52" s="623">
        <f t="shared" si="0"/>
        <v>-36701.960157512862</v>
      </c>
      <c r="F52" s="189">
        <v>373895.78718608874</v>
      </c>
      <c r="G52" s="627">
        <f>+Synthèse!F51</f>
        <v>494532.90865549532</v>
      </c>
      <c r="H52" s="627">
        <f t="shared" si="1"/>
        <v>120637.12146940659</v>
      </c>
      <c r="I52" s="190">
        <v>69375.966512085812</v>
      </c>
      <c r="J52" s="629">
        <f>+Synthèse!H51</f>
        <v>82944.040373000782</v>
      </c>
      <c r="K52" s="629">
        <f t="shared" si="2"/>
        <v>13568.07386091497</v>
      </c>
    </row>
    <row r="53" spans="1:11" s="193" customFormat="1" ht="15" x14ac:dyDescent="0.25">
      <c r="A53" s="85">
        <f>Données!A53</f>
        <v>5486</v>
      </c>
      <c r="B53" s="302" t="str">
        <f>Données!B53</f>
        <v>L'Isle</v>
      </c>
      <c r="C53" s="190">
        <v>548283.45929097582</v>
      </c>
      <c r="D53" s="626">
        <f>+Synthèse!G52</f>
        <v>485515.11178788554</v>
      </c>
      <c r="E53" s="623">
        <f t="shared" si="0"/>
        <v>-62768.347503090277</v>
      </c>
      <c r="F53" s="189">
        <v>-452327.45497570524</v>
      </c>
      <c r="G53" s="627">
        <f>+Synthèse!F52</f>
        <v>44314.088425123366</v>
      </c>
      <c r="H53" s="627">
        <f t="shared" si="1"/>
        <v>496641.54340082861</v>
      </c>
      <c r="I53" s="190">
        <v>88605.718656769284</v>
      </c>
      <c r="J53" s="629">
        <f>+Synthèse!H52</f>
        <v>100273.60385899307</v>
      </c>
      <c r="K53" s="629">
        <f t="shared" si="2"/>
        <v>11667.885202223784</v>
      </c>
    </row>
    <row r="54" spans="1:11" s="193" customFormat="1" ht="15" x14ac:dyDescent="0.25">
      <c r="A54" s="85">
        <f>Données!A54</f>
        <v>5487</v>
      </c>
      <c r="B54" s="302" t="str">
        <f>Données!B54</f>
        <v>Lussery-Villars</v>
      </c>
      <c r="C54" s="190">
        <v>228592.17247513437</v>
      </c>
      <c r="D54" s="626">
        <f>+Synthèse!G53</f>
        <v>214621.24826880032</v>
      </c>
      <c r="E54" s="623">
        <f t="shared" si="0"/>
        <v>-13970.92420633405</v>
      </c>
      <c r="F54" s="189">
        <v>97294.062421544309</v>
      </c>
      <c r="G54" s="627">
        <f>+Synthèse!F53</f>
        <v>36057.742568055459</v>
      </c>
      <c r="H54" s="627">
        <f t="shared" si="1"/>
        <v>-61236.319853488851</v>
      </c>
      <c r="I54" s="190">
        <v>51336.088687136638</v>
      </c>
      <c r="J54" s="629">
        <f>+Synthèse!H53</f>
        <v>44408.707626977739</v>
      </c>
      <c r="K54" s="629">
        <f t="shared" si="2"/>
        <v>-6927.3810601588993</v>
      </c>
    </row>
    <row r="55" spans="1:11" s="193" customFormat="1" ht="15" x14ac:dyDescent="0.25">
      <c r="A55" s="85">
        <f>Données!A55</f>
        <v>5488</v>
      </c>
      <c r="B55" s="302" t="str">
        <f>Données!B55</f>
        <v>Mauraz</v>
      </c>
      <c r="C55" s="190">
        <v>21954.705764067992</v>
      </c>
      <c r="D55" s="626">
        <f>+Synthèse!G54</f>
        <v>25153.158875095774</v>
      </c>
      <c r="E55" s="623">
        <f t="shared" si="0"/>
        <v>3198.4531110277821</v>
      </c>
      <c r="F55" s="189">
        <v>-1569.7328980828242</v>
      </c>
      <c r="G55" s="627">
        <f>+Synthèse!F54</f>
        <v>-4019.6882424436917</v>
      </c>
      <c r="H55" s="627">
        <f t="shared" si="1"/>
        <v>-2449.9553443608675</v>
      </c>
      <c r="I55" s="190">
        <v>5354.6040137924592</v>
      </c>
      <c r="J55" s="629">
        <f>+Synthèse!H54</f>
        <v>5520.0384224637164</v>
      </c>
      <c r="K55" s="629">
        <f t="shared" si="2"/>
        <v>165.43440867125719</v>
      </c>
    </row>
    <row r="56" spans="1:11" s="193" customFormat="1" ht="15" x14ac:dyDescent="0.25">
      <c r="A56" s="85">
        <f>Données!A56</f>
        <v>5489</v>
      </c>
      <c r="B56" s="302" t="str">
        <f>Données!B56</f>
        <v>Mex</v>
      </c>
      <c r="C56" s="190">
        <v>1006685.0558986446</v>
      </c>
      <c r="D56" s="626">
        <f>+Synthèse!G55</f>
        <v>1309482.9522950375</v>
      </c>
      <c r="E56" s="623">
        <f t="shared" si="0"/>
        <v>302797.89639639284</v>
      </c>
      <c r="F56" s="189">
        <v>869679.87247139448</v>
      </c>
      <c r="G56" s="627">
        <f>+Synthèse!F55</f>
        <v>1081898.6991619787</v>
      </c>
      <c r="H56" s="627">
        <f t="shared" si="1"/>
        <v>212218.82669058419</v>
      </c>
      <c r="I56" s="190">
        <v>132136.84692106262</v>
      </c>
      <c r="J56" s="629">
        <f>+Synthèse!H55</f>
        <v>143814.75571709522</v>
      </c>
      <c r="K56" s="629">
        <f t="shared" si="2"/>
        <v>11677.9087960326</v>
      </c>
    </row>
    <row r="57" spans="1:11" s="193" customFormat="1" ht="15" x14ac:dyDescent="0.25">
      <c r="A57" s="85">
        <f>Données!A57</f>
        <v>5490</v>
      </c>
      <c r="B57" s="302" t="str">
        <f>Données!B57</f>
        <v>Moiry</v>
      </c>
      <c r="C57" s="190">
        <v>134358.35029803347</v>
      </c>
      <c r="D57" s="626">
        <f>+Synthèse!G56</f>
        <v>109406.24820102873</v>
      </c>
      <c r="E57" s="623">
        <f t="shared" si="0"/>
        <v>-24952.102097004739</v>
      </c>
      <c r="F57" s="189">
        <v>-6245.8495843969285</v>
      </c>
      <c r="G57" s="627">
        <f>+Synthèse!F56</f>
        <v>9643.186333655176</v>
      </c>
      <c r="H57" s="627">
        <f t="shared" si="1"/>
        <v>15889.035918052105</v>
      </c>
      <c r="I57" s="190">
        <v>27989.93081366588</v>
      </c>
      <c r="J57" s="629">
        <f>+Synthèse!H56</f>
        <v>27310.559732151305</v>
      </c>
      <c r="K57" s="629">
        <f t="shared" si="2"/>
        <v>-679.37108151457505</v>
      </c>
    </row>
    <row r="58" spans="1:11" s="193" customFormat="1" ht="15" x14ac:dyDescent="0.25">
      <c r="A58" s="85">
        <f>Données!A58</f>
        <v>5491</v>
      </c>
      <c r="B58" s="302" t="str">
        <f>Données!B58</f>
        <v>Mont-la-Ville</v>
      </c>
      <c r="C58" s="190">
        <v>197099.88841694075</v>
      </c>
      <c r="D58" s="626">
        <f>+Synthèse!G57</f>
        <v>194179.46831549599</v>
      </c>
      <c r="E58" s="623">
        <f t="shared" si="0"/>
        <v>-2920.4201014447608</v>
      </c>
      <c r="F58" s="189">
        <v>-222945.90785569994</v>
      </c>
      <c r="G58" s="627">
        <f>+Synthèse!F57</f>
        <v>-18397.985790575738</v>
      </c>
      <c r="H58" s="627">
        <f t="shared" si="1"/>
        <v>204547.92206512421</v>
      </c>
      <c r="I58" s="190">
        <v>41601.644563128313</v>
      </c>
      <c r="J58" s="629">
        <f>+Synthèse!H57</f>
        <v>42709.352167184683</v>
      </c>
      <c r="K58" s="629">
        <f t="shared" si="2"/>
        <v>1107.7076040563697</v>
      </c>
    </row>
    <row r="59" spans="1:11" s="193" customFormat="1" ht="15" x14ac:dyDescent="0.25">
      <c r="A59" s="85">
        <f>Données!A59</f>
        <v>5492</v>
      </c>
      <c r="B59" s="302" t="str">
        <f>Données!B59</f>
        <v>Montricher</v>
      </c>
      <c r="C59" s="190">
        <v>6248146.8034543265</v>
      </c>
      <c r="D59" s="626">
        <f>+Synthèse!G58</f>
        <v>6933109.1158242682</v>
      </c>
      <c r="E59" s="623">
        <f t="shared" si="0"/>
        <v>684962.31236994173</v>
      </c>
      <c r="F59" s="189">
        <v>2376378.2765456731</v>
      </c>
      <c r="G59" s="627">
        <f>+Synthèse!F58</f>
        <v>2587311.4591757301</v>
      </c>
      <c r="H59" s="627">
        <f t="shared" si="1"/>
        <v>210933.18263005698</v>
      </c>
      <c r="I59" s="190">
        <v>301580.75665583013</v>
      </c>
      <c r="J59" s="629">
        <f>+Synthèse!H58</f>
        <v>308689.67667448521</v>
      </c>
      <c r="K59" s="629">
        <f t="shared" si="2"/>
        <v>7108.9200186550734</v>
      </c>
    </row>
    <row r="60" spans="1:11" s="193" customFormat="1" ht="15" x14ac:dyDescent="0.25">
      <c r="A60" s="85">
        <f>Données!A60</f>
        <v>5493</v>
      </c>
      <c r="B60" s="302" t="str">
        <f>Données!B60</f>
        <v>Orny</v>
      </c>
      <c r="C60" s="190">
        <v>267089.53888877324</v>
      </c>
      <c r="D60" s="626">
        <f>+Synthèse!G59</f>
        <v>247149.50114638929</v>
      </c>
      <c r="E60" s="623">
        <f t="shared" si="0"/>
        <v>-19940.037742383953</v>
      </c>
      <c r="F60" s="189">
        <v>-4506.6908206523804</v>
      </c>
      <c r="G60" s="627">
        <f>+Synthèse!F59</f>
        <v>23407.299965061829</v>
      </c>
      <c r="H60" s="627">
        <f t="shared" si="1"/>
        <v>27913.99078571421</v>
      </c>
      <c r="I60" s="190">
        <v>41190.841273843136</v>
      </c>
      <c r="J60" s="629">
        <f>+Synthèse!H59</f>
        <v>45027.490117536312</v>
      </c>
      <c r="K60" s="629">
        <f t="shared" si="2"/>
        <v>3836.6488436931759</v>
      </c>
    </row>
    <row r="61" spans="1:11" s="193" customFormat="1" ht="15" x14ac:dyDescent="0.25">
      <c r="A61" s="85">
        <f>Données!A61</f>
        <v>5495</v>
      </c>
      <c r="B61" s="302" t="str">
        <f>Données!B61</f>
        <v>Penthalaz</v>
      </c>
      <c r="C61" s="190">
        <v>1542457.5380947096</v>
      </c>
      <c r="D61" s="626">
        <f>+Synthèse!G60</f>
        <v>1365239.2692596139</v>
      </c>
      <c r="E61" s="623">
        <f t="shared" si="0"/>
        <v>-177218.26883509569</v>
      </c>
      <c r="F61" s="189">
        <v>-1048840.0536996489</v>
      </c>
      <c r="G61" s="627">
        <f>+Synthèse!F60</f>
        <v>-428898.80134921568</v>
      </c>
      <c r="H61" s="627">
        <f t="shared" si="1"/>
        <v>619941.25235043326</v>
      </c>
      <c r="I61" s="190">
        <v>291775.90189359209</v>
      </c>
      <c r="J61" s="629">
        <f>+Synthèse!H60</f>
        <v>283633.68673229392</v>
      </c>
      <c r="K61" s="629">
        <f t="shared" si="2"/>
        <v>-8142.2151612981688</v>
      </c>
    </row>
    <row r="62" spans="1:11" s="193" customFormat="1" ht="15" x14ac:dyDescent="0.25">
      <c r="A62" s="85">
        <f>Données!A62</f>
        <v>5496</v>
      </c>
      <c r="B62" s="302" t="str">
        <f>Données!B62</f>
        <v>Penthaz</v>
      </c>
      <c r="C62" s="190">
        <v>959300.04515224393</v>
      </c>
      <c r="D62" s="626">
        <f>+Synthèse!G61</f>
        <v>991699.57977264398</v>
      </c>
      <c r="E62" s="623">
        <f t="shared" si="0"/>
        <v>32399.534620400053</v>
      </c>
      <c r="F62" s="189">
        <v>-310031.10977354296</v>
      </c>
      <c r="G62" s="627">
        <f>+Synthèse!F61</f>
        <v>316227.03776114318</v>
      </c>
      <c r="H62" s="627">
        <f t="shared" si="1"/>
        <v>626258.14753468614</v>
      </c>
      <c r="I62" s="190">
        <v>170900.41105738602</v>
      </c>
      <c r="J62" s="629">
        <f>+Synthèse!H61</f>
        <v>198192.72836824442</v>
      </c>
      <c r="K62" s="629">
        <f t="shared" si="2"/>
        <v>27292.317310858401</v>
      </c>
    </row>
    <row r="63" spans="1:11" s="193" customFormat="1" ht="15" x14ac:dyDescent="0.25">
      <c r="A63" s="85">
        <f>Données!A63</f>
        <v>5497</v>
      </c>
      <c r="B63" s="302" t="str">
        <f>Données!B63</f>
        <v>Pompaples</v>
      </c>
      <c r="C63" s="190">
        <v>371481.90574307216</v>
      </c>
      <c r="D63" s="626">
        <f>+Synthèse!G62</f>
        <v>478401.02719298442</v>
      </c>
      <c r="E63" s="623">
        <f t="shared" si="0"/>
        <v>106919.12144991226</v>
      </c>
      <c r="F63" s="189">
        <v>-122989.01385662693</v>
      </c>
      <c r="G63" s="627">
        <f>+Synthèse!F62</f>
        <v>18038.701805238263</v>
      </c>
      <c r="H63" s="627">
        <f t="shared" si="1"/>
        <v>141027.71566186519</v>
      </c>
      <c r="I63" s="190">
        <v>67619.885478667202</v>
      </c>
      <c r="J63" s="629">
        <f>+Synthèse!H62</f>
        <v>75333.41252197935</v>
      </c>
      <c r="K63" s="629">
        <f t="shared" si="2"/>
        <v>7713.5270433121477</v>
      </c>
    </row>
    <row r="64" spans="1:11" s="193" customFormat="1" ht="15" x14ac:dyDescent="0.25">
      <c r="A64" s="85">
        <f>Données!A64</f>
        <v>5498</v>
      </c>
      <c r="B64" s="302" t="str">
        <f>Données!B64</f>
        <v>La Sarraz</v>
      </c>
      <c r="C64" s="190">
        <v>1095041.3640293046</v>
      </c>
      <c r="D64" s="626">
        <f>+Synthèse!G63</f>
        <v>1103952.7923444717</v>
      </c>
      <c r="E64" s="623">
        <f t="shared" si="0"/>
        <v>8911.4283151670825</v>
      </c>
      <c r="F64" s="189">
        <v>-693905.68241209514</v>
      </c>
      <c r="G64" s="627">
        <f>+Synthèse!F63</f>
        <v>-85994.030993937748</v>
      </c>
      <c r="H64" s="627">
        <f t="shared" si="1"/>
        <v>607911.65141815739</v>
      </c>
      <c r="I64" s="190">
        <v>227284.96861652518</v>
      </c>
      <c r="J64" s="629">
        <f>+Synthèse!H63</f>
        <v>230724.8289350711</v>
      </c>
      <c r="K64" s="629">
        <f t="shared" si="2"/>
        <v>3439.8603185459215</v>
      </c>
    </row>
    <row r="65" spans="1:11" s="193" customFormat="1" ht="15" x14ac:dyDescent="0.25">
      <c r="A65" s="85">
        <f>Données!A65</f>
        <v>5499</v>
      </c>
      <c r="B65" s="302" t="str">
        <f>Données!B65</f>
        <v>Senarclens</v>
      </c>
      <c r="C65" s="190">
        <v>456232.70963142393</v>
      </c>
      <c r="D65" s="626">
        <f>+Synthèse!G64</f>
        <v>409913.02235805977</v>
      </c>
      <c r="E65" s="623">
        <f t="shared" si="0"/>
        <v>-46319.687273364165</v>
      </c>
      <c r="F65" s="189">
        <v>20031.282706674479</v>
      </c>
      <c r="G65" s="627">
        <f>+Synthèse!F64</f>
        <v>430400.54728047433</v>
      </c>
      <c r="H65" s="627">
        <f t="shared" si="1"/>
        <v>410369.26457379985</v>
      </c>
      <c r="I65" s="190">
        <v>55955.916962280848</v>
      </c>
      <c r="J65" s="629">
        <f>+Synthèse!H64</f>
        <v>73664.611494512967</v>
      </c>
      <c r="K65" s="629">
        <f t="shared" si="2"/>
        <v>17708.694532232119</v>
      </c>
    </row>
    <row r="66" spans="1:11" s="193" customFormat="1" ht="15" x14ac:dyDescent="0.25">
      <c r="A66" s="85">
        <f>Données!A66</f>
        <v>5501</v>
      </c>
      <c r="B66" s="302" t="str">
        <f>Données!B66</f>
        <v>Sullens</v>
      </c>
      <c r="C66" s="190">
        <v>857122.74934047787</v>
      </c>
      <c r="D66" s="626">
        <f>+Synthèse!G65</f>
        <v>759204.14489973034</v>
      </c>
      <c r="E66" s="623">
        <f t="shared" si="0"/>
        <v>-97918.604440747527</v>
      </c>
      <c r="F66" s="189">
        <v>402183.22552977008</v>
      </c>
      <c r="G66" s="627">
        <f>+Synthèse!F65</f>
        <v>760133.5244404953</v>
      </c>
      <c r="H66" s="627">
        <f t="shared" si="1"/>
        <v>357950.29891072522</v>
      </c>
      <c r="I66" s="190">
        <v>132468.1505506906</v>
      </c>
      <c r="J66" s="629">
        <f>+Synthèse!H65</f>
        <v>161213.38030794999</v>
      </c>
      <c r="K66" s="629">
        <f t="shared" si="2"/>
        <v>28745.229757259396</v>
      </c>
    </row>
    <row r="67" spans="1:11" s="193" customFormat="1" ht="15" x14ac:dyDescent="0.25">
      <c r="A67" s="85">
        <f>Données!A67</f>
        <v>5503</v>
      </c>
      <c r="B67" s="302" t="str">
        <f>Données!B67</f>
        <v>Vufflens-la-Ville</v>
      </c>
      <c r="C67" s="190">
        <v>1437719.1076436706</v>
      </c>
      <c r="D67" s="626">
        <f>+Synthèse!G66</f>
        <v>1225685.7967978434</v>
      </c>
      <c r="E67" s="623">
        <f t="shared" si="0"/>
        <v>-212033.31084582722</v>
      </c>
      <c r="F67" s="189">
        <v>1281375.0029783822</v>
      </c>
      <c r="G67" s="627">
        <f>+Synthèse!F66</f>
        <v>1240191.2467790616</v>
      </c>
      <c r="H67" s="627">
        <f t="shared" si="1"/>
        <v>-41183.756199320545</v>
      </c>
      <c r="I67" s="190">
        <v>216680.45259380489</v>
      </c>
      <c r="J67" s="629">
        <f>+Synthèse!H66</f>
        <v>209098.8607541027</v>
      </c>
      <c r="K67" s="629">
        <f t="shared" si="2"/>
        <v>-7581.5918397021887</v>
      </c>
    </row>
    <row r="68" spans="1:11" s="193" customFormat="1" ht="15" x14ac:dyDescent="0.25">
      <c r="A68" s="85">
        <f>Données!A68</f>
        <v>5511</v>
      </c>
      <c r="B68" s="302" t="str">
        <f>Données!B68</f>
        <v>Assens</v>
      </c>
      <c r="C68" s="190">
        <v>1481042.2670352741</v>
      </c>
      <c r="D68" s="626">
        <f>+Synthèse!G67</f>
        <v>1103475.9549244589</v>
      </c>
      <c r="E68" s="623">
        <f t="shared" si="0"/>
        <v>-377566.3121108152</v>
      </c>
      <c r="F68" s="189">
        <v>245166.74848679267</v>
      </c>
      <c r="G68" s="627">
        <f>+Synthèse!F67</f>
        <v>877359.63675698906</v>
      </c>
      <c r="H68" s="627">
        <f t="shared" si="1"/>
        <v>632192.88827019639</v>
      </c>
      <c r="I68" s="190">
        <v>214184.07132749842</v>
      </c>
      <c r="J68" s="629">
        <f>+Synthèse!H67</f>
        <v>221595.05755894893</v>
      </c>
      <c r="K68" s="629">
        <f t="shared" si="2"/>
        <v>7410.9862314505153</v>
      </c>
    </row>
    <row r="69" spans="1:11" s="193" customFormat="1" ht="15" x14ac:dyDescent="0.25">
      <c r="A69" s="85">
        <f>Données!A69</f>
        <v>5512</v>
      </c>
      <c r="B69" s="302" t="str">
        <f>Données!B69</f>
        <v>Bercher</v>
      </c>
      <c r="C69" s="190">
        <v>744464.58371376363</v>
      </c>
      <c r="D69" s="626">
        <f>+Synthèse!G68</f>
        <v>589024.20876154234</v>
      </c>
      <c r="E69" s="623">
        <f t="shared" si="0"/>
        <v>-155440.37495222129</v>
      </c>
      <c r="F69" s="189">
        <v>-250888.26474098966</v>
      </c>
      <c r="G69" s="627">
        <f>+Synthèse!F68</f>
        <v>-20882.100181949907</v>
      </c>
      <c r="H69" s="627">
        <f t="shared" si="1"/>
        <v>230006.16455903975</v>
      </c>
      <c r="I69" s="190">
        <v>124443.37032926941</v>
      </c>
      <c r="J69" s="629">
        <f>+Synthèse!H68</f>
        <v>124756.25072108727</v>
      </c>
      <c r="K69" s="629">
        <f t="shared" si="2"/>
        <v>312.88039181786007</v>
      </c>
    </row>
    <row r="70" spans="1:11" s="193" customFormat="1" ht="15" x14ac:dyDescent="0.25">
      <c r="A70" s="85">
        <f>Données!A70</f>
        <v>5514</v>
      </c>
      <c r="B70" s="302" t="str">
        <f>Données!B70</f>
        <v>Bottens</v>
      </c>
      <c r="C70" s="190">
        <v>641581.01864097477</v>
      </c>
      <c r="D70" s="626">
        <f>+Synthèse!G69</f>
        <v>652380.73078015062</v>
      </c>
      <c r="E70" s="623">
        <f t="shared" si="0"/>
        <v>10799.712139175856</v>
      </c>
      <c r="F70" s="189">
        <v>114986.56369386369</v>
      </c>
      <c r="G70" s="627">
        <f>+Synthèse!F69</f>
        <v>114731.37459933176</v>
      </c>
      <c r="H70" s="627">
        <f t="shared" si="1"/>
        <v>-255.18909453193191</v>
      </c>
      <c r="I70" s="190">
        <v>135701.50250504958</v>
      </c>
      <c r="J70" s="629">
        <f>+Synthèse!H69</f>
        <v>133652.03054393109</v>
      </c>
      <c r="K70" s="629">
        <f t="shared" si="2"/>
        <v>-2049.4719611184846</v>
      </c>
    </row>
    <row r="71" spans="1:11" s="193" customFormat="1" ht="15" x14ac:dyDescent="0.25">
      <c r="A71" s="85">
        <f>Données!A71</f>
        <v>5515</v>
      </c>
      <c r="B71" s="302" t="str">
        <f>Données!B71</f>
        <v>Bretigny-sur-Morrens</v>
      </c>
      <c r="C71" s="190">
        <v>513236.21737244917</v>
      </c>
      <c r="D71" s="626">
        <f>+Synthèse!G70</f>
        <v>446117.38271740102</v>
      </c>
      <c r="E71" s="623">
        <f t="shared" ref="E71:E134" si="3">+D71-C71</f>
        <v>-67118.834655048151</v>
      </c>
      <c r="F71" s="189">
        <v>-12043.169331888552</v>
      </c>
      <c r="G71" s="627">
        <f>+Synthèse!F70</f>
        <v>216430.85897224571</v>
      </c>
      <c r="H71" s="627">
        <f t="shared" ref="H71:H134" si="4">+G71-F71</f>
        <v>228474.02830413426</v>
      </c>
      <c r="I71" s="190">
        <v>99440.859770279116</v>
      </c>
      <c r="J71" s="629">
        <f>+Synthèse!H70</f>
        <v>95470.058591496199</v>
      </c>
      <c r="K71" s="629">
        <f t="shared" ref="K71:K134" si="5">+J71-I71</f>
        <v>-3970.8011787829164</v>
      </c>
    </row>
    <row r="72" spans="1:11" s="193" customFormat="1" ht="15" x14ac:dyDescent="0.25">
      <c r="A72" s="85">
        <f>Données!A72</f>
        <v>5516</v>
      </c>
      <c r="B72" s="302" t="str">
        <f>Données!B72</f>
        <v>Cugy</v>
      </c>
      <c r="C72" s="190">
        <v>1734462.32025472</v>
      </c>
      <c r="D72" s="626">
        <f>+Synthèse!G71</f>
        <v>1549959.1415127337</v>
      </c>
      <c r="E72" s="623">
        <f t="shared" si="3"/>
        <v>-184503.1787419864</v>
      </c>
      <c r="F72" s="189">
        <v>659530.57289878512</v>
      </c>
      <c r="G72" s="627">
        <f>+Synthèse!F71</f>
        <v>949187.49721685331</v>
      </c>
      <c r="H72" s="627">
        <f t="shared" si="4"/>
        <v>289656.9243180682</v>
      </c>
      <c r="I72" s="190">
        <v>343968.31827115559</v>
      </c>
      <c r="J72" s="629">
        <f>+Synthèse!H71</f>
        <v>339587.24168452853</v>
      </c>
      <c r="K72" s="629">
        <f t="shared" si="5"/>
        <v>-4381.0765866270522</v>
      </c>
    </row>
    <row r="73" spans="1:11" s="193" customFormat="1" ht="15" x14ac:dyDescent="0.25">
      <c r="A73" s="85">
        <f>Données!A73</f>
        <v>5518</v>
      </c>
      <c r="B73" s="302" t="str">
        <f>Données!B73</f>
        <v>Echallens</v>
      </c>
      <c r="C73" s="190">
        <v>2867020.9894283051</v>
      </c>
      <c r="D73" s="626">
        <f>+Synthèse!G72</f>
        <v>3627330.4470353671</v>
      </c>
      <c r="E73" s="623">
        <f t="shared" si="3"/>
        <v>760309.45760706207</v>
      </c>
      <c r="F73" s="189">
        <v>-2148193.1258632811</v>
      </c>
      <c r="G73" s="627">
        <f>+Synthèse!F72</f>
        <v>-1597088.5417012339</v>
      </c>
      <c r="H73" s="627">
        <f t="shared" si="4"/>
        <v>551104.58416204713</v>
      </c>
      <c r="I73" s="190">
        <v>557951.57985081384</v>
      </c>
      <c r="J73" s="629">
        <f>+Synthèse!H72</f>
        <v>595836.53504744952</v>
      </c>
      <c r="K73" s="629">
        <f t="shared" si="5"/>
        <v>37884.955196635681</v>
      </c>
    </row>
    <row r="74" spans="1:11" s="193" customFormat="1" ht="15" x14ac:dyDescent="0.25">
      <c r="A74" s="85">
        <f>Données!A74</f>
        <v>5520</v>
      </c>
      <c r="B74" s="302" t="str">
        <f>Données!B74</f>
        <v>Essertines-sur-Yverdon</v>
      </c>
      <c r="C74" s="190">
        <v>460499.24569750077</v>
      </c>
      <c r="D74" s="626">
        <f>+Synthèse!G73</f>
        <v>533218.46190102224</v>
      </c>
      <c r="E74" s="623">
        <f t="shared" si="3"/>
        <v>72719.216203521471</v>
      </c>
      <c r="F74" s="189">
        <v>-169206.27346982306</v>
      </c>
      <c r="G74" s="627">
        <f>+Synthèse!F73</f>
        <v>-22618.494732429506</v>
      </c>
      <c r="H74" s="627">
        <f t="shared" si="4"/>
        <v>146587.77873739356</v>
      </c>
      <c r="I74" s="190">
        <v>96709.509486913987</v>
      </c>
      <c r="J74" s="629">
        <f>+Synthèse!H73</f>
        <v>96083.433955612403</v>
      </c>
      <c r="K74" s="629">
        <f t="shared" si="5"/>
        <v>-626.0755313015834</v>
      </c>
    </row>
    <row r="75" spans="1:11" s="193" customFormat="1" ht="15" x14ac:dyDescent="0.25">
      <c r="A75" s="85">
        <f>Données!A75</f>
        <v>5521</v>
      </c>
      <c r="B75" s="302" t="str">
        <f>Données!B75</f>
        <v>Etagnières</v>
      </c>
      <c r="C75" s="190">
        <v>666693.74210520834</v>
      </c>
      <c r="D75" s="626">
        <f>+Synthèse!G74</f>
        <v>623545.41947964311</v>
      </c>
      <c r="E75" s="623">
        <f t="shared" si="3"/>
        <v>-43148.322625565226</v>
      </c>
      <c r="F75" s="189">
        <v>278634.06124907732</v>
      </c>
      <c r="G75" s="627">
        <f>+Synthèse!F74</f>
        <v>401325.8732240012</v>
      </c>
      <c r="H75" s="627">
        <f t="shared" si="4"/>
        <v>122691.81197492388</v>
      </c>
      <c r="I75" s="190">
        <v>129793.09199216435</v>
      </c>
      <c r="J75" s="629">
        <f>+Synthèse!H74</f>
        <v>132489.02980638333</v>
      </c>
      <c r="K75" s="629">
        <f t="shared" si="5"/>
        <v>2695.9378142189817</v>
      </c>
    </row>
    <row r="76" spans="1:11" s="193" customFormat="1" ht="15" x14ac:dyDescent="0.25">
      <c r="A76" s="85">
        <f>Données!A76</f>
        <v>5522</v>
      </c>
      <c r="B76" s="302" t="str">
        <f>Données!B76</f>
        <v>Fey</v>
      </c>
      <c r="C76" s="190">
        <v>346079.26767299749</v>
      </c>
      <c r="D76" s="626">
        <f>+Synthèse!G75</f>
        <v>382964.83464069245</v>
      </c>
      <c r="E76" s="623">
        <f t="shared" si="3"/>
        <v>36885.566967694962</v>
      </c>
      <c r="F76" s="189">
        <v>54615.785462690284</v>
      </c>
      <c r="G76" s="627">
        <f>+Synthèse!F75</f>
        <v>10548.464572863537</v>
      </c>
      <c r="H76" s="627">
        <f t="shared" si="4"/>
        <v>-44067.320889826748</v>
      </c>
      <c r="I76" s="190">
        <v>73218.921945241949</v>
      </c>
      <c r="J76" s="629">
        <f>+Synthèse!H75</f>
        <v>67800.760058981425</v>
      </c>
      <c r="K76" s="629">
        <f t="shared" si="5"/>
        <v>-5418.1618862605246</v>
      </c>
    </row>
    <row r="77" spans="1:11" s="193" customFormat="1" ht="15" x14ac:dyDescent="0.25">
      <c r="A77" s="85">
        <f>Données!A77</f>
        <v>5523</v>
      </c>
      <c r="B77" s="302" t="str">
        <f>Données!B77</f>
        <v>Froideville</v>
      </c>
      <c r="C77" s="190">
        <v>1695478.4785619976</v>
      </c>
      <c r="D77" s="626">
        <f>+Synthèse!G76</f>
        <v>1291044.4774199247</v>
      </c>
      <c r="E77" s="623">
        <f t="shared" si="3"/>
        <v>-404434.00114207296</v>
      </c>
      <c r="F77" s="189">
        <v>190894.11172008514</v>
      </c>
      <c r="G77" s="627">
        <f>+Synthèse!F76</f>
        <v>145196.73628175305</v>
      </c>
      <c r="H77" s="627">
        <f t="shared" si="4"/>
        <v>-45697.375438332092</v>
      </c>
      <c r="I77" s="190">
        <v>286333.61338128592</v>
      </c>
      <c r="J77" s="629">
        <f>+Synthèse!H76</f>
        <v>273159.17093168409</v>
      </c>
      <c r="K77" s="629">
        <f t="shared" si="5"/>
        <v>-13174.442449601833</v>
      </c>
    </row>
    <row r="78" spans="1:11" s="193" customFormat="1" ht="15" x14ac:dyDescent="0.25">
      <c r="A78" s="85">
        <f>Données!A78</f>
        <v>5527</v>
      </c>
      <c r="B78" s="302" t="str">
        <f>Données!B78</f>
        <v>Morrens</v>
      </c>
      <c r="C78" s="190">
        <v>631951.266889408</v>
      </c>
      <c r="D78" s="626">
        <f>+Synthèse!G77</f>
        <v>643541.89323291904</v>
      </c>
      <c r="E78" s="623">
        <f t="shared" si="3"/>
        <v>11590.626343511045</v>
      </c>
      <c r="F78" s="189">
        <v>196024.4057051437</v>
      </c>
      <c r="G78" s="627">
        <f>+Synthèse!F77</f>
        <v>348263.09218670719</v>
      </c>
      <c r="H78" s="627">
        <f t="shared" si="4"/>
        <v>152238.68648156349</v>
      </c>
      <c r="I78" s="190">
        <v>120284.45390045687</v>
      </c>
      <c r="J78" s="629">
        <f>+Synthèse!H77</f>
        <v>127116.72260268289</v>
      </c>
      <c r="K78" s="629">
        <f t="shared" si="5"/>
        <v>6832.2687022260216</v>
      </c>
    </row>
    <row r="79" spans="1:11" s="193" customFormat="1" ht="15" x14ac:dyDescent="0.25">
      <c r="A79" s="85">
        <f>Données!A79</f>
        <v>5529</v>
      </c>
      <c r="B79" s="302" t="str">
        <f>Données!B79</f>
        <v>Oulens-sous-Echallens</v>
      </c>
      <c r="C79" s="190">
        <v>411608.65618851094</v>
      </c>
      <c r="D79" s="626">
        <f>+Synthèse!G78</f>
        <v>292359.28670352622</v>
      </c>
      <c r="E79" s="623">
        <f t="shared" si="3"/>
        <v>-119249.36948498472</v>
      </c>
      <c r="F79" s="189">
        <v>23594.820130852109</v>
      </c>
      <c r="G79" s="627">
        <f>+Synthèse!F78</f>
        <v>228934.13108252629</v>
      </c>
      <c r="H79" s="627">
        <f t="shared" si="4"/>
        <v>205339.31095167418</v>
      </c>
      <c r="I79" s="190">
        <v>64503.628273502676</v>
      </c>
      <c r="J79" s="629">
        <f>+Synthèse!H78</f>
        <v>67869.4412762461</v>
      </c>
      <c r="K79" s="629">
        <f t="shared" si="5"/>
        <v>3365.8130027434236</v>
      </c>
    </row>
    <row r="80" spans="1:11" s="193" customFormat="1" ht="15" x14ac:dyDescent="0.25">
      <c r="A80" s="85">
        <f>Données!A80</f>
        <v>5530</v>
      </c>
      <c r="B80" s="302" t="str">
        <f>Données!B80</f>
        <v>Pailly</v>
      </c>
      <c r="C80" s="190">
        <v>307277.39592008304</v>
      </c>
      <c r="D80" s="626">
        <f>+Synthèse!G79</f>
        <v>292201.10963775986</v>
      </c>
      <c r="E80" s="623">
        <f t="shared" si="3"/>
        <v>-15076.286282323184</v>
      </c>
      <c r="F80" s="189">
        <v>-684290.79293732112</v>
      </c>
      <c r="G80" s="627">
        <f>+Synthèse!F79</f>
        <v>137800.71591298122</v>
      </c>
      <c r="H80" s="627">
        <f t="shared" si="4"/>
        <v>822091.50885030231</v>
      </c>
      <c r="I80" s="190">
        <v>59340.783529832734</v>
      </c>
      <c r="J80" s="629">
        <f>+Synthèse!H79</f>
        <v>61264.648282814633</v>
      </c>
      <c r="K80" s="629">
        <f t="shared" si="5"/>
        <v>1923.8647529818991</v>
      </c>
    </row>
    <row r="81" spans="1:11" s="193" customFormat="1" ht="15" x14ac:dyDescent="0.25">
      <c r="A81" s="85">
        <f>Données!A81</f>
        <v>5531</v>
      </c>
      <c r="B81" s="302" t="str">
        <f>Données!B81</f>
        <v>Penthéréaz</v>
      </c>
      <c r="C81" s="190">
        <v>243534.14040082615</v>
      </c>
      <c r="D81" s="626">
        <f>+Synthèse!G80</f>
        <v>302529.67903065204</v>
      </c>
      <c r="E81" s="623">
        <f t="shared" si="3"/>
        <v>58995.538629825896</v>
      </c>
      <c r="F81" s="189">
        <v>11150.734318471747</v>
      </c>
      <c r="G81" s="627">
        <f>+Synthèse!F80</f>
        <v>176532.49495010797</v>
      </c>
      <c r="H81" s="627">
        <f t="shared" si="4"/>
        <v>165381.76063163622</v>
      </c>
      <c r="I81" s="190">
        <v>43852.99315137809</v>
      </c>
      <c r="J81" s="629">
        <f>+Synthèse!H80</f>
        <v>51299.77820340266</v>
      </c>
      <c r="K81" s="629">
        <f t="shared" si="5"/>
        <v>7446.7850520245702</v>
      </c>
    </row>
    <row r="82" spans="1:11" s="193" customFormat="1" ht="15" x14ac:dyDescent="0.25">
      <c r="A82" s="85">
        <f>Données!A82</f>
        <v>5533</v>
      </c>
      <c r="B82" s="302" t="str">
        <f>Données!B82</f>
        <v>Poliez-Pittet</v>
      </c>
      <c r="C82" s="190">
        <v>365462.71928225301</v>
      </c>
      <c r="D82" s="626">
        <f>+Synthèse!G81</f>
        <v>405373.38718321372</v>
      </c>
      <c r="E82" s="623">
        <f t="shared" si="3"/>
        <v>39910.667900960718</v>
      </c>
      <c r="F82" s="189">
        <v>84875.005151263904</v>
      </c>
      <c r="G82" s="627">
        <f>+Synthèse!F81</f>
        <v>65997.059455177165</v>
      </c>
      <c r="H82" s="627">
        <f t="shared" si="4"/>
        <v>-18877.945696086739</v>
      </c>
      <c r="I82" s="190">
        <v>84398.695595665195</v>
      </c>
      <c r="J82" s="629">
        <f>+Synthèse!H81</f>
        <v>80243.085261557979</v>
      </c>
      <c r="K82" s="629">
        <f t="shared" si="5"/>
        <v>-4155.6103341072157</v>
      </c>
    </row>
    <row r="83" spans="1:11" s="193" customFormat="1" ht="15" x14ac:dyDescent="0.25">
      <c r="A83" s="85">
        <f>Données!A83</f>
        <v>5534</v>
      </c>
      <c r="B83" s="302" t="str">
        <f>Données!B83</f>
        <v>Rueyres</v>
      </c>
      <c r="C83" s="190">
        <v>227488.35821795237</v>
      </c>
      <c r="D83" s="626">
        <f>+Synthèse!G82</f>
        <v>210683.29080456728</v>
      </c>
      <c r="E83" s="623">
        <f t="shared" si="3"/>
        <v>-16805.067413385084</v>
      </c>
      <c r="F83" s="189">
        <v>178213.78034417215</v>
      </c>
      <c r="G83" s="627">
        <f>+Synthèse!F82</f>
        <v>266991.39900495816</v>
      </c>
      <c r="H83" s="627">
        <f t="shared" si="4"/>
        <v>88777.618660786015</v>
      </c>
      <c r="I83" s="190">
        <v>40024.363544629043</v>
      </c>
      <c r="J83" s="629">
        <f>+Synthèse!H82</f>
        <v>45441.106338174897</v>
      </c>
      <c r="K83" s="629">
        <f t="shared" si="5"/>
        <v>5416.7427935458545</v>
      </c>
    </row>
    <row r="84" spans="1:11" s="193" customFormat="1" ht="15" x14ac:dyDescent="0.25">
      <c r="A84" s="85">
        <f>Données!A84</f>
        <v>5535</v>
      </c>
      <c r="B84" s="302" t="str">
        <f>Données!B84</f>
        <v>Saint-Barthélemy</v>
      </c>
      <c r="C84" s="190">
        <v>379714.98574610299</v>
      </c>
      <c r="D84" s="626">
        <f>+Synthèse!G83</f>
        <v>377300.61704649491</v>
      </c>
      <c r="E84" s="623">
        <f t="shared" si="3"/>
        <v>-2414.3686996080796</v>
      </c>
      <c r="F84" s="189">
        <v>31557.173893533763</v>
      </c>
      <c r="G84" s="627">
        <f>+Synthèse!F83</f>
        <v>105741.70374911604</v>
      </c>
      <c r="H84" s="627">
        <f t="shared" si="4"/>
        <v>74184.529855582281</v>
      </c>
      <c r="I84" s="190">
        <v>76906.00083392646</v>
      </c>
      <c r="J84" s="629">
        <f>+Synthèse!H83</f>
        <v>80861.830653328187</v>
      </c>
      <c r="K84" s="629">
        <f t="shared" si="5"/>
        <v>3955.8298194017261</v>
      </c>
    </row>
    <row r="85" spans="1:11" s="193" customFormat="1" ht="15" x14ac:dyDescent="0.25">
      <c r="A85" s="85">
        <f>Données!A85</f>
        <v>5537</v>
      </c>
      <c r="B85" s="302" t="str">
        <f>Données!B85</f>
        <v>Villars-le-Terroir</v>
      </c>
      <c r="C85" s="190">
        <v>602378.93483354908</v>
      </c>
      <c r="D85" s="626">
        <f>+Synthèse!G84</f>
        <v>547299.46050991816</v>
      </c>
      <c r="E85" s="623">
        <f t="shared" si="3"/>
        <v>-55079.474323630915</v>
      </c>
      <c r="F85" s="189">
        <v>79179.615649796324</v>
      </c>
      <c r="G85" s="627">
        <f>+Synthèse!F84</f>
        <v>-151042.88817587832</v>
      </c>
      <c r="H85" s="627">
        <f t="shared" si="4"/>
        <v>-230222.50382567465</v>
      </c>
      <c r="I85" s="190">
        <v>131794.2641722624</v>
      </c>
      <c r="J85" s="629">
        <f>+Synthèse!H84</f>
        <v>108744.37623866234</v>
      </c>
      <c r="K85" s="629">
        <f t="shared" si="5"/>
        <v>-23049.887933600054</v>
      </c>
    </row>
    <row r="86" spans="1:11" s="193" customFormat="1" ht="15" x14ac:dyDescent="0.25">
      <c r="A86" s="85">
        <f>Données!A86</f>
        <v>5539</v>
      </c>
      <c r="B86" s="302" t="str">
        <f>Données!B86</f>
        <v>Vuarrens</v>
      </c>
      <c r="C86" s="190">
        <v>564099.30689304799</v>
      </c>
      <c r="D86" s="626">
        <f>+Synthèse!G85</f>
        <v>504465.99667599995</v>
      </c>
      <c r="E86" s="623">
        <f t="shared" si="3"/>
        <v>-59633.310217048042</v>
      </c>
      <c r="F86" s="189">
        <v>78677.087421498261</v>
      </c>
      <c r="G86" s="627">
        <f>+Synthèse!F85</f>
        <v>13114.765723438933</v>
      </c>
      <c r="H86" s="627">
        <f t="shared" si="4"/>
        <v>-65562.321698059328</v>
      </c>
      <c r="I86" s="190">
        <v>106030.07104591942</v>
      </c>
      <c r="J86" s="629">
        <f>+Synthèse!H85</f>
        <v>98134.673399966807</v>
      </c>
      <c r="K86" s="629">
        <f t="shared" si="5"/>
        <v>-7895.3976459526166</v>
      </c>
    </row>
    <row r="87" spans="1:11" s="193" customFormat="1" ht="15" x14ac:dyDescent="0.25">
      <c r="A87" s="85">
        <f>Données!A87</f>
        <v>5540</v>
      </c>
      <c r="B87" s="302" t="str">
        <f>Données!B87</f>
        <v>Montilliez</v>
      </c>
      <c r="C87" s="190">
        <v>952578.63797295908</v>
      </c>
      <c r="D87" s="626">
        <f>+Synthèse!G86</f>
        <v>970212.24991730531</v>
      </c>
      <c r="E87" s="623">
        <f t="shared" si="3"/>
        <v>17633.611944346223</v>
      </c>
      <c r="F87" s="189">
        <v>89628.087240702473</v>
      </c>
      <c r="G87" s="627">
        <f>+Synthèse!F86</f>
        <v>553350.12166601978</v>
      </c>
      <c r="H87" s="627">
        <f t="shared" si="4"/>
        <v>463722.03442531731</v>
      </c>
      <c r="I87" s="190">
        <v>194151.22000904343</v>
      </c>
      <c r="J87" s="629">
        <f>+Synthèse!H86</f>
        <v>220737.71287420564</v>
      </c>
      <c r="K87" s="629">
        <f t="shared" si="5"/>
        <v>26586.492865162203</v>
      </c>
    </row>
    <row r="88" spans="1:11" s="193" customFormat="1" ht="15" x14ac:dyDescent="0.25">
      <c r="A88" s="85">
        <f>Données!A88</f>
        <v>5541</v>
      </c>
      <c r="B88" s="302" t="str">
        <f>Données!B88</f>
        <v>Goumoëns</v>
      </c>
      <c r="C88" s="190">
        <v>603174.69885353022</v>
      </c>
      <c r="D88" s="626">
        <f>+Synthèse!G87</f>
        <v>540837.89499756519</v>
      </c>
      <c r="E88" s="623">
        <f t="shared" si="3"/>
        <v>-62336.80385596503</v>
      </c>
      <c r="F88" s="189">
        <v>244413.06124932575</v>
      </c>
      <c r="G88" s="627">
        <f>+Synthèse!F87</f>
        <v>214135.10512291372</v>
      </c>
      <c r="H88" s="627">
        <f t="shared" si="4"/>
        <v>-30277.956126412028</v>
      </c>
      <c r="I88" s="190">
        <v>127262.55710965861</v>
      </c>
      <c r="J88" s="629">
        <f>+Synthèse!H87</f>
        <v>126613.11234681611</v>
      </c>
      <c r="K88" s="629">
        <f t="shared" si="5"/>
        <v>-649.44476284249686</v>
      </c>
    </row>
    <row r="89" spans="1:11" s="193" customFormat="1" ht="15" x14ac:dyDescent="0.25">
      <c r="A89" s="85">
        <f>Données!A89</f>
        <v>5551</v>
      </c>
      <c r="B89" s="302" t="str">
        <f>Données!B89</f>
        <v>Bonvillars</v>
      </c>
      <c r="C89" s="190">
        <v>292092.82369537128</v>
      </c>
      <c r="D89" s="626">
        <f>+Synthèse!G88</f>
        <v>261937.93838738426</v>
      </c>
      <c r="E89" s="623">
        <f t="shared" si="3"/>
        <v>-30154.885307987017</v>
      </c>
      <c r="F89" s="189">
        <v>120925.64278869782</v>
      </c>
      <c r="G89" s="627">
        <f>+Synthèse!F88</f>
        <v>206739.0153691406</v>
      </c>
      <c r="H89" s="627">
        <f t="shared" si="4"/>
        <v>85813.372580442781</v>
      </c>
      <c r="I89" s="190">
        <v>55728.782632211063</v>
      </c>
      <c r="J89" s="629">
        <f>+Synthèse!H88</f>
        <v>54740.147211651318</v>
      </c>
      <c r="K89" s="629">
        <f t="shared" si="5"/>
        <v>-988.6354205597454</v>
      </c>
    </row>
    <row r="90" spans="1:11" s="193" customFormat="1" ht="15" x14ac:dyDescent="0.25">
      <c r="A90" s="85">
        <f>Données!A90</f>
        <v>5552</v>
      </c>
      <c r="B90" s="302" t="str">
        <f>Données!B90</f>
        <v>Bullet</v>
      </c>
      <c r="C90" s="190">
        <v>449795.43360071484</v>
      </c>
      <c r="D90" s="626">
        <f>+Synthèse!G89</f>
        <v>479389.2947716713</v>
      </c>
      <c r="E90" s="623">
        <f t="shared" si="3"/>
        <v>29593.861170956457</v>
      </c>
      <c r="F90" s="189">
        <v>-157015.04909952777</v>
      </c>
      <c r="G90" s="627">
        <f>+Synthèse!F89</f>
        <v>52167.490053366695</v>
      </c>
      <c r="H90" s="627">
        <f t="shared" si="4"/>
        <v>209182.53915289446</v>
      </c>
      <c r="I90" s="190">
        <v>59443.243842538985</v>
      </c>
      <c r="J90" s="629">
        <f>+Synthèse!H89</f>
        <v>59874.683894099406</v>
      </c>
      <c r="K90" s="629">
        <f t="shared" si="5"/>
        <v>431.44005156042113</v>
      </c>
    </row>
    <row r="91" spans="1:11" s="193" customFormat="1" ht="15" x14ac:dyDescent="0.25">
      <c r="A91" s="85">
        <f>Données!A91</f>
        <v>5553</v>
      </c>
      <c r="B91" s="302" t="str">
        <f>Données!B91</f>
        <v>Champagne</v>
      </c>
      <c r="C91" s="190">
        <v>632452.68731048016</v>
      </c>
      <c r="D91" s="626">
        <f>+Synthèse!G90</f>
        <v>625608.59848231962</v>
      </c>
      <c r="E91" s="623">
        <f t="shared" si="3"/>
        <v>-6844.0888281605439</v>
      </c>
      <c r="F91" s="189">
        <v>172882.63918939466</v>
      </c>
      <c r="G91" s="627">
        <f>+Synthèse!F90</f>
        <v>257789.43562998914</v>
      </c>
      <c r="H91" s="627">
        <f t="shared" si="4"/>
        <v>84906.79644059448</v>
      </c>
      <c r="I91" s="190">
        <v>121427.6527961152</v>
      </c>
      <c r="J91" s="629">
        <f>+Synthèse!H90</f>
        <v>104401.35462034648</v>
      </c>
      <c r="K91" s="629">
        <f t="shared" si="5"/>
        <v>-17026.298175768723</v>
      </c>
    </row>
    <row r="92" spans="1:11" s="193" customFormat="1" ht="15" x14ac:dyDescent="0.25">
      <c r="A92" s="85">
        <f>Données!A92</f>
        <v>5554</v>
      </c>
      <c r="B92" s="302" t="str">
        <f>Données!B92</f>
        <v>Concise</v>
      </c>
      <c r="C92" s="190">
        <v>1075306.9487601181</v>
      </c>
      <c r="D92" s="626">
        <f>+Synthèse!G91</f>
        <v>1677260.8191268933</v>
      </c>
      <c r="E92" s="623">
        <f t="shared" si="3"/>
        <v>601953.8703667752</v>
      </c>
      <c r="F92" s="189">
        <v>-141545.66955192899</v>
      </c>
      <c r="G92" s="627">
        <f>+Synthèse!F91</f>
        <v>186934.62194168405</v>
      </c>
      <c r="H92" s="627">
        <f t="shared" si="4"/>
        <v>328480.29149361304</v>
      </c>
      <c r="I92" s="190">
        <v>96598.639504429593</v>
      </c>
      <c r="J92" s="629">
        <f>+Synthèse!H91</f>
        <v>101687.52536886408</v>
      </c>
      <c r="K92" s="629">
        <f t="shared" si="5"/>
        <v>5088.8858644344873</v>
      </c>
    </row>
    <row r="93" spans="1:11" s="193" customFormat="1" ht="15" x14ac:dyDescent="0.25">
      <c r="A93" s="85">
        <f>Données!A93</f>
        <v>5555</v>
      </c>
      <c r="B93" s="302" t="str">
        <f>Données!B93</f>
        <v>Corcelles-près-Concise</v>
      </c>
      <c r="C93" s="190">
        <v>228999.32987409062</v>
      </c>
      <c r="D93" s="626">
        <f>+Synthèse!G92</f>
        <v>250556.49257943296</v>
      </c>
      <c r="E93" s="623">
        <f t="shared" si="3"/>
        <v>21557.162705342344</v>
      </c>
      <c r="F93" s="189">
        <v>-111090.08608681412</v>
      </c>
      <c r="G93" s="627">
        <f>+Synthèse!F92</f>
        <v>67265.477171572798</v>
      </c>
      <c r="H93" s="627">
        <f t="shared" si="4"/>
        <v>178355.56325838692</v>
      </c>
      <c r="I93" s="190">
        <v>42021.29135953998</v>
      </c>
      <c r="J93" s="629">
        <f>+Synthèse!H92</f>
        <v>39678.342753370263</v>
      </c>
      <c r="K93" s="629">
        <f t="shared" si="5"/>
        <v>-2342.9486061697171</v>
      </c>
    </row>
    <row r="94" spans="1:11" s="193" customFormat="1" ht="15" x14ac:dyDescent="0.25">
      <c r="A94" s="85">
        <f>Données!A94</f>
        <v>5556</v>
      </c>
      <c r="B94" s="302" t="str">
        <f>Données!B94</f>
        <v>Fiez</v>
      </c>
      <c r="C94" s="190">
        <v>213968.46529231436</v>
      </c>
      <c r="D94" s="626">
        <f>+Synthèse!G93</f>
        <v>158626.54928433753</v>
      </c>
      <c r="E94" s="623">
        <f t="shared" si="3"/>
        <v>-55341.916007976833</v>
      </c>
      <c r="F94" s="189">
        <v>24798.383892392827</v>
      </c>
      <c r="G94" s="627">
        <f>+Synthèse!F93</f>
        <v>28322.982073005667</v>
      </c>
      <c r="H94" s="627">
        <f t="shared" si="4"/>
        <v>3524.5981806128402</v>
      </c>
      <c r="I94" s="190">
        <v>44736.726425097033</v>
      </c>
      <c r="J94" s="629">
        <f>+Synthèse!H93</f>
        <v>38084.81937217783</v>
      </c>
      <c r="K94" s="629">
        <f t="shared" si="5"/>
        <v>-6651.9070529192031</v>
      </c>
    </row>
    <row r="95" spans="1:11" s="193" customFormat="1" ht="15" x14ac:dyDescent="0.25">
      <c r="A95" s="85">
        <f>Données!A95</f>
        <v>5557</v>
      </c>
      <c r="B95" s="302" t="str">
        <f>Données!B95</f>
        <v>Fontaines-sur-Grandson</v>
      </c>
      <c r="C95" s="190">
        <v>60373.077808061229</v>
      </c>
      <c r="D95" s="626">
        <f>+Synthèse!G94</f>
        <v>62959.808702163806</v>
      </c>
      <c r="E95" s="623">
        <f t="shared" si="3"/>
        <v>2586.7308941025767</v>
      </c>
      <c r="F95" s="189">
        <v>-100439.70170387672</v>
      </c>
      <c r="G95" s="627">
        <f>+Synthèse!F94</f>
        <v>-33129.19792736051</v>
      </c>
      <c r="H95" s="627">
        <f t="shared" si="4"/>
        <v>67310.503776516212</v>
      </c>
      <c r="I95" s="190">
        <v>12598.837097825632</v>
      </c>
      <c r="J95" s="629">
        <f>+Synthèse!H94</f>
        <v>13545.300987694329</v>
      </c>
      <c r="K95" s="629">
        <f t="shared" si="5"/>
        <v>946.46388986869715</v>
      </c>
    </row>
    <row r="96" spans="1:11" s="193" customFormat="1" ht="15" x14ac:dyDescent="0.25">
      <c r="A96" s="85">
        <f>Données!A96</f>
        <v>5559</v>
      </c>
      <c r="B96" s="302" t="str">
        <f>Données!B96</f>
        <v>Giez</v>
      </c>
      <c r="C96" s="190">
        <v>420811.29355427809</v>
      </c>
      <c r="D96" s="626">
        <f>+Synthèse!G95</f>
        <v>295925.08086107619</v>
      </c>
      <c r="E96" s="623">
        <f t="shared" si="3"/>
        <v>-124886.2126932019</v>
      </c>
      <c r="F96" s="189">
        <v>394480.06143632869</v>
      </c>
      <c r="G96" s="627">
        <f>+Synthèse!F95</f>
        <v>270154.25002196652</v>
      </c>
      <c r="H96" s="627">
        <f t="shared" si="4"/>
        <v>-124325.81141436216</v>
      </c>
      <c r="I96" s="190">
        <v>67900.883227010068</v>
      </c>
      <c r="J96" s="629">
        <f>+Synthèse!H95</f>
        <v>58906.201689988156</v>
      </c>
      <c r="K96" s="629">
        <f t="shared" si="5"/>
        <v>-8994.6815370219119</v>
      </c>
    </row>
    <row r="97" spans="1:11" s="193" customFormat="1" ht="15" x14ac:dyDescent="0.25">
      <c r="A97" s="85">
        <f>Données!A97</f>
        <v>5560</v>
      </c>
      <c r="B97" s="302" t="str">
        <f>Données!B97</f>
        <v>Grandevent</v>
      </c>
      <c r="C97" s="190">
        <v>132775.34940299293</v>
      </c>
      <c r="D97" s="626">
        <f>+Synthèse!G96</f>
        <v>120880.93881173238</v>
      </c>
      <c r="E97" s="623">
        <f t="shared" si="3"/>
        <v>-11894.410591260545</v>
      </c>
      <c r="F97" s="189">
        <v>7727.2874209694855</v>
      </c>
      <c r="G97" s="627">
        <f>+Synthèse!F96</f>
        <v>52421.542625609261</v>
      </c>
      <c r="H97" s="627">
        <f t="shared" si="4"/>
        <v>44694.255204639776</v>
      </c>
      <c r="I97" s="190">
        <v>21314.554374723535</v>
      </c>
      <c r="J97" s="629">
        <f>+Synthèse!H96</f>
        <v>23858.287131530338</v>
      </c>
      <c r="K97" s="629">
        <f t="shared" si="5"/>
        <v>2543.7327568068031</v>
      </c>
    </row>
    <row r="98" spans="1:11" s="193" customFormat="1" ht="15" x14ac:dyDescent="0.25">
      <c r="A98" s="85">
        <f>Données!A98</f>
        <v>5561</v>
      </c>
      <c r="B98" s="302" t="str">
        <f>Données!B98</f>
        <v>Grandson</v>
      </c>
      <c r="C98" s="190">
        <v>2091686.8807075201</v>
      </c>
      <c r="D98" s="626">
        <f>+Synthèse!G97</f>
        <v>2729035.0466369065</v>
      </c>
      <c r="E98" s="623">
        <f t="shared" si="3"/>
        <v>637348.16592938639</v>
      </c>
      <c r="F98" s="189">
        <v>-737431.53370683175</v>
      </c>
      <c r="G98" s="627">
        <f>+Synthèse!F97</f>
        <v>2394456.2479609</v>
      </c>
      <c r="H98" s="627">
        <f t="shared" si="4"/>
        <v>3131887.7816677317</v>
      </c>
      <c r="I98" s="190">
        <v>349604.56967079284</v>
      </c>
      <c r="J98" s="629">
        <f>+Synthèse!H97</f>
        <v>510942.99054446956</v>
      </c>
      <c r="K98" s="629">
        <f t="shared" si="5"/>
        <v>161338.42087367672</v>
      </c>
    </row>
    <row r="99" spans="1:11" s="193" customFormat="1" ht="15" x14ac:dyDescent="0.25">
      <c r="A99" s="85">
        <f>Données!A99</f>
        <v>5562</v>
      </c>
      <c r="B99" s="302" t="str">
        <f>Données!B99</f>
        <v>Mauborget</v>
      </c>
      <c r="C99" s="190">
        <v>99456.67527077737</v>
      </c>
      <c r="D99" s="626">
        <f>+Synthèse!G98</f>
        <v>96883.805271840538</v>
      </c>
      <c r="E99" s="623">
        <f t="shared" si="3"/>
        <v>-2572.8699989368324</v>
      </c>
      <c r="F99" s="189">
        <v>83423.537954083993</v>
      </c>
      <c r="G99" s="627">
        <f>+Synthèse!F98</f>
        <v>45229.33059119992</v>
      </c>
      <c r="H99" s="627">
        <f t="shared" si="4"/>
        <v>-38194.207362884074</v>
      </c>
      <c r="I99" s="190">
        <v>18722.610569951426</v>
      </c>
      <c r="J99" s="629">
        <f>+Synthèse!H98</f>
        <v>14473.745410526724</v>
      </c>
      <c r="K99" s="629">
        <f t="shared" si="5"/>
        <v>-4248.8651594247021</v>
      </c>
    </row>
    <row r="100" spans="1:11" s="193" customFormat="1" ht="15" x14ac:dyDescent="0.25">
      <c r="A100" s="85">
        <f>Données!A100</f>
        <v>5563</v>
      </c>
      <c r="B100" s="302" t="str">
        <f>Données!B100</f>
        <v>Mutrux</v>
      </c>
      <c r="C100" s="190">
        <v>93830.127993141519</v>
      </c>
      <c r="D100" s="626">
        <f>+Synthèse!G99</f>
        <v>44786.780612878625</v>
      </c>
      <c r="E100" s="623">
        <f t="shared" si="3"/>
        <v>-49043.347380262894</v>
      </c>
      <c r="F100" s="189">
        <v>-33675.228608976424</v>
      </c>
      <c r="G100" s="627">
        <f>+Synthèse!F99</f>
        <v>-68076.698612878623</v>
      </c>
      <c r="H100" s="627">
        <f t="shared" si="4"/>
        <v>-34401.470003902199</v>
      </c>
      <c r="I100" s="190">
        <v>13252.208463559744</v>
      </c>
      <c r="J100" s="629">
        <f>+Synthèse!H99</f>
        <v>8504.3494071945497</v>
      </c>
      <c r="K100" s="629">
        <f t="shared" si="5"/>
        <v>-4747.8590563651942</v>
      </c>
    </row>
    <row r="101" spans="1:11" s="193" customFormat="1" ht="15" x14ac:dyDescent="0.25">
      <c r="A101" s="85">
        <f>Données!A101</f>
        <v>5564</v>
      </c>
      <c r="B101" s="302" t="str">
        <f>Données!B101</f>
        <v>Novalles</v>
      </c>
      <c r="C101" s="190">
        <v>28483.187224289744</v>
      </c>
      <c r="D101" s="626">
        <f>+Synthèse!G100</f>
        <v>31248.307417882992</v>
      </c>
      <c r="E101" s="623">
        <f t="shared" si="3"/>
        <v>2765.1201935932477</v>
      </c>
      <c r="F101" s="189">
        <v>-69456.310132981191</v>
      </c>
      <c r="G101" s="627">
        <f>+Synthèse!F100</f>
        <v>-33218.578201240023</v>
      </c>
      <c r="H101" s="627">
        <f t="shared" si="4"/>
        <v>36237.731931741168</v>
      </c>
      <c r="I101" s="190">
        <v>6396.7432385064812</v>
      </c>
      <c r="J101" s="629">
        <f>+Synthèse!H100</f>
        <v>6739.9744345783656</v>
      </c>
      <c r="K101" s="629">
        <f t="shared" si="5"/>
        <v>343.23119607188437</v>
      </c>
    </row>
    <row r="102" spans="1:11" s="193" customFormat="1" ht="15" x14ac:dyDescent="0.25">
      <c r="A102" s="85">
        <f>Données!A102</f>
        <v>5565</v>
      </c>
      <c r="B102" s="302" t="str">
        <f>Données!B102</f>
        <v>Onnens</v>
      </c>
      <c r="C102" s="190">
        <v>344563.58912419493</v>
      </c>
      <c r="D102" s="626">
        <f>+Synthèse!G101</f>
        <v>322304.51364211278</v>
      </c>
      <c r="E102" s="623">
        <f t="shared" si="3"/>
        <v>-22259.075482082146</v>
      </c>
      <c r="F102" s="189">
        <v>288573.86423174938</v>
      </c>
      <c r="G102" s="627">
        <f>+Synthèse!F101</f>
        <v>299077.7764568518</v>
      </c>
      <c r="H102" s="627">
        <f t="shared" si="4"/>
        <v>10503.912225102424</v>
      </c>
      <c r="I102" s="190">
        <v>68308.230917162087</v>
      </c>
      <c r="J102" s="629">
        <f>+Synthèse!H101</f>
        <v>62237.066384113845</v>
      </c>
      <c r="K102" s="629">
        <f t="shared" si="5"/>
        <v>-6071.1645330482424</v>
      </c>
    </row>
    <row r="103" spans="1:11" s="193" customFormat="1" ht="15" x14ac:dyDescent="0.25">
      <c r="A103" s="85">
        <f>Données!A103</f>
        <v>5566</v>
      </c>
      <c r="B103" s="302" t="str">
        <f>Données!B103</f>
        <v>Provence</v>
      </c>
      <c r="C103" s="190">
        <v>146591.13102718454</v>
      </c>
      <c r="D103" s="626">
        <f>+Synthèse!G102</f>
        <v>171667.05929161166</v>
      </c>
      <c r="E103" s="623">
        <f t="shared" si="3"/>
        <v>25075.928264427115</v>
      </c>
      <c r="F103" s="189">
        <v>-526868.34524371475</v>
      </c>
      <c r="G103" s="627">
        <f>+Synthèse!F102</f>
        <v>-152249.86497449368</v>
      </c>
      <c r="H103" s="627">
        <f t="shared" si="4"/>
        <v>374618.48026922107</v>
      </c>
      <c r="I103" s="190">
        <v>28843.583464014686</v>
      </c>
      <c r="J103" s="629">
        <f>+Synthèse!H102</f>
        <v>28641.236446463015</v>
      </c>
      <c r="K103" s="629">
        <f t="shared" si="5"/>
        <v>-202.34701755167043</v>
      </c>
    </row>
    <row r="104" spans="1:11" s="193" customFormat="1" ht="15" x14ac:dyDescent="0.25">
      <c r="A104" s="85">
        <f>Données!A104</f>
        <v>5568</v>
      </c>
      <c r="B104" s="302" t="str">
        <f>Données!B104</f>
        <v>Sainte-Croix</v>
      </c>
      <c r="C104" s="190">
        <v>2637036.9130446548</v>
      </c>
      <c r="D104" s="626">
        <f>+Synthèse!G103</f>
        <v>2277005.9116705609</v>
      </c>
      <c r="E104" s="623">
        <f t="shared" si="3"/>
        <v>-360031.00137409382</v>
      </c>
      <c r="F104" s="189">
        <v>-3856487.4321040679</v>
      </c>
      <c r="G104" s="627">
        <f>+Synthèse!F103</f>
        <v>-2610985.2623865558</v>
      </c>
      <c r="H104" s="627">
        <f t="shared" si="4"/>
        <v>1245502.1697175121</v>
      </c>
      <c r="I104" s="190">
        <v>332077.25686367694</v>
      </c>
      <c r="J104" s="629">
        <f>+Synthèse!H103</f>
        <v>318636.45094563742</v>
      </c>
      <c r="K104" s="629">
        <f t="shared" si="5"/>
        <v>-13440.805918039521</v>
      </c>
    </row>
    <row r="105" spans="1:11" s="193" customFormat="1" ht="15" x14ac:dyDescent="0.25">
      <c r="A105" s="85">
        <f>Données!A105</f>
        <v>5571</v>
      </c>
      <c r="B105" s="302" t="str">
        <f>Données!B105</f>
        <v>Tévenon</v>
      </c>
      <c r="C105" s="190">
        <v>442748.87994676997</v>
      </c>
      <c r="D105" s="626">
        <f>+Synthèse!G104</f>
        <v>451250.67685672862</v>
      </c>
      <c r="E105" s="623">
        <f t="shared" si="3"/>
        <v>8501.796909958648</v>
      </c>
      <c r="F105" s="189">
        <v>-194631.6746637685</v>
      </c>
      <c r="G105" s="627">
        <f>+Synthèse!F104</f>
        <v>43906.039343131997</v>
      </c>
      <c r="H105" s="627">
        <f t="shared" si="4"/>
        <v>238537.7140069005</v>
      </c>
      <c r="I105" s="190">
        <v>76784.626638172122</v>
      </c>
      <c r="J105" s="629">
        <f>+Synthèse!H104</f>
        <v>76073.356896538375</v>
      </c>
      <c r="K105" s="629">
        <f t="shared" si="5"/>
        <v>-711.26974163374689</v>
      </c>
    </row>
    <row r="106" spans="1:11" s="193" customFormat="1" ht="15" x14ac:dyDescent="0.25">
      <c r="A106" s="85">
        <f>Données!A106</f>
        <v>5581</v>
      </c>
      <c r="B106" s="302" t="str">
        <f>Données!B106</f>
        <v>Belmont-sur-Lausanne</v>
      </c>
      <c r="C106" s="190">
        <v>3971884.0853790878</v>
      </c>
      <c r="D106" s="626">
        <f>+Synthèse!G105</f>
        <v>3468376.5828804476</v>
      </c>
      <c r="E106" s="623">
        <f t="shared" si="3"/>
        <v>-503507.50249864021</v>
      </c>
      <c r="F106" s="189">
        <v>2035851.0236766986</v>
      </c>
      <c r="G106" s="627">
        <f>+Synthèse!F105</f>
        <v>2849755.573694882</v>
      </c>
      <c r="H106" s="627">
        <f t="shared" si="4"/>
        <v>813904.55001818342</v>
      </c>
      <c r="I106" s="190">
        <v>264022.01368846698</v>
      </c>
      <c r="J106" s="629">
        <f>+Synthèse!H105</f>
        <v>244210.64692664749</v>
      </c>
      <c r="K106" s="629">
        <f t="shared" si="5"/>
        <v>-19811.366761819489</v>
      </c>
    </row>
    <row r="107" spans="1:11" s="193" customFormat="1" ht="15" x14ac:dyDescent="0.25">
      <c r="A107" s="85">
        <f>Données!A107</f>
        <v>5582</v>
      </c>
      <c r="B107" s="302" t="str">
        <f>Données!B107</f>
        <v>Cheseaux-sur-Lausanne</v>
      </c>
      <c r="C107" s="190">
        <v>3152508.3572977409</v>
      </c>
      <c r="D107" s="626">
        <f>+Synthèse!G106</f>
        <v>2554941.4223085917</v>
      </c>
      <c r="E107" s="623">
        <f t="shared" si="3"/>
        <v>-597566.93498914922</v>
      </c>
      <c r="F107" s="189">
        <v>173477.35864412831</v>
      </c>
      <c r="G107" s="627">
        <f>+Synthèse!F106</f>
        <v>354950.46335749933</v>
      </c>
      <c r="H107" s="627">
        <f t="shared" si="4"/>
        <v>181473.10471337102</v>
      </c>
      <c r="I107" s="190">
        <v>511894.43818170991</v>
      </c>
      <c r="J107" s="629">
        <f>+Synthèse!H106</f>
        <v>531071.18442853622</v>
      </c>
      <c r="K107" s="629">
        <f t="shared" si="5"/>
        <v>19176.746246826311</v>
      </c>
    </row>
    <row r="108" spans="1:11" s="193" customFormat="1" ht="15" x14ac:dyDescent="0.25">
      <c r="A108" s="85">
        <f>Données!A108</f>
        <v>5583</v>
      </c>
      <c r="B108" s="302" t="str">
        <f>Données!B108</f>
        <v>Crissier</v>
      </c>
      <c r="C108" s="190">
        <v>6391057.8188028848</v>
      </c>
      <c r="D108" s="626">
        <f>+Synthèse!G107</f>
        <v>6309938.3673438383</v>
      </c>
      <c r="E108" s="623">
        <f t="shared" si="3"/>
        <v>-81119.451459046453</v>
      </c>
      <c r="F108" s="189">
        <v>-2253387.6443834351</v>
      </c>
      <c r="G108" s="627">
        <f>+Synthèse!F107</f>
        <v>1012093.7692798628</v>
      </c>
      <c r="H108" s="627">
        <f t="shared" si="4"/>
        <v>3265481.4136632979</v>
      </c>
      <c r="I108" s="190">
        <v>413432.02668210963</v>
      </c>
      <c r="J108" s="629">
        <f>+Synthèse!H107</f>
        <v>418839.08121415414</v>
      </c>
      <c r="K108" s="629">
        <f t="shared" si="5"/>
        <v>5407.054532044509</v>
      </c>
    </row>
    <row r="109" spans="1:11" s="193" customFormat="1" ht="15" x14ac:dyDescent="0.25">
      <c r="A109" s="85">
        <f>Données!A109</f>
        <v>5584</v>
      </c>
      <c r="B109" s="302" t="str">
        <f>Données!B109</f>
        <v>Epalinges</v>
      </c>
      <c r="C109" s="190">
        <v>9037046.430936547</v>
      </c>
      <c r="D109" s="626">
        <f>+Synthèse!G108</f>
        <v>8038166.5969132697</v>
      </c>
      <c r="E109" s="623">
        <f t="shared" si="3"/>
        <v>-998879.83402327728</v>
      </c>
      <c r="F109" s="189">
        <v>882329.25988258794</v>
      </c>
      <c r="G109" s="627">
        <f>+Synthèse!F108</f>
        <v>4732071.6981393639</v>
      </c>
      <c r="H109" s="627">
        <f t="shared" si="4"/>
        <v>3849742.438256776</v>
      </c>
      <c r="I109" s="190">
        <v>1501311.3356994428</v>
      </c>
      <c r="J109" s="629">
        <f>+Synthèse!H108</f>
        <v>1486226.5170093498</v>
      </c>
      <c r="K109" s="629">
        <f t="shared" si="5"/>
        <v>-15084.818690093001</v>
      </c>
    </row>
    <row r="110" spans="1:11" s="193" customFormat="1" ht="15" x14ac:dyDescent="0.25">
      <c r="A110" s="85">
        <f>Données!A110</f>
        <v>5585</v>
      </c>
      <c r="B110" s="302" t="str">
        <f>Données!B110</f>
        <v>Jouxtens-Mézery</v>
      </c>
      <c r="C110" s="190">
        <v>5767350.8450079691</v>
      </c>
      <c r="D110" s="626">
        <f>+Synthèse!G109</f>
        <v>7935794.5808449537</v>
      </c>
      <c r="E110" s="623">
        <f t="shared" si="3"/>
        <v>2168443.7358369846</v>
      </c>
      <c r="F110" s="189">
        <v>3401219.0902849464</v>
      </c>
      <c r="G110" s="627">
        <f>+Synthèse!F109</f>
        <v>4510784.9011042006</v>
      </c>
      <c r="H110" s="627">
        <f t="shared" si="4"/>
        <v>1109565.8108192543</v>
      </c>
      <c r="I110" s="190">
        <v>364148.25983686687</v>
      </c>
      <c r="J110" s="629">
        <f>+Synthèse!H109</f>
        <v>419720.87035075878</v>
      </c>
      <c r="K110" s="629">
        <f t="shared" si="5"/>
        <v>55572.610513891908</v>
      </c>
    </row>
    <row r="111" spans="1:11" s="193" customFormat="1" ht="15" x14ac:dyDescent="0.25">
      <c r="A111" s="85">
        <f>Données!A111</f>
        <v>5586</v>
      </c>
      <c r="B111" s="302" t="str">
        <f>Données!B111</f>
        <v>Lausanne</v>
      </c>
      <c r="C111" s="190">
        <v>106607357.99133149</v>
      </c>
      <c r="D111" s="626">
        <f>+Synthèse!G110</f>
        <v>101184937.451563</v>
      </c>
      <c r="E111" s="623">
        <f t="shared" si="3"/>
        <v>-5422420.5397684872</v>
      </c>
      <c r="F111" s="189">
        <v>-78726962.494388178</v>
      </c>
      <c r="G111" s="627">
        <f>+Synthèse!F110</f>
        <v>-24805475.262259573</v>
      </c>
      <c r="H111" s="627">
        <f t="shared" si="4"/>
        <v>53921487.232128605</v>
      </c>
      <c r="I111" s="190">
        <v>7914581.7503606146</v>
      </c>
      <c r="J111" s="629">
        <f>+Synthèse!H110</f>
        <v>7790157.9855240444</v>
      </c>
      <c r="K111" s="629">
        <f t="shared" si="5"/>
        <v>-124423.76483657025</v>
      </c>
    </row>
    <row r="112" spans="1:11" s="193" customFormat="1" ht="15" x14ac:dyDescent="0.25">
      <c r="A112" s="85">
        <f>Données!A112</f>
        <v>5587</v>
      </c>
      <c r="B112" s="302" t="str">
        <f>Données!B112</f>
        <v>Le Mont-sur-Lausanne</v>
      </c>
      <c r="C112" s="190">
        <v>9760434.2681347169</v>
      </c>
      <c r="D112" s="626">
        <f>+Synthèse!G111</f>
        <v>8363012.5497485949</v>
      </c>
      <c r="E112" s="623">
        <f t="shared" si="3"/>
        <v>-1397421.718386122</v>
      </c>
      <c r="F112" s="189">
        <v>2638405.8282775274</v>
      </c>
      <c r="G112" s="627">
        <f>+Synthèse!F111</f>
        <v>4794265.6159520857</v>
      </c>
      <c r="H112" s="627">
        <f t="shared" si="4"/>
        <v>2155859.7876745583</v>
      </c>
      <c r="I112" s="190">
        <v>1421907.0783286509</v>
      </c>
      <c r="J112" s="629">
        <f>+Synthèse!H111</f>
        <v>1398735.052583822</v>
      </c>
      <c r="K112" s="629">
        <f t="shared" si="5"/>
        <v>-23172.025744828861</v>
      </c>
    </row>
    <row r="113" spans="1:11" s="193" customFormat="1" ht="15" x14ac:dyDescent="0.25">
      <c r="A113" s="85">
        <f>Données!A113</f>
        <v>5588</v>
      </c>
      <c r="B113" s="302" t="str">
        <f>Données!B113</f>
        <v>Paudex</v>
      </c>
      <c r="C113" s="190">
        <v>3402320.0676941257</v>
      </c>
      <c r="D113" s="626">
        <f>+Synthèse!G112</f>
        <v>2628167.1200736542</v>
      </c>
      <c r="E113" s="623">
        <f t="shared" si="3"/>
        <v>-774152.94762047147</v>
      </c>
      <c r="F113" s="189">
        <v>2383153.1895223544</v>
      </c>
      <c r="G113" s="627">
        <f>+Synthèse!F112</f>
        <v>2054400.1703989289</v>
      </c>
      <c r="H113" s="627">
        <f t="shared" si="4"/>
        <v>-328753.01912342547</v>
      </c>
      <c r="I113" s="190">
        <v>172223.59675769662</v>
      </c>
      <c r="J113" s="629">
        <f>+Synthèse!H112</f>
        <v>139048.62128286509</v>
      </c>
      <c r="K113" s="629">
        <f t="shared" si="5"/>
        <v>-33174.975474831532</v>
      </c>
    </row>
    <row r="114" spans="1:11" s="193" customFormat="1" ht="15" x14ac:dyDescent="0.25">
      <c r="A114" s="85">
        <f>Données!A114</f>
        <v>5589</v>
      </c>
      <c r="B114" s="302" t="str">
        <f>Données!B114</f>
        <v>Prilly</v>
      </c>
      <c r="C114" s="190">
        <v>6974227.6386853801</v>
      </c>
      <c r="D114" s="626">
        <f>+Synthèse!G113</f>
        <v>7176493.1620347509</v>
      </c>
      <c r="E114" s="623">
        <f t="shared" si="3"/>
        <v>202265.52334937081</v>
      </c>
      <c r="F114" s="189">
        <v>-6191841.9086043825</v>
      </c>
      <c r="G114" s="627">
        <f>+Synthèse!F113</f>
        <v>-2338845.4119492415</v>
      </c>
      <c r="H114" s="627">
        <f t="shared" si="4"/>
        <v>3852996.496655141</v>
      </c>
      <c r="I114" s="190">
        <v>513925.83954849298</v>
      </c>
      <c r="J114" s="629">
        <f>+Synthèse!H113</f>
        <v>507241.05358015065</v>
      </c>
      <c r="K114" s="629">
        <f t="shared" si="5"/>
        <v>-6684.7859683423303</v>
      </c>
    </row>
    <row r="115" spans="1:11" s="193" customFormat="1" ht="15" x14ac:dyDescent="0.25">
      <c r="A115" s="85">
        <f>Données!A115</f>
        <v>5590</v>
      </c>
      <c r="B115" s="302" t="str">
        <f>Données!B115</f>
        <v>Pully</v>
      </c>
      <c r="C115" s="190">
        <v>38213568.318354324</v>
      </c>
      <c r="D115" s="626">
        <f>+Synthèse!G114</f>
        <v>35726267.072185606</v>
      </c>
      <c r="E115" s="623">
        <f t="shared" si="3"/>
        <v>-2487301.2461687177</v>
      </c>
      <c r="F115" s="189">
        <v>14029836.619589906</v>
      </c>
      <c r="G115" s="627">
        <f>+Synthèse!F114</f>
        <v>16004634.568538919</v>
      </c>
      <c r="H115" s="627">
        <f t="shared" si="4"/>
        <v>1974797.9489490129</v>
      </c>
      <c r="I115" s="190">
        <v>1963628.2099127939</v>
      </c>
      <c r="J115" s="629">
        <f>+Synthèse!H114</f>
        <v>1808564.9640697257</v>
      </c>
      <c r="K115" s="629">
        <f t="shared" si="5"/>
        <v>-155063.24584306823</v>
      </c>
    </row>
    <row r="116" spans="1:11" s="193" customFormat="1" ht="15" x14ac:dyDescent="0.25">
      <c r="A116" s="85">
        <f>Données!A116</f>
        <v>5591</v>
      </c>
      <c r="B116" s="302" t="str">
        <f>Données!B116</f>
        <v>Renens</v>
      </c>
      <c r="C116" s="190">
        <v>10353484.27677311</v>
      </c>
      <c r="D116" s="626">
        <f>+Synthèse!G115</f>
        <v>10865011.366123054</v>
      </c>
      <c r="E116" s="623">
        <f t="shared" si="3"/>
        <v>511527.08934994414</v>
      </c>
      <c r="F116" s="189">
        <v>-21941314.144008733</v>
      </c>
      <c r="G116" s="627">
        <f>+Synthèse!F115</f>
        <v>-14984875.957031298</v>
      </c>
      <c r="H116" s="627">
        <f t="shared" si="4"/>
        <v>6956438.1869774349</v>
      </c>
      <c r="I116" s="190">
        <v>698020.92976522562</v>
      </c>
      <c r="J116" s="629">
        <f>+Synthèse!H115</f>
        <v>721627.42833602452</v>
      </c>
      <c r="K116" s="629">
        <f t="shared" si="5"/>
        <v>23606.498570798896</v>
      </c>
    </row>
    <row r="117" spans="1:11" s="193" customFormat="1" ht="15" x14ac:dyDescent="0.25">
      <c r="A117" s="85">
        <f>Données!A117</f>
        <v>5592</v>
      </c>
      <c r="B117" s="302" t="str">
        <f>Données!B117</f>
        <v>Romanel-sur-Lausanne</v>
      </c>
      <c r="C117" s="190">
        <v>2404382.1572910701</v>
      </c>
      <c r="D117" s="626">
        <f>+Synthèse!G116</f>
        <v>2082548.224482384</v>
      </c>
      <c r="E117" s="623">
        <f t="shared" si="3"/>
        <v>-321833.93280868605</v>
      </c>
      <c r="F117" s="189">
        <v>73685.247546372935</v>
      </c>
      <c r="G117" s="627">
        <f>+Synthèse!F116</f>
        <v>19676.001784923021</v>
      </c>
      <c r="H117" s="627">
        <f t="shared" si="4"/>
        <v>-54009.245761449914</v>
      </c>
      <c r="I117" s="190">
        <v>368035.57538005139</v>
      </c>
      <c r="J117" s="629">
        <f>+Synthèse!H116</f>
        <v>398985.36949169455</v>
      </c>
      <c r="K117" s="629">
        <f t="shared" si="5"/>
        <v>30949.794111643161</v>
      </c>
    </row>
    <row r="118" spans="1:11" s="193" customFormat="1" ht="15" x14ac:dyDescent="0.25">
      <c r="A118" s="85">
        <f>Données!A118</f>
        <v>5601</v>
      </c>
      <c r="B118" s="302" t="str">
        <f>Données!B118</f>
        <v>Chexbres</v>
      </c>
      <c r="C118" s="190">
        <v>1628105.8998916007</v>
      </c>
      <c r="D118" s="626">
        <f>+Synthèse!G117</f>
        <v>1394651.1944474529</v>
      </c>
      <c r="E118" s="623">
        <f t="shared" si="3"/>
        <v>-233454.70544414781</v>
      </c>
      <c r="F118" s="189">
        <v>1166496.8636024119</v>
      </c>
      <c r="G118" s="627">
        <f>+Synthèse!F117</f>
        <v>1236316.1999000155</v>
      </c>
      <c r="H118" s="627">
        <f t="shared" si="4"/>
        <v>69819.336297603557</v>
      </c>
      <c r="I118" s="190">
        <v>129866.33775282539</v>
      </c>
      <c r="J118" s="629">
        <f>+Synthèse!H117</f>
        <v>114927.95945590724</v>
      </c>
      <c r="K118" s="629">
        <f t="shared" si="5"/>
        <v>-14938.378296918148</v>
      </c>
    </row>
    <row r="119" spans="1:11" s="193" customFormat="1" ht="15" x14ac:dyDescent="0.25">
      <c r="A119" s="85">
        <f>Données!A119</f>
        <v>5604</v>
      </c>
      <c r="B119" s="302" t="str">
        <f>Données!B119</f>
        <v>Forel (Lavaux)</v>
      </c>
      <c r="C119" s="190">
        <v>1187688.3890948822</v>
      </c>
      <c r="D119" s="626">
        <f>+Synthèse!G118</f>
        <v>1064920.9824360879</v>
      </c>
      <c r="E119" s="623">
        <f t="shared" si="3"/>
        <v>-122767.40665879427</v>
      </c>
      <c r="F119" s="189">
        <v>111432.11702481448</v>
      </c>
      <c r="G119" s="627">
        <f>+Synthèse!F118</f>
        <v>432776.69644165563</v>
      </c>
      <c r="H119" s="627">
        <f t="shared" si="4"/>
        <v>321344.57941684115</v>
      </c>
      <c r="I119" s="190">
        <v>231631.20009953302</v>
      </c>
      <c r="J119" s="629">
        <f>+Synthèse!H118</f>
        <v>223236.45048369031</v>
      </c>
      <c r="K119" s="629">
        <f t="shared" si="5"/>
        <v>-8394.7496158427093</v>
      </c>
    </row>
    <row r="120" spans="1:11" s="193" customFormat="1" ht="15" x14ac:dyDescent="0.25">
      <c r="A120" s="85">
        <f>Données!A120</f>
        <v>5606</v>
      </c>
      <c r="B120" s="302" t="str">
        <f>Données!B120</f>
        <v>Lutry</v>
      </c>
      <c r="C120" s="190">
        <v>23646450.471558057</v>
      </c>
      <c r="D120" s="626">
        <f>+Synthèse!G119</f>
        <v>23722949.300097246</v>
      </c>
      <c r="E120" s="623">
        <f t="shared" si="3"/>
        <v>76498.828539188951</v>
      </c>
      <c r="F120" s="189">
        <v>10584651.489055082</v>
      </c>
      <c r="G120" s="627">
        <f>+Synthèse!F119</f>
        <v>13219679.906141249</v>
      </c>
      <c r="H120" s="627">
        <f t="shared" si="4"/>
        <v>2635028.4170861673</v>
      </c>
      <c r="I120" s="190">
        <v>1175791.3452941813</v>
      </c>
      <c r="J120" s="629">
        <f>+Synthèse!H119</f>
        <v>1123454.6082478776</v>
      </c>
      <c r="K120" s="629">
        <f t="shared" si="5"/>
        <v>-52336.737046303693</v>
      </c>
    </row>
    <row r="121" spans="1:11" s="193" customFormat="1" ht="15" x14ac:dyDescent="0.25">
      <c r="A121" s="85">
        <f>Données!A121</f>
        <v>5607</v>
      </c>
      <c r="B121" s="302" t="str">
        <f>Données!B121</f>
        <v>Puidoux</v>
      </c>
      <c r="C121" s="190">
        <v>1974482.0953331469</v>
      </c>
      <c r="D121" s="626">
        <f>+Synthèse!G120</f>
        <v>2187730.6997759696</v>
      </c>
      <c r="E121" s="623">
        <f t="shared" si="3"/>
        <v>213248.60444282275</v>
      </c>
      <c r="F121" s="189">
        <v>-179997.4334103791</v>
      </c>
      <c r="G121" s="627">
        <f>+Synthèse!F120</f>
        <v>1459669.5351584225</v>
      </c>
      <c r="H121" s="627">
        <f t="shared" si="4"/>
        <v>1639666.9685688016</v>
      </c>
      <c r="I121" s="190">
        <v>136697.65146811341</v>
      </c>
      <c r="J121" s="629">
        <f>+Synthèse!H120</f>
        <v>151693.73105014232</v>
      </c>
      <c r="K121" s="629">
        <f t="shared" si="5"/>
        <v>14996.079582028906</v>
      </c>
    </row>
    <row r="122" spans="1:11" s="193" customFormat="1" ht="15" x14ac:dyDescent="0.25">
      <c r="A122" s="85">
        <f>Données!A122</f>
        <v>5609</v>
      </c>
      <c r="B122" s="302" t="str">
        <f>Données!B122</f>
        <v>Rivaz</v>
      </c>
      <c r="C122" s="190">
        <v>208154.49053631039</v>
      </c>
      <c r="D122" s="626">
        <f>+Synthèse!G121</f>
        <v>168403.49541140403</v>
      </c>
      <c r="E122" s="623">
        <f t="shared" si="3"/>
        <v>-39750.99512490636</v>
      </c>
      <c r="F122" s="189">
        <v>179143.98601391469</v>
      </c>
      <c r="G122" s="627">
        <f>+Synthèse!F121</f>
        <v>194237.81740602475</v>
      </c>
      <c r="H122" s="627">
        <f t="shared" si="4"/>
        <v>15093.831392110063</v>
      </c>
      <c r="I122" s="190">
        <v>18255.892808376044</v>
      </c>
      <c r="J122" s="629">
        <f>+Synthèse!H121</f>
        <v>15748.41900018569</v>
      </c>
      <c r="K122" s="629">
        <f t="shared" si="5"/>
        <v>-2507.4738081903542</v>
      </c>
    </row>
    <row r="123" spans="1:11" s="193" customFormat="1" ht="15" x14ac:dyDescent="0.25">
      <c r="A123" s="85">
        <f>Données!A123</f>
        <v>5610</v>
      </c>
      <c r="B123" s="302" t="str">
        <f>Données!B123</f>
        <v>St-Saphorin (Lavaux)</v>
      </c>
      <c r="C123" s="190">
        <v>431174.66803342046</v>
      </c>
      <c r="D123" s="626">
        <f>+Synthèse!G122</f>
        <v>240606.59075841564</v>
      </c>
      <c r="E123" s="623">
        <f t="shared" si="3"/>
        <v>-190568.07727500482</v>
      </c>
      <c r="F123" s="189">
        <v>396884.83164969564</v>
      </c>
      <c r="G123" s="627">
        <f>+Synthèse!F122</f>
        <v>320013.49535420828</v>
      </c>
      <c r="H123" s="627">
        <f t="shared" si="4"/>
        <v>-76871.336295487359</v>
      </c>
      <c r="I123" s="190">
        <v>28736.828549009439</v>
      </c>
      <c r="J123" s="629">
        <f>+Synthèse!H122</f>
        <v>21726.628777016176</v>
      </c>
      <c r="K123" s="629">
        <f t="shared" si="5"/>
        <v>-7010.1997719932624</v>
      </c>
    </row>
    <row r="124" spans="1:11" s="193" customFormat="1" ht="15" x14ac:dyDescent="0.25">
      <c r="A124" s="85">
        <f>Données!A124</f>
        <v>5611</v>
      </c>
      <c r="B124" s="302" t="str">
        <f>Données!B124</f>
        <v>Savigny</v>
      </c>
      <c r="C124" s="190">
        <v>2234510.2768635089</v>
      </c>
      <c r="D124" s="626">
        <f>+Synthèse!G123</f>
        <v>2381763.7599863363</v>
      </c>
      <c r="E124" s="623">
        <f t="shared" si="3"/>
        <v>147253.48312282749</v>
      </c>
      <c r="F124" s="189">
        <v>642570.74742873805</v>
      </c>
      <c r="G124" s="627">
        <f>+Synthèse!F123</f>
        <v>1171200.7621477803</v>
      </c>
      <c r="H124" s="627">
        <f t="shared" si="4"/>
        <v>528630.01471904223</v>
      </c>
      <c r="I124" s="190">
        <v>172757.90601691231</v>
      </c>
      <c r="J124" s="629">
        <f>+Synthèse!H123</f>
        <v>162107.40020231149</v>
      </c>
      <c r="K124" s="629">
        <f t="shared" si="5"/>
        <v>-10650.505814600823</v>
      </c>
    </row>
    <row r="125" spans="1:11" s="193" customFormat="1" ht="15" x14ac:dyDescent="0.25">
      <c r="A125" s="85">
        <f>Données!A125</f>
        <v>5613</v>
      </c>
      <c r="B125" s="302" t="str">
        <f>Données!B125</f>
        <v>Bourg-en-Lavaux</v>
      </c>
      <c r="C125" s="190">
        <v>7108396.0947026862</v>
      </c>
      <c r="D125" s="626">
        <f>+Synthèse!G124</f>
        <v>6948878.3067358956</v>
      </c>
      <c r="E125" s="623">
        <f t="shared" si="3"/>
        <v>-159517.78796679061</v>
      </c>
      <c r="F125" s="189">
        <v>4775101.9505983936</v>
      </c>
      <c r="G125" s="627">
        <f>+Synthèse!F124</f>
        <v>4850846.3397914395</v>
      </c>
      <c r="H125" s="627">
        <f t="shared" si="4"/>
        <v>75744.389193045907</v>
      </c>
      <c r="I125" s="190">
        <v>437772.80801054416</v>
      </c>
      <c r="J125" s="629">
        <f>+Synthèse!H124</f>
        <v>409860.33634688531</v>
      </c>
      <c r="K125" s="629">
        <f t="shared" si="5"/>
        <v>-27912.471663658856</v>
      </c>
    </row>
    <row r="126" spans="1:11" s="193" customFormat="1" ht="15" x14ac:dyDescent="0.25">
      <c r="A126" s="85">
        <f>Données!A126</f>
        <v>5621</v>
      </c>
      <c r="B126" s="302" t="str">
        <f>Données!B126</f>
        <v>Aclens</v>
      </c>
      <c r="C126" s="190">
        <v>732740.40348455356</v>
      </c>
      <c r="D126" s="626">
        <f>+Synthèse!G125</f>
        <v>657261.42365352274</v>
      </c>
      <c r="E126" s="623">
        <f t="shared" si="3"/>
        <v>-75478.979831030825</v>
      </c>
      <c r="F126" s="189">
        <v>518773.17814660864</v>
      </c>
      <c r="G126" s="627">
        <f>+Synthèse!F125</f>
        <v>576531.12737984036</v>
      </c>
      <c r="H126" s="627">
        <f t="shared" si="4"/>
        <v>57757.949233231717</v>
      </c>
      <c r="I126" s="190">
        <v>85253.697296317492</v>
      </c>
      <c r="J126" s="629">
        <f>+Synthèse!H125</f>
        <v>90793.777202702302</v>
      </c>
      <c r="K126" s="629">
        <f t="shared" si="5"/>
        <v>5540.0799063848099</v>
      </c>
    </row>
    <row r="127" spans="1:11" s="193" customFormat="1" ht="15" x14ac:dyDescent="0.25">
      <c r="A127" s="85">
        <f>Données!A127</f>
        <v>5622</v>
      </c>
      <c r="B127" s="302" t="str">
        <f>Données!B127</f>
        <v>Bremblens</v>
      </c>
      <c r="C127" s="190">
        <v>477498.93911202159</v>
      </c>
      <c r="D127" s="626">
        <f>+Synthèse!G126</f>
        <v>403721.99868420127</v>
      </c>
      <c r="E127" s="623">
        <f t="shared" si="3"/>
        <v>-73776.940427820315</v>
      </c>
      <c r="F127" s="189">
        <v>455433.81051594991</v>
      </c>
      <c r="G127" s="627">
        <f>+Synthèse!F126</f>
        <v>488306.24341185339</v>
      </c>
      <c r="H127" s="627">
        <f t="shared" si="4"/>
        <v>32872.432895903476</v>
      </c>
      <c r="I127" s="190">
        <v>87718.291190473275</v>
      </c>
      <c r="J127" s="629">
        <f>+Synthèse!H126</f>
        <v>88457.012442183186</v>
      </c>
      <c r="K127" s="629">
        <f t="shared" si="5"/>
        <v>738.72125170991058</v>
      </c>
    </row>
    <row r="128" spans="1:11" s="193" customFormat="1" ht="15" x14ac:dyDescent="0.25">
      <c r="A128" s="85">
        <f>Données!A128</f>
        <v>5623</v>
      </c>
      <c r="B128" s="302" t="str">
        <f>Données!B128</f>
        <v>Buchillon</v>
      </c>
      <c r="C128" s="190">
        <v>2448214.161846458</v>
      </c>
      <c r="D128" s="626">
        <f>+Synthèse!G127</f>
        <v>2470475.139713495</v>
      </c>
      <c r="E128" s="623">
        <f t="shared" si="3"/>
        <v>22260.977867037058</v>
      </c>
      <c r="F128" s="189">
        <v>1633750.2793296759</v>
      </c>
      <c r="G128" s="627">
        <f>+Synthèse!F127</f>
        <v>1729531.1864377237</v>
      </c>
      <c r="H128" s="627">
        <f t="shared" si="4"/>
        <v>95780.907108047744</v>
      </c>
      <c r="I128" s="190">
        <v>109349.85028919287</v>
      </c>
      <c r="J128" s="629">
        <f>+Synthèse!H127</f>
        <v>106169.95923261982</v>
      </c>
      <c r="K128" s="629">
        <f t="shared" si="5"/>
        <v>-3179.8910565730475</v>
      </c>
    </row>
    <row r="129" spans="1:11" s="193" customFormat="1" ht="15" x14ac:dyDescent="0.25">
      <c r="A129" s="85">
        <f>Données!A129</f>
        <v>5624</v>
      </c>
      <c r="B129" s="302" t="str">
        <f>Données!B129</f>
        <v>Bussigny</v>
      </c>
      <c r="C129" s="190">
        <v>7921178.3024115283</v>
      </c>
      <c r="D129" s="626">
        <f>+Synthèse!G128</f>
        <v>6404020.0906990906</v>
      </c>
      <c r="E129" s="623">
        <f t="shared" si="3"/>
        <v>-1517158.2117124377</v>
      </c>
      <c r="F129" s="189">
        <v>886277.04685214348</v>
      </c>
      <c r="G129" s="627">
        <f>+Synthèse!F128</f>
        <v>272869.31381923519</v>
      </c>
      <c r="H129" s="627">
        <f t="shared" si="4"/>
        <v>-613407.73303290829</v>
      </c>
      <c r="I129" s="190">
        <v>541274.28252514696</v>
      </c>
      <c r="J129" s="629">
        <f>+Synthèse!H128</f>
        <v>464284.56753867446</v>
      </c>
      <c r="K129" s="629">
        <f t="shared" si="5"/>
        <v>-76989.714986472507</v>
      </c>
    </row>
    <row r="130" spans="1:11" s="193" customFormat="1" ht="15" x14ac:dyDescent="0.25">
      <c r="A130" s="85">
        <f>Données!A130</f>
        <v>5627</v>
      </c>
      <c r="B130" s="302" t="str">
        <f>Données!B130</f>
        <v>Chavannes-près-Renens</v>
      </c>
      <c r="C130" s="190">
        <v>3528160.2145293937</v>
      </c>
      <c r="D130" s="626">
        <f>+Synthèse!G129</f>
        <v>2754469.5271552829</v>
      </c>
      <c r="E130" s="623">
        <f t="shared" si="3"/>
        <v>-773690.6873741108</v>
      </c>
      <c r="F130" s="189">
        <v>-6976933.8400132637</v>
      </c>
      <c r="G130" s="627">
        <f>+Synthèse!F129</f>
        <v>-4336520.4422520567</v>
      </c>
      <c r="H130" s="627">
        <f t="shared" si="4"/>
        <v>2640413.3977612071</v>
      </c>
      <c r="I130" s="190">
        <v>237776.54374318934</v>
      </c>
      <c r="J130" s="629">
        <f>+Synthèse!H129</f>
        <v>222773.53480048515</v>
      </c>
      <c r="K130" s="629">
        <f t="shared" si="5"/>
        <v>-15003.008942704182</v>
      </c>
    </row>
    <row r="131" spans="1:11" s="193" customFormat="1" ht="15" x14ac:dyDescent="0.25">
      <c r="A131" s="85">
        <f>Données!A131</f>
        <v>5628</v>
      </c>
      <c r="B131" s="302" t="str">
        <f>Données!B131</f>
        <v>Chigny</v>
      </c>
      <c r="C131" s="190">
        <v>449206.04525669641</v>
      </c>
      <c r="D131" s="626">
        <f>+Synthèse!G130</f>
        <v>566532.16583314491</v>
      </c>
      <c r="E131" s="623">
        <f t="shared" si="3"/>
        <v>117326.12057644851</v>
      </c>
      <c r="F131" s="189">
        <v>444939.71216542693</v>
      </c>
      <c r="G131" s="627">
        <f>+Synthèse!F130</f>
        <v>518095.7455865537</v>
      </c>
      <c r="H131" s="627">
        <f t="shared" si="4"/>
        <v>73156.033421126776</v>
      </c>
      <c r="I131" s="190">
        <v>67435.484145785173</v>
      </c>
      <c r="J131" s="629">
        <f>+Synthèse!H130</f>
        <v>71958.324757817463</v>
      </c>
      <c r="K131" s="629">
        <f t="shared" si="5"/>
        <v>4522.8406120322907</v>
      </c>
    </row>
    <row r="132" spans="1:11" s="193" customFormat="1" ht="15" x14ac:dyDescent="0.25">
      <c r="A132" s="85">
        <f>Données!A132</f>
        <v>5629</v>
      </c>
      <c r="B132" s="302" t="str">
        <f>Données!B132</f>
        <v>Clarmont</v>
      </c>
      <c r="C132" s="190">
        <v>139842.61656236945</v>
      </c>
      <c r="D132" s="626">
        <f>+Synthèse!G131</f>
        <v>153063.83674088347</v>
      </c>
      <c r="E132" s="623">
        <f t="shared" si="3"/>
        <v>13221.220178514021</v>
      </c>
      <c r="F132" s="189">
        <v>112123.61552994358</v>
      </c>
      <c r="G132" s="627">
        <f>+Synthèse!F131</f>
        <v>187803.49478132487</v>
      </c>
      <c r="H132" s="627">
        <f t="shared" si="4"/>
        <v>75679.879251381295</v>
      </c>
      <c r="I132" s="190">
        <v>30857.453890057921</v>
      </c>
      <c r="J132" s="629">
        <f>+Synthèse!H131</f>
        <v>32613.361852449169</v>
      </c>
      <c r="K132" s="629">
        <f t="shared" si="5"/>
        <v>1755.9079623912476</v>
      </c>
    </row>
    <row r="133" spans="1:11" s="193" customFormat="1" ht="15" x14ac:dyDescent="0.25">
      <c r="A133" s="85">
        <f>Données!A133</f>
        <v>5631</v>
      </c>
      <c r="B133" s="302" t="str">
        <f>Données!B133</f>
        <v>Denens</v>
      </c>
      <c r="C133" s="190">
        <v>938646.11776328483</v>
      </c>
      <c r="D133" s="626">
        <f>+Synthèse!G132</f>
        <v>871042.69742313924</v>
      </c>
      <c r="E133" s="623">
        <f t="shared" si="3"/>
        <v>-67603.420340145589</v>
      </c>
      <c r="F133" s="189">
        <v>739970.70541158086</v>
      </c>
      <c r="G133" s="627">
        <f>+Synthèse!F132</f>
        <v>819769.55549191614</v>
      </c>
      <c r="H133" s="627">
        <f t="shared" si="4"/>
        <v>79798.85008033528</v>
      </c>
      <c r="I133" s="190">
        <v>117897.61487643156</v>
      </c>
      <c r="J133" s="629">
        <f>+Synthèse!H132</f>
        <v>121202.95158377718</v>
      </c>
      <c r="K133" s="629">
        <f t="shared" si="5"/>
        <v>3305.3367073456175</v>
      </c>
    </row>
    <row r="134" spans="1:11" s="193" customFormat="1" ht="15" x14ac:dyDescent="0.25">
      <c r="A134" s="85">
        <f>Données!A134</f>
        <v>5632</v>
      </c>
      <c r="B134" s="302" t="str">
        <f>Données!B134</f>
        <v>Denges</v>
      </c>
      <c r="C134" s="190">
        <v>1260400.0443813691</v>
      </c>
      <c r="D134" s="626">
        <f>+Synthèse!G133</f>
        <v>1291474.0789266238</v>
      </c>
      <c r="E134" s="623">
        <f t="shared" si="3"/>
        <v>31074.034545254661</v>
      </c>
      <c r="F134" s="189">
        <v>1001301.6704553398</v>
      </c>
      <c r="G134" s="627">
        <f>+Synthèse!F133</f>
        <v>1297551.7687047303</v>
      </c>
      <c r="H134" s="627">
        <f t="shared" si="4"/>
        <v>296250.09824939049</v>
      </c>
      <c r="I134" s="190">
        <v>246062.88117780964</v>
      </c>
      <c r="J134" s="629">
        <f>+Synthèse!H133</f>
        <v>267309.61053542141</v>
      </c>
      <c r="K134" s="629">
        <f t="shared" si="5"/>
        <v>21246.729357611766</v>
      </c>
    </row>
    <row r="135" spans="1:11" s="193" customFormat="1" ht="15" x14ac:dyDescent="0.25">
      <c r="A135" s="85">
        <f>Données!A135</f>
        <v>5633</v>
      </c>
      <c r="B135" s="302" t="str">
        <f>Données!B135</f>
        <v>Echandens</v>
      </c>
      <c r="C135" s="190">
        <v>2957283.5175579456</v>
      </c>
      <c r="D135" s="626">
        <f>+Synthèse!G134</f>
        <v>2343591.3887090394</v>
      </c>
      <c r="E135" s="623">
        <f t="shared" ref="E135:E198" si="6">+D135-C135</f>
        <v>-613692.12884890614</v>
      </c>
      <c r="F135" s="189">
        <v>1880574.0187200122</v>
      </c>
      <c r="G135" s="627">
        <f>+Synthèse!F134</f>
        <v>1998130.7952123901</v>
      </c>
      <c r="H135" s="627">
        <f t="shared" ref="H135:H198" si="7">+G135-F135</f>
        <v>117556.77649237798</v>
      </c>
      <c r="I135" s="190">
        <v>452383.50542600569</v>
      </c>
      <c r="J135" s="629">
        <f>+Synthèse!H134</f>
        <v>430648.02573095832</v>
      </c>
      <c r="K135" s="629">
        <f t="shared" ref="K135:K198" si="8">+J135-I135</f>
        <v>-21735.479695047368</v>
      </c>
    </row>
    <row r="136" spans="1:11" s="193" customFormat="1" ht="15" x14ac:dyDescent="0.25">
      <c r="A136" s="85">
        <f>Données!A136</f>
        <v>5634</v>
      </c>
      <c r="B136" s="302" t="str">
        <f>Données!B136</f>
        <v>Echichens</v>
      </c>
      <c r="C136" s="190">
        <v>2504312.1249401723</v>
      </c>
      <c r="D136" s="626">
        <f>+Synthèse!G135</f>
        <v>3188753.8939781841</v>
      </c>
      <c r="E136" s="623">
        <f t="shared" si="6"/>
        <v>684441.76903801179</v>
      </c>
      <c r="F136" s="189">
        <v>1890780.9447009976</v>
      </c>
      <c r="G136" s="627">
        <f>+Synthèse!F135</f>
        <v>2542139.8525323528</v>
      </c>
      <c r="H136" s="627">
        <f t="shared" si="7"/>
        <v>651358.90783135523</v>
      </c>
      <c r="I136" s="190">
        <v>464922.75516652659</v>
      </c>
      <c r="J136" s="629">
        <f>+Synthèse!H135</f>
        <v>494582.05937799683</v>
      </c>
      <c r="K136" s="629">
        <f t="shared" si="8"/>
        <v>29659.30421147024</v>
      </c>
    </row>
    <row r="137" spans="1:11" s="193" customFormat="1" ht="15" x14ac:dyDescent="0.25">
      <c r="A137" s="85">
        <f>Données!A137</f>
        <v>5635</v>
      </c>
      <c r="B137" s="302" t="str">
        <f>Données!B137</f>
        <v>Ecublens</v>
      </c>
      <c r="C137" s="190">
        <v>10724969.54943428</v>
      </c>
      <c r="D137" s="626">
        <f>+Synthèse!G136</f>
        <v>8582816.5149243847</v>
      </c>
      <c r="E137" s="623">
        <f t="shared" si="6"/>
        <v>-2142153.0345098954</v>
      </c>
      <c r="F137" s="189">
        <v>1838645.3169634733</v>
      </c>
      <c r="G137" s="627">
        <f>+Synthèse!F136</f>
        <v>-1149383.4143782016</v>
      </c>
      <c r="H137" s="627">
        <f t="shared" si="7"/>
        <v>-2988028.7313416749</v>
      </c>
      <c r="I137" s="190">
        <v>803893.00232824264</v>
      </c>
      <c r="J137" s="629">
        <f>+Synthèse!H136</f>
        <v>569516.74490484397</v>
      </c>
      <c r="K137" s="629">
        <f t="shared" si="8"/>
        <v>-234376.25742339867</v>
      </c>
    </row>
    <row r="138" spans="1:11" s="193" customFormat="1" ht="15" x14ac:dyDescent="0.25">
      <c r="A138" s="85">
        <f>Données!A138</f>
        <v>5636</v>
      </c>
      <c r="B138" s="302" t="str">
        <f>Données!B138</f>
        <v>Etoy</v>
      </c>
      <c r="C138" s="190">
        <v>4162841.4514440475</v>
      </c>
      <c r="D138" s="626">
        <f>+Synthèse!G137</f>
        <v>5404105.3703174256</v>
      </c>
      <c r="E138" s="623">
        <f t="shared" si="6"/>
        <v>1241263.9188733781</v>
      </c>
      <c r="F138" s="189">
        <v>2781933.9052754967</v>
      </c>
      <c r="G138" s="627">
        <f>+Synthèse!F137</f>
        <v>3733779.1377201979</v>
      </c>
      <c r="H138" s="627">
        <f t="shared" si="7"/>
        <v>951845.23244470125</v>
      </c>
      <c r="I138" s="190">
        <v>487242.54852446332</v>
      </c>
      <c r="J138" s="629">
        <f>+Synthèse!H137</f>
        <v>533043.97427943454</v>
      </c>
      <c r="K138" s="629">
        <f t="shared" si="8"/>
        <v>45801.42575497122</v>
      </c>
    </row>
    <row r="139" spans="1:11" s="193" customFormat="1" ht="15" x14ac:dyDescent="0.25">
      <c r="A139" s="85">
        <f>Données!A139</f>
        <v>5637</v>
      </c>
      <c r="B139" s="302" t="str">
        <f>Données!B139</f>
        <v>Lavigny</v>
      </c>
      <c r="C139" s="190">
        <v>724933.89778061898</v>
      </c>
      <c r="D139" s="626">
        <f>+Synthèse!G138</f>
        <v>624219.73444262752</v>
      </c>
      <c r="E139" s="623">
        <f t="shared" si="6"/>
        <v>-100714.16333799146</v>
      </c>
      <c r="F139" s="189">
        <v>237478.75632515497</v>
      </c>
      <c r="G139" s="627">
        <f>+Synthèse!F138</f>
        <v>296248.31373745669</v>
      </c>
      <c r="H139" s="627">
        <f t="shared" si="7"/>
        <v>58769.557412301714</v>
      </c>
      <c r="I139" s="190">
        <v>116633.46794357851</v>
      </c>
      <c r="J139" s="629">
        <f>+Synthèse!H138</f>
        <v>113905.42011099847</v>
      </c>
      <c r="K139" s="629">
        <f t="shared" si="8"/>
        <v>-2728.0478325800359</v>
      </c>
    </row>
    <row r="140" spans="1:11" s="193" customFormat="1" ht="15" x14ac:dyDescent="0.25">
      <c r="A140" s="85">
        <f>Données!A140</f>
        <v>5638</v>
      </c>
      <c r="B140" s="302" t="str">
        <f>Données!B140</f>
        <v>Lonay</v>
      </c>
      <c r="C140" s="190">
        <v>4987697.700979257</v>
      </c>
      <c r="D140" s="626">
        <f>+Synthèse!G139</f>
        <v>8309058.0803084597</v>
      </c>
      <c r="E140" s="623">
        <f t="shared" si="6"/>
        <v>3321360.3793292027</v>
      </c>
      <c r="F140" s="189">
        <v>2225879.4458114272</v>
      </c>
      <c r="G140" s="627">
        <f>+Synthèse!F139</f>
        <v>2500459.4224812407</v>
      </c>
      <c r="H140" s="627">
        <f t="shared" si="7"/>
        <v>274579.97666981351</v>
      </c>
      <c r="I140" s="190">
        <v>456751.27974122413</v>
      </c>
      <c r="J140" s="629">
        <f>+Synthèse!H139</f>
        <v>435510.15442991059</v>
      </c>
      <c r="K140" s="629">
        <f t="shared" si="8"/>
        <v>-21241.125311313546</v>
      </c>
    </row>
    <row r="141" spans="1:11" s="193" customFormat="1" ht="15" x14ac:dyDescent="0.25">
      <c r="A141" s="85">
        <f>Données!A141</f>
        <v>5639</v>
      </c>
      <c r="B141" s="302" t="str">
        <f>Données!B141</f>
        <v>Lully</v>
      </c>
      <c r="C141" s="190">
        <v>986625.34544502525</v>
      </c>
      <c r="D141" s="626">
        <f>+Synthèse!G140</f>
        <v>976221.60805357038</v>
      </c>
      <c r="E141" s="623">
        <f t="shared" si="6"/>
        <v>-10403.737391454866</v>
      </c>
      <c r="F141" s="189">
        <v>928523.3566363228</v>
      </c>
      <c r="G141" s="627">
        <f>+Synthèse!F140</f>
        <v>874364.49363117362</v>
      </c>
      <c r="H141" s="627">
        <f t="shared" si="7"/>
        <v>-54158.863005149178</v>
      </c>
      <c r="I141" s="190">
        <v>139067.64934083301</v>
      </c>
      <c r="J141" s="629">
        <f>+Synthèse!H140</f>
        <v>133386.85151751968</v>
      </c>
      <c r="K141" s="629">
        <f t="shared" si="8"/>
        <v>-5680.7978233133326</v>
      </c>
    </row>
    <row r="142" spans="1:11" s="193" customFormat="1" ht="15" x14ac:dyDescent="0.25">
      <c r="A142" s="85">
        <f>Données!A142</f>
        <v>5640</v>
      </c>
      <c r="B142" s="302" t="str">
        <f>Données!B142</f>
        <v>Lussy-sur-Morges</v>
      </c>
      <c r="C142" s="190">
        <v>2014595.6412449903</v>
      </c>
      <c r="D142" s="626">
        <f>+Synthèse!G141</f>
        <v>1003226.7233987959</v>
      </c>
      <c r="E142" s="623">
        <f t="shared" si="6"/>
        <v>-1011368.9178461944</v>
      </c>
      <c r="F142" s="189">
        <v>1264110.7364945125</v>
      </c>
      <c r="G142" s="627">
        <f>+Synthèse!F141</f>
        <v>940630.3470265778</v>
      </c>
      <c r="H142" s="627">
        <f t="shared" si="7"/>
        <v>-323480.38946793473</v>
      </c>
      <c r="I142" s="190">
        <v>86433.129005302355</v>
      </c>
      <c r="J142" s="629">
        <f>+Synthèse!H141</f>
        <v>60484.577055225789</v>
      </c>
      <c r="K142" s="629">
        <f t="shared" si="8"/>
        <v>-25948.551950076566</v>
      </c>
    </row>
    <row r="143" spans="1:11" s="193" customFormat="1" ht="15" x14ac:dyDescent="0.25">
      <c r="A143" s="85">
        <f>Données!A143</f>
        <v>5642</v>
      </c>
      <c r="B143" s="302" t="str">
        <f>Données!B143</f>
        <v>Morges</v>
      </c>
      <c r="C143" s="190">
        <v>14154026.523068612</v>
      </c>
      <c r="D143" s="626">
        <f>+Synthèse!G142</f>
        <v>22595461.686641857</v>
      </c>
      <c r="E143" s="623">
        <f t="shared" si="6"/>
        <v>8441435.1635732446</v>
      </c>
      <c r="F143" s="189">
        <v>3090556.4287314378</v>
      </c>
      <c r="G143" s="627">
        <f>+Synthèse!F142</f>
        <v>8567956.7644377872</v>
      </c>
      <c r="H143" s="627">
        <f t="shared" si="7"/>
        <v>5477400.3357063495</v>
      </c>
      <c r="I143" s="190">
        <v>1027139.4877777316</v>
      </c>
      <c r="J143" s="629">
        <f>+Synthèse!H142</f>
        <v>1275468.9921664111</v>
      </c>
      <c r="K143" s="629">
        <f t="shared" si="8"/>
        <v>248329.50438867952</v>
      </c>
    </row>
    <row r="144" spans="1:11" s="193" customFormat="1" ht="15" x14ac:dyDescent="0.25">
      <c r="A144" s="85">
        <f>Données!A144</f>
        <v>5643</v>
      </c>
      <c r="B144" s="302" t="str">
        <f>Données!B144</f>
        <v>Préverenges</v>
      </c>
      <c r="C144" s="190">
        <v>3874397.0156307993</v>
      </c>
      <c r="D144" s="626">
        <f>+Synthèse!G143</f>
        <v>3577948.7639523223</v>
      </c>
      <c r="E144" s="623">
        <f t="shared" si="6"/>
        <v>-296448.25167847704</v>
      </c>
      <c r="F144" s="189">
        <v>2955786.6836082847</v>
      </c>
      <c r="G144" s="627">
        <f>+Synthèse!F143</f>
        <v>2607555.7038756302</v>
      </c>
      <c r="H144" s="627">
        <f t="shared" si="7"/>
        <v>-348230.97973265452</v>
      </c>
      <c r="I144" s="190">
        <v>315853.36339301366</v>
      </c>
      <c r="J144" s="629">
        <f>+Synthèse!H143</f>
        <v>280530.47853210435</v>
      </c>
      <c r="K144" s="629">
        <f t="shared" si="8"/>
        <v>-35322.884860909311</v>
      </c>
    </row>
    <row r="145" spans="1:11" s="193" customFormat="1" ht="15" x14ac:dyDescent="0.25">
      <c r="A145" s="85">
        <f>Données!A145</f>
        <v>5645</v>
      </c>
      <c r="B145" s="302" t="str">
        <f>Données!B145</f>
        <v>Romanel-sur-Morges</v>
      </c>
      <c r="C145" s="190">
        <v>498303.71248439729</v>
      </c>
      <c r="D145" s="626">
        <f>+Synthèse!G144</f>
        <v>424380.76892418793</v>
      </c>
      <c r="E145" s="623">
        <f t="shared" si="6"/>
        <v>-73922.943560209358</v>
      </c>
      <c r="F145" s="189">
        <v>451929.43722952169</v>
      </c>
      <c r="G145" s="627">
        <f>+Synthèse!F144</f>
        <v>463312.13196080609</v>
      </c>
      <c r="H145" s="627">
        <f t="shared" si="7"/>
        <v>11382.694731284399</v>
      </c>
      <c r="I145" s="190">
        <v>73794.919373117475</v>
      </c>
      <c r="J145" s="629">
        <f>+Synthèse!H144</f>
        <v>72717.251055713656</v>
      </c>
      <c r="K145" s="629">
        <f t="shared" si="8"/>
        <v>-1077.6683174038189</v>
      </c>
    </row>
    <row r="146" spans="1:11" s="193" customFormat="1" ht="15" x14ac:dyDescent="0.25">
      <c r="A146" s="85">
        <f>Données!A146</f>
        <v>5646</v>
      </c>
      <c r="B146" s="302" t="str">
        <f>Données!B146</f>
        <v>Saint-Prex</v>
      </c>
      <c r="C146" s="190">
        <v>13263641.734046079</v>
      </c>
      <c r="D146" s="626">
        <f>+Synthèse!G145</f>
        <v>11599894.766582545</v>
      </c>
      <c r="E146" s="623">
        <f t="shared" si="6"/>
        <v>-1663746.9674635343</v>
      </c>
      <c r="F146" s="189">
        <v>7746462.1106970999</v>
      </c>
      <c r="G146" s="627">
        <f>+Synthèse!F145</f>
        <v>7652078.7387729511</v>
      </c>
      <c r="H146" s="627">
        <f t="shared" si="7"/>
        <v>-94383.371924148872</v>
      </c>
      <c r="I146" s="190">
        <v>646317.60692771373</v>
      </c>
      <c r="J146" s="629">
        <f>+Synthèse!H145</f>
        <v>591522.95396997326</v>
      </c>
      <c r="K146" s="629">
        <f t="shared" si="8"/>
        <v>-54794.652957740473</v>
      </c>
    </row>
    <row r="147" spans="1:11" s="193" customFormat="1" ht="15" x14ac:dyDescent="0.25">
      <c r="A147" s="85">
        <f>Données!A147</f>
        <v>5648</v>
      </c>
      <c r="B147" s="302" t="str">
        <f>Données!B147</f>
        <v>Saint-Sulpice</v>
      </c>
      <c r="C147" s="190">
        <v>9074983.263803767</v>
      </c>
      <c r="D147" s="626">
        <f>+Synthèse!G146</f>
        <v>8545628.9552328493</v>
      </c>
      <c r="E147" s="623">
        <f t="shared" si="6"/>
        <v>-529354.3085709177</v>
      </c>
      <c r="F147" s="189">
        <v>5753803.1808618996</v>
      </c>
      <c r="G147" s="627">
        <f>+Synthèse!F146</f>
        <v>5650970.1090755295</v>
      </c>
      <c r="H147" s="627">
        <f t="shared" si="7"/>
        <v>-102833.07178637013</v>
      </c>
      <c r="I147" s="190">
        <v>483311.27643643942</v>
      </c>
      <c r="J147" s="629">
        <f>+Synthèse!H146</f>
        <v>446516.59987220442</v>
      </c>
      <c r="K147" s="629">
        <f t="shared" si="8"/>
        <v>-36794.676564235007</v>
      </c>
    </row>
    <row r="148" spans="1:11" s="193" customFormat="1" ht="15" x14ac:dyDescent="0.25">
      <c r="A148" s="85">
        <f>Données!A148</f>
        <v>5649</v>
      </c>
      <c r="B148" s="302" t="str">
        <f>Données!B148</f>
        <v>Tolochenaz</v>
      </c>
      <c r="C148" s="190">
        <v>3583426.1140697729</v>
      </c>
      <c r="D148" s="626">
        <f>+Synthèse!G147</f>
        <v>9016597.5732008275</v>
      </c>
      <c r="E148" s="623">
        <f t="shared" si="6"/>
        <v>5433171.4591310546</v>
      </c>
      <c r="F148" s="189">
        <v>2348254.4259970468</v>
      </c>
      <c r="G148" s="627">
        <f>+Synthèse!F147</f>
        <v>4961595.2162002278</v>
      </c>
      <c r="H148" s="627">
        <f t="shared" si="7"/>
        <v>2613340.7902031811</v>
      </c>
      <c r="I148" s="190">
        <v>190651.83386027423</v>
      </c>
      <c r="J148" s="629">
        <f>+Synthèse!H147</f>
        <v>316902.22486732854</v>
      </c>
      <c r="K148" s="629">
        <f t="shared" si="8"/>
        <v>126250.39100705431</v>
      </c>
    </row>
    <row r="149" spans="1:11" s="193" customFormat="1" ht="15" x14ac:dyDescent="0.25">
      <c r="A149" s="85">
        <f>Données!A149</f>
        <v>5650</v>
      </c>
      <c r="B149" s="302" t="str">
        <f>Données!B149</f>
        <v>Vaux-sur-Morges</v>
      </c>
      <c r="C149" s="190">
        <v>3970032.8678567163</v>
      </c>
      <c r="D149" s="626">
        <f>+Synthèse!G148</f>
        <v>3848817.0585677195</v>
      </c>
      <c r="E149" s="623">
        <f t="shared" si="6"/>
        <v>-121215.80928899674</v>
      </c>
      <c r="F149" s="189">
        <v>651909.58071471145</v>
      </c>
      <c r="G149" s="627">
        <f>+Synthèse!F148</f>
        <v>765213.54571799538</v>
      </c>
      <c r="H149" s="627">
        <f t="shared" si="7"/>
        <v>113303.96500328393</v>
      </c>
      <c r="I149" s="190">
        <v>119214.07837273617</v>
      </c>
      <c r="J149" s="629">
        <f>+Synthèse!H148</f>
        <v>124642.43846201106</v>
      </c>
      <c r="K149" s="629">
        <f t="shared" si="8"/>
        <v>5428.3600892748946</v>
      </c>
    </row>
    <row r="150" spans="1:11" s="193" customFormat="1" ht="15" x14ac:dyDescent="0.25">
      <c r="A150" s="85">
        <f>Données!A150</f>
        <v>5651</v>
      </c>
      <c r="B150" s="302" t="str">
        <f>Données!B150</f>
        <v>Villars-Sainte-Croix</v>
      </c>
      <c r="C150" s="190">
        <v>1028821.0484503955</v>
      </c>
      <c r="D150" s="626">
        <f>+Synthèse!G149</f>
        <v>1056762.3477106479</v>
      </c>
      <c r="E150" s="623">
        <f t="shared" si="6"/>
        <v>27941.299260252388</v>
      </c>
      <c r="F150" s="189">
        <v>983885.66116076952</v>
      </c>
      <c r="G150" s="627">
        <f>+Synthèse!F149</f>
        <v>1057187.1873470689</v>
      </c>
      <c r="H150" s="627">
        <f t="shared" si="7"/>
        <v>73301.526186299394</v>
      </c>
      <c r="I150" s="190">
        <v>70406.51431768664</v>
      </c>
      <c r="J150" s="629">
        <f>+Synthèse!H149</f>
        <v>69183.195491321545</v>
      </c>
      <c r="K150" s="629">
        <f t="shared" si="8"/>
        <v>-1223.3188263650954</v>
      </c>
    </row>
    <row r="151" spans="1:11" s="193" customFormat="1" ht="15" x14ac:dyDescent="0.25">
      <c r="A151" s="85">
        <f>Données!A151</f>
        <v>5652</v>
      </c>
      <c r="B151" s="302" t="str">
        <f>Données!B151</f>
        <v>Villars-sous-Yens</v>
      </c>
      <c r="C151" s="190">
        <v>359426.93793919554</v>
      </c>
      <c r="D151" s="626">
        <f>+Synthèse!G150</f>
        <v>681026.34108321229</v>
      </c>
      <c r="E151" s="623">
        <f t="shared" si="6"/>
        <v>321599.40314401675</v>
      </c>
      <c r="F151" s="189">
        <v>297961.78425226011</v>
      </c>
      <c r="G151" s="627">
        <f>+Synthèse!F150</f>
        <v>462094.68470127386</v>
      </c>
      <c r="H151" s="627">
        <f t="shared" si="7"/>
        <v>164132.90044901374</v>
      </c>
      <c r="I151" s="190">
        <v>80472.720264003059</v>
      </c>
      <c r="J151" s="629">
        <f>+Synthèse!H150</f>
        <v>88053.294108359143</v>
      </c>
      <c r="K151" s="629">
        <f t="shared" si="8"/>
        <v>7580.573844356084</v>
      </c>
    </row>
    <row r="152" spans="1:11" s="193" customFormat="1" ht="15" x14ac:dyDescent="0.25">
      <c r="A152" s="85">
        <f>Données!A152</f>
        <v>5653</v>
      </c>
      <c r="B152" s="302" t="str">
        <f>Données!B152</f>
        <v>Vufflens-le-Château</v>
      </c>
      <c r="C152" s="190">
        <v>1431669.0912891356</v>
      </c>
      <c r="D152" s="626">
        <f>+Synthèse!G151</f>
        <v>1217168.2433600428</v>
      </c>
      <c r="E152" s="623">
        <f t="shared" si="6"/>
        <v>-214500.84792909282</v>
      </c>
      <c r="F152" s="189">
        <v>1189514.0271319186</v>
      </c>
      <c r="G152" s="627">
        <f>+Synthèse!F151</f>
        <v>1173085.3325417787</v>
      </c>
      <c r="H152" s="627">
        <f t="shared" si="7"/>
        <v>-16428.694590139901</v>
      </c>
      <c r="I152" s="190">
        <v>162039.5007229982</v>
      </c>
      <c r="J152" s="629">
        <f>+Synthèse!H151</f>
        <v>155661.55446305702</v>
      </c>
      <c r="K152" s="629">
        <f t="shared" si="8"/>
        <v>-6377.9462599411781</v>
      </c>
    </row>
    <row r="153" spans="1:11" s="193" customFormat="1" ht="15" x14ac:dyDescent="0.25">
      <c r="A153" s="85">
        <f>Données!A153</f>
        <v>5654</v>
      </c>
      <c r="B153" s="302" t="str">
        <f>Données!B153</f>
        <v>Vullierens</v>
      </c>
      <c r="C153" s="190">
        <v>348850.69620263245</v>
      </c>
      <c r="D153" s="626">
        <f>+Synthèse!G152</f>
        <v>299080.79965304525</v>
      </c>
      <c r="E153" s="623">
        <f t="shared" si="6"/>
        <v>-49769.896549587196</v>
      </c>
      <c r="F153" s="189">
        <v>81248.851416697958</v>
      </c>
      <c r="G153" s="627">
        <f>+Synthèse!F152</f>
        <v>204203.42540103878</v>
      </c>
      <c r="H153" s="627">
        <f t="shared" si="7"/>
        <v>122954.57398434082</v>
      </c>
      <c r="I153" s="190">
        <v>63654.018761548839</v>
      </c>
      <c r="J153" s="629">
        <f>+Synthèse!H152</f>
        <v>65528.923321491355</v>
      </c>
      <c r="K153" s="629">
        <f t="shared" si="8"/>
        <v>1874.9045599425153</v>
      </c>
    </row>
    <row r="154" spans="1:11" s="193" customFormat="1" ht="15" x14ac:dyDescent="0.25">
      <c r="A154" s="85">
        <f>Données!A154</f>
        <v>5655</v>
      </c>
      <c r="B154" s="302" t="str">
        <f>Données!B154</f>
        <v>Yens</v>
      </c>
      <c r="C154" s="190">
        <v>1041726.3864193198</v>
      </c>
      <c r="D154" s="626">
        <f>+Synthèse!G153</f>
        <v>1312347.3073845033</v>
      </c>
      <c r="E154" s="623">
        <f t="shared" si="6"/>
        <v>270620.92096518353</v>
      </c>
      <c r="F154" s="189">
        <v>1112140.7347744782</v>
      </c>
      <c r="G154" s="627">
        <f>+Synthèse!F153</f>
        <v>1292577.1547625507</v>
      </c>
      <c r="H154" s="627">
        <f t="shared" si="7"/>
        <v>180436.41998807248</v>
      </c>
      <c r="I154" s="190">
        <v>222970.42470975526</v>
      </c>
      <c r="J154" s="629">
        <f>+Synthèse!H153</f>
        <v>231194.84396507073</v>
      </c>
      <c r="K154" s="629">
        <f t="shared" si="8"/>
        <v>8224.4192553154717</v>
      </c>
    </row>
    <row r="155" spans="1:11" s="193" customFormat="1" ht="15" x14ac:dyDescent="0.25">
      <c r="A155" s="85">
        <f>Données!A155</f>
        <v>5656</v>
      </c>
      <c r="B155" s="302" t="str">
        <f>Données!B155</f>
        <v>Hautemorges</v>
      </c>
      <c r="C155" s="190">
        <v>2978265.892174413</v>
      </c>
      <c r="D155" s="626">
        <f>+Synthèse!G154</f>
        <v>2369533.1042839242</v>
      </c>
      <c r="E155" s="623">
        <f t="shared" si="6"/>
        <v>-608732.78789048875</v>
      </c>
      <c r="F155" s="189">
        <v>-712272.21560119698</v>
      </c>
      <c r="G155" s="627">
        <f>+Synthèse!F154</f>
        <v>729541.07677948475</v>
      </c>
      <c r="H155" s="627">
        <f t="shared" si="7"/>
        <v>1441813.2923806817</v>
      </c>
      <c r="I155" s="190">
        <v>531697.21268717013</v>
      </c>
      <c r="J155" s="629">
        <f>+Synthèse!H154</f>
        <v>498749.05621964968</v>
      </c>
      <c r="K155" s="629">
        <f t="shared" si="8"/>
        <v>-32948.156467520457</v>
      </c>
    </row>
    <row r="156" spans="1:11" s="193" customFormat="1" ht="15" x14ac:dyDescent="0.25">
      <c r="A156" s="85">
        <f>Données!A156</f>
        <v>5661</v>
      </c>
      <c r="B156" s="302" t="str">
        <f>Données!B156</f>
        <v>Boulens</v>
      </c>
      <c r="C156" s="190">
        <v>172236.23042588582</v>
      </c>
      <c r="D156" s="626">
        <f>+Synthèse!G155</f>
        <v>159016.28242423703</v>
      </c>
      <c r="E156" s="623">
        <f t="shared" si="6"/>
        <v>-13219.948001648794</v>
      </c>
      <c r="F156" s="189">
        <v>17288.928001929919</v>
      </c>
      <c r="G156" s="627">
        <f>+Synthèse!F155</f>
        <v>-33511.081141631497</v>
      </c>
      <c r="H156" s="627">
        <f t="shared" si="7"/>
        <v>-50800.009143561416</v>
      </c>
      <c r="I156" s="190">
        <v>34498.786717299881</v>
      </c>
      <c r="J156" s="629">
        <f>+Synthèse!H155</f>
        <v>29619.860996667583</v>
      </c>
      <c r="K156" s="629">
        <f t="shared" si="8"/>
        <v>-4878.9257206322982</v>
      </c>
    </row>
    <row r="157" spans="1:11" s="193" customFormat="1" ht="15" x14ac:dyDescent="0.25">
      <c r="A157" s="85">
        <f>Données!A157</f>
        <v>5663</v>
      </c>
      <c r="B157" s="302" t="str">
        <f>Données!B157</f>
        <v>Bussy-sur-Moudon</v>
      </c>
      <c r="C157" s="190">
        <v>79443.016972359561</v>
      </c>
      <c r="D157" s="626">
        <f>+Synthèse!G156</f>
        <v>101338.5183713466</v>
      </c>
      <c r="E157" s="623">
        <f t="shared" si="6"/>
        <v>21895.501398987035</v>
      </c>
      <c r="F157" s="189">
        <v>-88815.020484678578</v>
      </c>
      <c r="G157" s="627">
        <f>+Synthèse!F156</f>
        <v>-25960.244546060625</v>
      </c>
      <c r="H157" s="627">
        <f t="shared" si="7"/>
        <v>62854.775938617953</v>
      </c>
      <c r="I157" s="190">
        <v>16104.851946344575</v>
      </c>
      <c r="J157" s="629">
        <f>+Synthèse!H156</f>
        <v>21339.278173993611</v>
      </c>
      <c r="K157" s="629">
        <f t="shared" si="8"/>
        <v>5234.4262276490354</v>
      </c>
    </row>
    <row r="158" spans="1:11" s="193" customFormat="1" ht="15" x14ac:dyDescent="0.25">
      <c r="A158" s="85">
        <f>Données!A158</f>
        <v>5665</v>
      </c>
      <c r="B158" s="302" t="str">
        <f>Données!B158</f>
        <v>Chavannes-sur-Moudon</v>
      </c>
      <c r="C158" s="190">
        <v>67816.36072919851</v>
      </c>
      <c r="D158" s="626">
        <f>+Synthèse!G157</f>
        <v>68080.170365295751</v>
      </c>
      <c r="E158" s="623">
        <f t="shared" si="6"/>
        <v>263.80963609724131</v>
      </c>
      <c r="F158" s="189">
        <v>-48323.505347474696</v>
      </c>
      <c r="G158" s="627">
        <f>+Synthèse!F157</f>
        <v>-31919.115123071169</v>
      </c>
      <c r="H158" s="627">
        <f t="shared" si="7"/>
        <v>16404.390224403527</v>
      </c>
      <c r="I158" s="190">
        <v>15054.796633531983</v>
      </c>
      <c r="J158" s="629">
        <f>+Synthèse!H157</f>
        <v>17603.904385050693</v>
      </c>
      <c r="K158" s="629">
        <f t="shared" si="8"/>
        <v>2549.1077515187098</v>
      </c>
    </row>
    <row r="159" spans="1:11" s="193" customFormat="1" ht="15" x14ac:dyDescent="0.25">
      <c r="A159" s="85">
        <f>Données!A159</f>
        <v>5669</v>
      </c>
      <c r="B159" s="302" t="str">
        <f>Données!B159</f>
        <v>Curtilles</v>
      </c>
      <c r="C159" s="190">
        <v>163376.99428772228</v>
      </c>
      <c r="D159" s="626">
        <f>+Synthèse!G158</f>
        <v>181947.79378620378</v>
      </c>
      <c r="E159" s="623">
        <f t="shared" si="6"/>
        <v>18570.799498481501</v>
      </c>
      <c r="F159" s="189">
        <v>38498.371716520516</v>
      </c>
      <c r="G159" s="627">
        <f>+Synthèse!F158</f>
        <v>17266.746851634351</v>
      </c>
      <c r="H159" s="627">
        <f t="shared" si="7"/>
        <v>-21231.624864886166</v>
      </c>
      <c r="I159" s="190">
        <v>28825.812438423738</v>
      </c>
      <c r="J159" s="629">
        <f>+Synthèse!H158</f>
        <v>28230.73155472389</v>
      </c>
      <c r="K159" s="629">
        <f t="shared" si="8"/>
        <v>-595.08088369984762</v>
      </c>
    </row>
    <row r="160" spans="1:11" s="193" customFormat="1" ht="15" x14ac:dyDescent="0.25">
      <c r="A160" s="85">
        <f>Données!A160</f>
        <v>5671</v>
      </c>
      <c r="B160" s="302" t="str">
        <f>Données!B160</f>
        <v>Dompierre</v>
      </c>
      <c r="C160" s="190">
        <v>135458.80365421117</v>
      </c>
      <c r="D160" s="626">
        <f>+Synthèse!G159</f>
        <v>111274.38805551111</v>
      </c>
      <c r="E160" s="623">
        <f t="shared" si="6"/>
        <v>-24184.415598700056</v>
      </c>
      <c r="F160" s="189">
        <v>-36632.500977764517</v>
      </c>
      <c r="G160" s="627">
        <f>+Synthèse!F159</f>
        <v>14714.843063876964</v>
      </c>
      <c r="H160" s="627">
        <f t="shared" si="7"/>
        <v>51347.344041641481</v>
      </c>
      <c r="I160" s="190">
        <v>19901.229729098974</v>
      </c>
      <c r="J160" s="629">
        <f>+Synthèse!H159</f>
        <v>24302.594549431018</v>
      </c>
      <c r="K160" s="629">
        <f t="shared" si="8"/>
        <v>4401.3648203320445</v>
      </c>
    </row>
    <row r="161" spans="1:11" s="193" customFormat="1" ht="15" x14ac:dyDescent="0.25">
      <c r="A161" s="85">
        <f>Données!A161</f>
        <v>5673</v>
      </c>
      <c r="B161" s="302" t="str">
        <f>Données!B161</f>
        <v>Hermenches</v>
      </c>
      <c r="C161" s="190">
        <v>135116.8192156204</v>
      </c>
      <c r="D161" s="626">
        <f>+Synthèse!G160</f>
        <v>152347.08967993269</v>
      </c>
      <c r="E161" s="623">
        <f t="shared" si="6"/>
        <v>17230.270464312285</v>
      </c>
      <c r="F161" s="189">
        <v>-232251.44683049878</v>
      </c>
      <c r="G161" s="627">
        <f>+Synthèse!F160</f>
        <v>-72.223392659652745</v>
      </c>
      <c r="H161" s="627">
        <f t="shared" si="7"/>
        <v>232179.22343783913</v>
      </c>
      <c r="I161" s="190">
        <v>31618.325680081289</v>
      </c>
      <c r="J161" s="629">
        <f>+Synthèse!H160</f>
        <v>33109.534725712008</v>
      </c>
      <c r="K161" s="629">
        <f t="shared" si="8"/>
        <v>1491.2090456307196</v>
      </c>
    </row>
    <row r="162" spans="1:11" s="193" customFormat="1" ht="15" x14ac:dyDescent="0.25">
      <c r="A162" s="85">
        <f>Données!A162</f>
        <v>5674</v>
      </c>
      <c r="B162" s="302" t="str">
        <f>Données!B162</f>
        <v>Lovatens</v>
      </c>
      <c r="C162" s="190">
        <v>72616.645481532658</v>
      </c>
      <c r="D162" s="626">
        <f>+Synthèse!G161</f>
        <v>47570.280172472245</v>
      </c>
      <c r="E162" s="623">
        <f t="shared" si="6"/>
        <v>-25046.365309060413</v>
      </c>
      <c r="F162" s="189">
        <v>-25505.730189656024</v>
      </c>
      <c r="G162" s="627">
        <f>+Synthèse!F161</f>
        <v>-4962.9383618781576</v>
      </c>
      <c r="H162" s="627">
        <f t="shared" si="7"/>
        <v>20542.791827777866</v>
      </c>
      <c r="I162" s="190">
        <v>12936.015612911804</v>
      </c>
      <c r="J162" s="629">
        <f>+Synthèse!H161</f>
        <v>12266.809242410582</v>
      </c>
      <c r="K162" s="629">
        <f t="shared" si="8"/>
        <v>-669.20637050122241</v>
      </c>
    </row>
    <row r="163" spans="1:11" s="193" customFormat="1" ht="15" x14ac:dyDescent="0.25">
      <c r="A163" s="85">
        <f>Données!A163</f>
        <v>5675</v>
      </c>
      <c r="B163" s="302" t="str">
        <f>Données!B163</f>
        <v>Lucens</v>
      </c>
      <c r="C163" s="190">
        <v>1862302.8675629757</v>
      </c>
      <c r="D163" s="626">
        <f>+Synthèse!G162</f>
        <v>1515725.4312820891</v>
      </c>
      <c r="E163" s="623">
        <f t="shared" si="6"/>
        <v>-346577.43628088664</v>
      </c>
      <c r="F163" s="189">
        <v>-1962125.6666088894</v>
      </c>
      <c r="G163" s="627">
        <f>+Synthèse!F162</f>
        <v>-2299085.9148399709</v>
      </c>
      <c r="H163" s="627">
        <f t="shared" si="7"/>
        <v>-336960.24823108152</v>
      </c>
      <c r="I163" s="190">
        <v>317398.23045453045</v>
      </c>
      <c r="J163" s="629">
        <f>+Synthèse!H162</f>
        <v>284381.84449531644</v>
      </c>
      <c r="K163" s="629">
        <f t="shared" si="8"/>
        <v>-33016.385959214007</v>
      </c>
    </row>
    <row r="164" spans="1:11" s="193" customFormat="1" ht="15" x14ac:dyDescent="0.25">
      <c r="A164" s="85">
        <f>Données!A164</f>
        <v>5678</v>
      </c>
      <c r="B164" s="302" t="str">
        <f>Données!B164</f>
        <v>Moudon</v>
      </c>
      <c r="C164" s="190">
        <v>2520124.7096513296</v>
      </c>
      <c r="D164" s="626">
        <f>+Synthèse!G163</f>
        <v>2191034.8604854019</v>
      </c>
      <c r="E164" s="623">
        <f t="shared" si="6"/>
        <v>-329089.84916592762</v>
      </c>
      <c r="F164" s="189">
        <v>-4853922.8503409848</v>
      </c>
      <c r="G164" s="627">
        <f>+Synthèse!F163</f>
        <v>-3261323.8866922981</v>
      </c>
      <c r="H164" s="627">
        <f t="shared" si="7"/>
        <v>1592598.9636486867</v>
      </c>
      <c r="I164" s="190">
        <v>376356.86813019629</v>
      </c>
      <c r="J164" s="629">
        <f>+Synthèse!H163</f>
        <v>389907.52140397415</v>
      </c>
      <c r="K164" s="629">
        <f t="shared" si="8"/>
        <v>13550.653273777862</v>
      </c>
    </row>
    <row r="165" spans="1:11" s="193" customFormat="1" ht="15" x14ac:dyDescent="0.25">
      <c r="A165" s="85">
        <f>Données!A165</f>
        <v>5680</v>
      </c>
      <c r="B165" s="302" t="str">
        <f>Données!B165</f>
        <v>Ogens</v>
      </c>
      <c r="C165" s="190">
        <v>133037.78652910076</v>
      </c>
      <c r="D165" s="626">
        <f>+Synthèse!G164</f>
        <v>142999.16826071538</v>
      </c>
      <c r="E165" s="623">
        <f t="shared" si="6"/>
        <v>9961.381731614616</v>
      </c>
      <c r="F165" s="189">
        <v>-63249.693666977575</v>
      </c>
      <c r="G165" s="627">
        <f>+Synthèse!F164</f>
        <v>-97649.257700353861</v>
      </c>
      <c r="H165" s="627">
        <f t="shared" si="7"/>
        <v>-34399.564033376286</v>
      </c>
      <c r="I165" s="190">
        <v>26098.64523378895</v>
      </c>
      <c r="J165" s="629">
        <f>+Synthèse!H164</f>
        <v>23159.579033235506</v>
      </c>
      <c r="K165" s="629">
        <f t="shared" si="8"/>
        <v>-2939.0662005534432</v>
      </c>
    </row>
    <row r="166" spans="1:11" s="193" customFormat="1" ht="15" x14ac:dyDescent="0.25">
      <c r="A166" s="85">
        <f>Données!A166</f>
        <v>5683</v>
      </c>
      <c r="B166" s="302" t="str">
        <f>Données!B166</f>
        <v>Prévonloup</v>
      </c>
      <c r="C166" s="190">
        <v>89833.371483877112</v>
      </c>
      <c r="D166" s="626">
        <f>+Synthèse!G165</f>
        <v>117048.69566980876</v>
      </c>
      <c r="E166" s="623">
        <f t="shared" si="6"/>
        <v>27215.324185931648</v>
      </c>
      <c r="F166" s="189">
        <v>-27195.88289005938</v>
      </c>
      <c r="G166" s="627">
        <f>+Synthèse!F165</f>
        <v>-2794.359210016919</v>
      </c>
      <c r="H166" s="627">
        <f t="shared" si="7"/>
        <v>24401.523680042461</v>
      </c>
      <c r="I166" s="190">
        <v>16509.91342202407</v>
      </c>
      <c r="J166" s="629">
        <f>+Synthèse!H165</f>
        <v>19335.250873301076</v>
      </c>
      <c r="K166" s="629">
        <f t="shared" si="8"/>
        <v>2825.337451277006</v>
      </c>
    </row>
    <row r="167" spans="1:11" s="193" customFormat="1" ht="15" x14ac:dyDescent="0.25">
      <c r="A167" s="85">
        <f>Données!A167</f>
        <v>5684</v>
      </c>
      <c r="B167" s="302" t="str">
        <f>Données!B167</f>
        <v>Rossenges</v>
      </c>
      <c r="C167" s="190">
        <v>41308.037806500972</v>
      </c>
      <c r="D167" s="626">
        <f>+Synthèse!G166</f>
        <v>67011.700177194361</v>
      </c>
      <c r="E167" s="623">
        <f t="shared" si="6"/>
        <v>25703.66237069339</v>
      </c>
      <c r="F167" s="189">
        <v>23657.955354891325</v>
      </c>
      <c r="G167" s="627">
        <f>+Synthèse!F166</f>
        <v>85450.28527275534</v>
      </c>
      <c r="H167" s="627">
        <f t="shared" si="7"/>
        <v>61792.329917864015</v>
      </c>
      <c r="I167" s="190">
        <v>10278.760015330063</v>
      </c>
      <c r="J167" s="629">
        <f>+Synthèse!H166</f>
        <v>13687.554935688211</v>
      </c>
      <c r="K167" s="629">
        <f t="shared" si="8"/>
        <v>3408.7949203581484</v>
      </c>
    </row>
    <row r="168" spans="1:11" s="193" customFormat="1" ht="15" x14ac:dyDescent="0.25">
      <c r="A168" s="85">
        <f>Données!A168</f>
        <v>5688</v>
      </c>
      <c r="B168" s="302" t="str">
        <f>Données!B168</f>
        <v>Syens</v>
      </c>
      <c r="C168" s="190">
        <v>91613.539654184598</v>
      </c>
      <c r="D168" s="626">
        <f>+Synthèse!G167</f>
        <v>61939.648033713129</v>
      </c>
      <c r="E168" s="623">
        <f t="shared" si="6"/>
        <v>-29673.89162047147</v>
      </c>
      <c r="F168" s="189">
        <v>48610.444715779042</v>
      </c>
      <c r="G168" s="627">
        <f>+Synthèse!F167</f>
        <v>28743.677593835615</v>
      </c>
      <c r="H168" s="627">
        <f t="shared" si="7"/>
        <v>-19866.767121943427</v>
      </c>
      <c r="I168" s="190">
        <v>19210.614112743726</v>
      </c>
      <c r="J168" s="629">
        <f>+Synthèse!H167</f>
        <v>15551.068016509387</v>
      </c>
      <c r="K168" s="629">
        <f t="shared" si="8"/>
        <v>-3659.5460962343386</v>
      </c>
    </row>
    <row r="169" spans="1:11" s="193" customFormat="1" ht="15" x14ac:dyDescent="0.25">
      <c r="A169" s="85">
        <f>Données!A169</f>
        <v>5690</v>
      </c>
      <c r="B169" s="302" t="str">
        <f>Données!B169</f>
        <v>Villars-le-Comte</v>
      </c>
      <c r="C169" s="190">
        <v>54272.465425779337</v>
      </c>
      <c r="D169" s="626">
        <f>+Synthèse!G168</f>
        <v>82215.680673623778</v>
      </c>
      <c r="E169" s="623">
        <f t="shared" si="6"/>
        <v>27943.21524784444</v>
      </c>
      <c r="F169" s="189">
        <v>-26559.110199863731</v>
      </c>
      <c r="G169" s="627">
        <f>+Synthèse!F168</f>
        <v>24558.091566379495</v>
      </c>
      <c r="H169" s="627">
        <f t="shared" si="7"/>
        <v>51117.201766243226</v>
      </c>
      <c r="I169" s="190">
        <v>10696.258898322729</v>
      </c>
      <c r="J169" s="629">
        <f>+Synthèse!H168</f>
        <v>13028.496967965697</v>
      </c>
      <c r="K169" s="629">
        <f t="shared" si="8"/>
        <v>2332.2380696429682</v>
      </c>
    </row>
    <row r="170" spans="1:11" s="193" customFormat="1" ht="15" x14ac:dyDescent="0.25">
      <c r="A170" s="85">
        <f>Données!A170</f>
        <v>5692</v>
      </c>
      <c r="B170" s="302" t="str">
        <f>Données!B170</f>
        <v>Vucherens</v>
      </c>
      <c r="C170" s="190">
        <v>338902.50030147051</v>
      </c>
      <c r="D170" s="626">
        <f>+Synthèse!G169</f>
        <v>296063.02301389119</v>
      </c>
      <c r="E170" s="623">
        <f t="shared" si="6"/>
        <v>-42839.477287579328</v>
      </c>
      <c r="F170" s="189">
        <v>-60420.414126373711</v>
      </c>
      <c r="G170" s="627">
        <f>+Synthèse!F169</f>
        <v>-35683.234654076048</v>
      </c>
      <c r="H170" s="627">
        <f t="shared" si="7"/>
        <v>24737.179472297663</v>
      </c>
      <c r="I170" s="190">
        <v>57977.500185642784</v>
      </c>
      <c r="J170" s="629">
        <f>+Synthèse!H169</f>
        <v>54541.854849255193</v>
      </c>
      <c r="K170" s="629">
        <f t="shared" si="8"/>
        <v>-3435.6453363875917</v>
      </c>
    </row>
    <row r="171" spans="1:11" s="193" customFormat="1" ht="15" x14ac:dyDescent="0.25">
      <c r="A171" s="85">
        <f>Données!A171</f>
        <v>5693</v>
      </c>
      <c r="B171" s="302" t="str">
        <f>Données!B171</f>
        <v>Montanaire</v>
      </c>
      <c r="C171" s="190">
        <v>1222711.139557231</v>
      </c>
      <c r="D171" s="626">
        <f>+Synthèse!G170</f>
        <v>1154134.6451242014</v>
      </c>
      <c r="E171" s="623">
        <f t="shared" si="6"/>
        <v>-68576.494433029555</v>
      </c>
      <c r="F171" s="189">
        <v>-917905.45609132829</v>
      </c>
      <c r="G171" s="627">
        <f>+Synthèse!F170</f>
        <v>-649082.93197054393</v>
      </c>
      <c r="H171" s="627">
        <f t="shared" si="7"/>
        <v>268822.52412078436</v>
      </c>
      <c r="I171" s="190">
        <v>231600.02186898998</v>
      </c>
      <c r="J171" s="629">
        <f>+Synthèse!H170</f>
        <v>219829.3418133363</v>
      </c>
      <c r="K171" s="629">
        <f t="shared" si="8"/>
        <v>-11770.680055653676</v>
      </c>
    </row>
    <row r="172" spans="1:11" s="193" customFormat="1" ht="15" x14ac:dyDescent="0.25">
      <c r="A172" s="85">
        <f>Données!A172</f>
        <v>5701</v>
      </c>
      <c r="B172" s="302" t="str">
        <f>Données!B172</f>
        <v>Arnex-sur-Nyon</v>
      </c>
      <c r="C172" s="190">
        <v>327260.19763276097</v>
      </c>
      <c r="D172" s="626">
        <f>+Synthèse!G171</f>
        <v>227219.57340737717</v>
      </c>
      <c r="E172" s="623">
        <f t="shared" si="6"/>
        <v>-100040.6242253838</v>
      </c>
      <c r="F172" s="189">
        <v>250153.64647170465</v>
      </c>
      <c r="G172" s="627">
        <f>+Synthèse!F171</f>
        <v>246833.64245442697</v>
      </c>
      <c r="H172" s="627">
        <f t="shared" si="7"/>
        <v>-3320.0040172776789</v>
      </c>
      <c r="I172" s="190">
        <v>37749.311578978995</v>
      </c>
      <c r="J172" s="629">
        <f>+Synthèse!H171</f>
        <v>38331.913629787341</v>
      </c>
      <c r="K172" s="629">
        <f t="shared" si="8"/>
        <v>582.60205080834567</v>
      </c>
    </row>
    <row r="173" spans="1:11" s="193" customFormat="1" ht="15" x14ac:dyDescent="0.25">
      <c r="A173" s="85">
        <f>Données!A173</f>
        <v>5702</v>
      </c>
      <c r="B173" s="302" t="str">
        <f>Données!B173</f>
        <v>Arzier-Le Muids</v>
      </c>
      <c r="C173" s="190">
        <v>3440742.8944313042</v>
      </c>
      <c r="D173" s="626">
        <f>+Synthèse!G172</f>
        <v>3386352.2920582285</v>
      </c>
      <c r="E173" s="623">
        <f t="shared" si="6"/>
        <v>-54390.602373075671</v>
      </c>
      <c r="F173" s="189">
        <v>2070169.9959546316</v>
      </c>
      <c r="G173" s="627">
        <f>+Synthèse!F172</f>
        <v>2787116.7741099866</v>
      </c>
      <c r="H173" s="627">
        <f t="shared" si="7"/>
        <v>716946.77815535502</v>
      </c>
      <c r="I173" s="190">
        <v>474995.96549460274</v>
      </c>
      <c r="J173" s="629">
        <f>+Synthèse!H172</f>
        <v>483554.97788691189</v>
      </c>
      <c r="K173" s="629">
        <f t="shared" si="8"/>
        <v>8559.0123923091451</v>
      </c>
    </row>
    <row r="174" spans="1:11" s="193" customFormat="1" ht="15" x14ac:dyDescent="0.25">
      <c r="A174" s="85">
        <f>Données!A174</f>
        <v>5703</v>
      </c>
      <c r="B174" s="302" t="str">
        <f>Données!B174</f>
        <v>Bassins</v>
      </c>
      <c r="C174" s="190">
        <v>1097016.3224055748</v>
      </c>
      <c r="D174" s="626">
        <f>+Synthèse!G173</f>
        <v>958306.7401907926</v>
      </c>
      <c r="E174" s="623">
        <f t="shared" si="6"/>
        <v>-138709.58221478225</v>
      </c>
      <c r="F174" s="189">
        <v>888774.91644670931</v>
      </c>
      <c r="G174" s="627">
        <f>+Synthèse!F173</f>
        <v>816307.91363118193</v>
      </c>
      <c r="H174" s="627">
        <f t="shared" si="7"/>
        <v>-72467.002815527376</v>
      </c>
      <c r="I174" s="190">
        <v>206091.73528307187</v>
      </c>
      <c r="J174" s="629">
        <f>+Synthèse!H173</f>
        <v>196907.10065369448</v>
      </c>
      <c r="K174" s="629">
        <f t="shared" si="8"/>
        <v>-9184.6346293773968</v>
      </c>
    </row>
    <row r="175" spans="1:11" s="193" customFormat="1" ht="15" x14ac:dyDescent="0.25">
      <c r="A175" s="85">
        <f>Données!A175</f>
        <v>5704</v>
      </c>
      <c r="B175" s="302" t="str">
        <f>Données!B175</f>
        <v>Begnins</v>
      </c>
      <c r="C175" s="190">
        <v>3103386.8490362512</v>
      </c>
      <c r="D175" s="626">
        <f>+Synthèse!G174</f>
        <v>2805199.1895507597</v>
      </c>
      <c r="E175" s="623">
        <f t="shared" si="6"/>
        <v>-298187.65948549146</v>
      </c>
      <c r="F175" s="189">
        <v>2352171.9715564642</v>
      </c>
      <c r="G175" s="627">
        <f>+Synthèse!F174</f>
        <v>2208165.1492461162</v>
      </c>
      <c r="H175" s="627">
        <f t="shared" si="7"/>
        <v>-144006.82231034804</v>
      </c>
      <c r="I175" s="190">
        <v>351054.74045785639</v>
      </c>
      <c r="J175" s="629">
        <f>+Synthèse!H174</f>
        <v>341284.06009094272</v>
      </c>
      <c r="K175" s="629">
        <f t="shared" si="8"/>
        <v>-9770.6803669136716</v>
      </c>
    </row>
    <row r="176" spans="1:11" s="193" customFormat="1" ht="15" x14ac:dyDescent="0.25">
      <c r="A176" s="85">
        <f>Données!A176</f>
        <v>5705</v>
      </c>
      <c r="B176" s="302" t="str">
        <f>Données!B176</f>
        <v>Bogis-Bossey</v>
      </c>
      <c r="C176" s="190">
        <v>1092187.6754292534</v>
      </c>
      <c r="D176" s="626">
        <f>+Synthèse!G175</f>
        <v>879650.58672025567</v>
      </c>
      <c r="E176" s="623">
        <f t="shared" si="6"/>
        <v>-212537.0887089977</v>
      </c>
      <c r="F176" s="189">
        <v>886933.51011138258</v>
      </c>
      <c r="G176" s="627">
        <f>+Synthèse!F175</f>
        <v>948738.24864879565</v>
      </c>
      <c r="H176" s="627">
        <f t="shared" si="7"/>
        <v>61804.738537413068</v>
      </c>
      <c r="I176" s="190">
        <v>142223.55882502013</v>
      </c>
      <c r="J176" s="629">
        <f>+Synthèse!H175</f>
        <v>152558.95004467358</v>
      </c>
      <c r="K176" s="629">
        <f t="shared" si="8"/>
        <v>10335.391219653451</v>
      </c>
    </row>
    <row r="177" spans="1:11" s="193" customFormat="1" ht="15" x14ac:dyDescent="0.25">
      <c r="A177" s="85">
        <f>Données!A177</f>
        <v>5706</v>
      </c>
      <c r="B177" s="302" t="str">
        <f>Données!B177</f>
        <v>Borex</v>
      </c>
      <c r="C177" s="190">
        <v>1266250.2017405673</v>
      </c>
      <c r="D177" s="626">
        <f>+Synthèse!G176</f>
        <v>1090285.759484946</v>
      </c>
      <c r="E177" s="623">
        <f t="shared" si="6"/>
        <v>-175964.44225562131</v>
      </c>
      <c r="F177" s="189">
        <v>1184115.4558307377</v>
      </c>
      <c r="G177" s="627">
        <f>+Synthèse!F176</f>
        <v>1200384.3775776592</v>
      </c>
      <c r="H177" s="627">
        <f t="shared" si="7"/>
        <v>16268.921746921493</v>
      </c>
      <c r="I177" s="190">
        <v>190328.64462234807</v>
      </c>
      <c r="J177" s="629">
        <f>+Synthèse!H176</f>
        <v>184131.72221029576</v>
      </c>
      <c r="K177" s="629">
        <f t="shared" si="8"/>
        <v>-6196.922412052314</v>
      </c>
    </row>
    <row r="178" spans="1:11" s="193" customFormat="1" ht="15" x14ac:dyDescent="0.25">
      <c r="A178" s="85">
        <f>Données!A178</f>
        <v>5707</v>
      </c>
      <c r="B178" s="302" t="str">
        <f>Données!B178</f>
        <v>Chavannes-de-Bogis</v>
      </c>
      <c r="C178" s="190">
        <v>2101778.4955710694</v>
      </c>
      <c r="D178" s="626">
        <f>+Synthèse!G177</f>
        <v>1963432.392965121</v>
      </c>
      <c r="E178" s="623">
        <f t="shared" si="6"/>
        <v>-138346.10260594846</v>
      </c>
      <c r="F178" s="189">
        <v>1448317.618356437</v>
      </c>
      <c r="G178" s="627">
        <f>+Synthèse!F177</f>
        <v>1508432.3364401213</v>
      </c>
      <c r="H178" s="627">
        <f t="shared" si="7"/>
        <v>60114.718083684333</v>
      </c>
      <c r="I178" s="190">
        <v>225510.62495451485</v>
      </c>
      <c r="J178" s="629">
        <f>+Synthèse!H177</f>
        <v>231284.08846039482</v>
      </c>
      <c r="K178" s="629">
        <f t="shared" si="8"/>
        <v>5773.4635058799759</v>
      </c>
    </row>
    <row r="179" spans="1:11" s="193" customFormat="1" ht="15" x14ac:dyDescent="0.25">
      <c r="A179" s="85">
        <f>Données!A179</f>
        <v>5708</v>
      </c>
      <c r="B179" s="302" t="str">
        <f>Données!B179</f>
        <v>Chavannes-des-Bois</v>
      </c>
      <c r="C179" s="190">
        <v>1314019.1157511114</v>
      </c>
      <c r="D179" s="626">
        <f>+Synthèse!G178</f>
        <v>1585373.8864559063</v>
      </c>
      <c r="E179" s="623">
        <f t="shared" si="6"/>
        <v>271354.77070479491</v>
      </c>
      <c r="F179" s="189">
        <v>1160683.5537871371</v>
      </c>
      <c r="G179" s="627">
        <f>+Synthèse!F178</f>
        <v>1376942.9035961495</v>
      </c>
      <c r="H179" s="627">
        <f t="shared" si="7"/>
        <v>216259.34980901238</v>
      </c>
      <c r="I179" s="190">
        <v>171010.29968167996</v>
      </c>
      <c r="J179" s="629">
        <f>+Synthèse!H178</f>
        <v>180463.56431697894</v>
      </c>
      <c r="K179" s="629">
        <f t="shared" si="8"/>
        <v>9453.2646352989832</v>
      </c>
    </row>
    <row r="180" spans="1:11" s="193" customFormat="1" ht="15" x14ac:dyDescent="0.25">
      <c r="A180" s="85">
        <f>Données!A180</f>
        <v>5709</v>
      </c>
      <c r="B180" s="302" t="str">
        <f>Données!B180</f>
        <v>Chéserex</v>
      </c>
      <c r="C180" s="190">
        <v>2459878.1662190785</v>
      </c>
      <c r="D180" s="626">
        <f>+Synthèse!G179</f>
        <v>2249835.0077501363</v>
      </c>
      <c r="E180" s="623">
        <f t="shared" si="6"/>
        <v>-210043.15846894216</v>
      </c>
      <c r="F180" s="189">
        <v>1479007.9925588779</v>
      </c>
      <c r="G180" s="627">
        <f>+Synthèse!F179</f>
        <v>1899977.0371936655</v>
      </c>
      <c r="H180" s="627">
        <f t="shared" si="7"/>
        <v>420969.0446347876</v>
      </c>
      <c r="I180" s="190">
        <v>219995.93245452153</v>
      </c>
      <c r="J180" s="629">
        <f>+Synthèse!H179</f>
        <v>240835.62097408579</v>
      </c>
      <c r="K180" s="629">
        <f t="shared" si="8"/>
        <v>20839.688519564254</v>
      </c>
    </row>
    <row r="181" spans="1:11" s="193" customFormat="1" ht="15" x14ac:dyDescent="0.25">
      <c r="A181" s="85">
        <f>Données!A181</f>
        <v>5710</v>
      </c>
      <c r="B181" s="302" t="str">
        <f>Données!B181</f>
        <v>Coinsins</v>
      </c>
      <c r="C181" s="190">
        <v>945465.3338893404</v>
      </c>
      <c r="D181" s="626">
        <f>+Synthèse!G180</f>
        <v>510742.91708053561</v>
      </c>
      <c r="E181" s="623">
        <f t="shared" si="6"/>
        <v>-434722.41680880479</v>
      </c>
      <c r="F181" s="189">
        <v>770908.3823976334</v>
      </c>
      <c r="G181" s="627">
        <f>+Synthèse!F180</f>
        <v>535216.94277762074</v>
      </c>
      <c r="H181" s="627">
        <f t="shared" si="7"/>
        <v>-235691.43962001265</v>
      </c>
      <c r="I181" s="190">
        <v>98114.787577018433</v>
      </c>
      <c r="J181" s="629">
        <f>+Synthèse!H180</f>
        <v>82549.060951701162</v>
      </c>
      <c r="K181" s="629">
        <f t="shared" si="8"/>
        <v>-15565.726625317271</v>
      </c>
    </row>
    <row r="182" spans="1:11" s="193" customFormat="1" ht="15" x14ac:dyDescent="0.25">
      <c r="A182" s="85">
        <f>Données!A182</f>
        <v>5711</v>
      </c>
      <c r="B182" s="302" t="str">
        <f>Données!B182</f>
        <v>Commugny</v>
      </c>
      <c r="C182" s="190">
        <v>7340786.5537320245</v>
      </c>
      <c r="D182" s="626">
        <f>+Synthèse!G181</f>
        <v>5869143.2124143066</v>
      </c>
      <c r="E182" s="623">
        <f t="shared" si="6"/>
        <v>-1471643.3413177179</v>
      </c>
      <c r="F182" s="189">
        <v>4666613.3896833761</v>
      </c>
      <c r="G182" s="627">
        <f>+Synthèse!F181</f>
        <v>4237875.8144398266</v>
      </c>
      <c r="H182" s="627">
        <f t="shared" si="7"/>
        <v>-428737.57524354942</v>
      </c>
      <c r="I182" s="190">
        <v>616315.76665424136</v>
      </c>
      <c r="J182" s="629">
        <f>+Synthèse!H181</f>
        <v>570680.48833442002</v>
      </c>
      <c r="K182" s="629">
        <f t="shared" si="8"/>
        <v>-45635.278319821344</v>
      </c>
    </row>
    <row r="183" spans="1:11" s="193" customFormat="1" ht="15" x14ac:dyDescent="0.25">
      <c r="A183" s="85">
        <f>Données!A183</f>
        <v>5712</v>
      </c>
      <c r="B183" s="302" t="str">
        <f>Données!B183</f>
        <v>Coppet</v>
      </c>
      <c r="C183" s="190">
        <v>8684081.9619715903</v>
      </c>
      <c r="D183" s="626">
        <f>+Synthèse!G182</f>
        <v>13722093.602272436</v>
      </c>
      <c r="E183" s="623">
        <f t="shared" si="6"/>
        <v>5038011.6403008457</v>
      </c>
      <c r="F183" s="189">
        <v>5473476.8586755395</v>
      </c>
      <c r="G183" s="627">
        <f>+Synthèse!F182</f>
        <v>6411517.8374733692</v>
      </c>
      <c r="H183" s="627">
        <f t="shared" si="7"/>
        <v>938040.97879782971</v>
      </c>
      <c r="I183" s="190">
        <v>693077.6975496962</v>
      </c>
      <c r="J183" s="629">
        <f>+Synthèse!H182</f>
        <v>720591.18469773885</v>
      </c>
      <c r="K183" s="629">
        <f t="shared" si="8"/>
        <v>27513.487148042652</v>
      </c>
    </row>
    <row r="184" spans="1:11" s="193" customFormat="1" ht="15" x14ac:dyDescent="0.25">
      <c r="A184" s="85">
        <f>Données!A184</f>
        <v>5713</v>
      </c>
      <c r="B184" s="302" t="str">
        <f>Données!B184</f>
        <v>Crans</v>
      </c>
      <c r="C184" s="190">
        <v>9698249.7027778067</v>
      </c>
      <c r="D184" s="626">
        <f>+Synthèse!G183</f>
        <v>8528319.6048156358</v>
      </c>
      <c r="E184" s="623">
        <f t="shared" si="6"/>
        <v>-1169930.0979621708</v>
      </c>
      <c r="F184" s="189">
        <v>5206610.6048297286</v>
      </c>
      <c r="G184" s="627">
        <f>+Synthèse!F183</f>
        <v>5200521.5085098306</v>
      </c>
      <c r="H184" s="627">
        <f t="shared" si="7"/>
        <v>-6089.0963198980317</v>
      </c>
      <c r="I184" s="190">
        <v>370735.82585590362</v>
      </c>
      <c r="J184" s="629">
        <f>+Synthèse!H183</f>
        <v>341599.65748569125</v>
      </c>
      <c r="K184" s="629">
        <f t="shared" si="8"/>
        <v>-29136.16837021237</v>
      </c>
    </row>
    <row r="185" spans="1:11" s="193" customFormat="1" ht="15" x14ac:dyDescent="0.25">
      <c r="A185" s="85">
        <f>Données!A185</f>
        <v>5714</v>
      </c>
      <c r="B185" s="302" t="str">
        <f>Données!B185</f>
        <v>Crassier</v>
      </c>
      <c r="C185" s="190">
        <v>1184412.4008903641</v>
      </c>
      <c r="D185" s="626">
        <f>+Synthèse!G184</f>
        <v>1097690.936090942</v>
      </c>
      <c r="E185" s="623">
        <f t="shared" si="6"/>
        <v>-86721.464799422072</v>
      </c>
      <c r="F185" s="189">
        <v>986424.76870320085</v>
      </c>
      <c r="G185" s="627">
        <f>+Synthèse!F184</f>
        <v>1045180.7433358418</v>
      </c>
      <c r="H185" s="627">
        <f t="shared" si="7"/>
        <v>58755.974632640951</v>
      </c>
      <c r="I185" s="190">
        <v>184780.90818217432</v>
      </c>
      <c r="J185" s="629">
        <f>+Synthèse!H184</f>
        <v>190623.09916114778</v>
      </c>
      <c r="K185" s="629">
        <f t="shared" si="8"/>
        <v>5842.1909789734636</v>
      </c>
    </row>
    <row r="186" spans="1:11" s="193" customFormat="1" ht="15" x14ac:dyDescent="0.25">
      <c r="A186" s="85">
        <f>Données!A186</f>
        <v>5715</v>
      </c>
      <c r="B186" s="302" t="str">
        <f>Données!B186</f>
        <v>Duillier</v>
      </c>
      <c r="C186" s="190">
        <v>1590381.8467500771</v>
      </c>
      <c r="D186" s="626">
        <f>+Synthèse!G185</f>
        <v>1011373.0470977672</v>
      </c>
      <c r="E186" s="623">
        <f t="shared" si="6"/>
        <v>-579008.79965230986</v>
      </c>
      <c r="F186" s="189">
        <v>1175269.4198254973</v>
      </c>
      <c r="G186" s="627">
        <f>+Synthèse!F185</f>
        <v>1025303.3756481197</v>
      </c>
      <c r="H186" s="627">
        <f t="shared" si="7"/>
        <v>-149966.0441773776</v>
      </c>
      <c r="I186" s="190">
        <v>187649.11641327868</v>
      </c>
      <c r="J186" s="629">
        <f>+Synthèse!H185</f>
        <v>171663.13540602205</v>
      </c>
      <c r="K186" s="629">
        <f t="shared" si="8"/>
        <v>-15985.981007256632</v>
      </c>
    </row>
    <row r="187" spans="1:11" s="193" customFormat="1" ht="15" x14ac:dyDescent="0.25">
      <c r="A187" s="85">
        <f>Données!A187</f>
        <v>5716</v>
      </c>
      <c r="B187" s="302" t="str">
        <f>Données!B187</f>
        <v>Eysins</v>
      </c>
      <c r="C187" s="190">
        <v>5542312.600666591</v>
      </c>
      <c r="D187" s="626">
        <f>+Synthèse!G186</f>
        <v>7874069.4545121808</v>
      </c>
      <c r="E187" s="623">
        <f t="shared" si="6"/>
        <v>2331756.8538455898</v>
      </c>
      <c r="F187" s="189">
        <v>3527589.892114813</v>
      </c>
      <c r="G187" s="627">
        <f>+Synthèse!F186</f>
        <v>4701166.0709741414</v>
      </c>
      <c r="H187" s="627">
        <f t="shared" si="7"/>
        <v>1173576.1788593284</v>
      </c>
      <c r="I187" s="190">
        <v>402936.55338272633</v>
      </c>
      <c r="J187" s="629">
        <f>+Synthèse!H186</f>
        <v>456437.0608704121</v>
      </c>
      <c r="K187" s="629">
        <f t="shared" si="8"/>
        <v>53500.507487685769</v>
      </c>
    </row>
    <row r="188" spans="1:11" s="193" customFormat="1" ht="15" x14ac:dyDescent="0.25">
      <c r="A188" s="85">
        <f>Données!A188</f>
        <v>5717</v>
      </c>
      <c r="B188" s="302" t="str">
        <f>Données!B188</f>
        <v>Founex</v>
      </c>
      <c r="C188" s="190">
        <v>9993562.9606426451</v>
      </c>
      <c r="D188" s="626">
        <f>+Synthèse!G187</f>
        <v>9226992.1476855446</v>
      </c>
      <c r="E188" s="623">
        <f t="shared" si="6"/>
        <v>-766570.81295710057</v>
      </c>
      <c r="F188" s="189">
        <v>6256501.8393951571</v>
      </c>
      <c r="G188" s="627">
        <f>+Synthèse!F187</f>
        <v>6271200.3000028823</v>
      </c>
      <c r="H188" s="627">
        <f t="shared" si="7"/>
        <v>14698.460607725196</v>
      </c>
      <c r="I188" s="190">
        <v>816954.36508257617</v>
      </c>
      <c r="J188" s="629">
        <f>+Synthèse!H187</f>
        <v>786606.40905211493</v>
      </c>
      <c r="K188" s="629">
        <f t="shared" si="8"/>
        <v>-30347.956030461239</v>
      </c>
    </row>
    <row r="189" spans="1:11" s="193" customFormat="1" ht="15" x14ac:dyDescent="0.25">
      <c r="A189" s="85">
        <f>Données!A189</f>
        <v>5718</v>
      </c>
      <c r="B189" s="302" t="str">
        <f>Données!B189</f>
        <v>Genolier</v>
      </c>
      <c r="C189" s="190">
        <v>4849248.4945777934</v>
      </c>
      <c r="D189" s="626">
        <f>+Synthèse!G188</f>
        <v>4456812.3698911006</v>
      </c>
      <c r="E189" s="623">
        <f t="shared" si="6"/>
        <v>-392436.12468669284</v>
      </c>
      <c r="F189" s="189">
        <v>3208131.562874224</v>
      </c>
      <c r="G189" s="627">
        <f>+Synthèse!F188</f>
        <v>3341560.3172926498</v>
      </c>
      <c r="H189" s="627">
        <f t="shared" si="7"/>
        <v>133428.75441842573</v>
      </c>
      <c r="I189" s="190">
        <v>414496.44497947051</v>
      </c>
      <c r="J189" s="629">
        <f>+Synthèse!H188</f>
        <v>410793.71081819822</v>
      </c>
      <c r="K189" s="629">
        <f t="shared" si="8"/>
        <v>-3702.7341612722958</v>
      </c>
    </row>
    <row r="190" spans="1:11" s="193" customFormat="1" ht="15" x14ac:dyDescent="0.25">
      <c r="A190" s="85">
        <f>Données!A190</f>
        <v>5719</v>
      </c>
      <c r="B190" s="302" t="str">
        <f>Données!B190</f>
        <v>Gingins</v>
      </c>
      <c r="C190" s="190">
        <v>4423680.3893012656</v>
      </c>
      <c r="D190" s="626">
        <f>+Synthèse!G189</f>
        <v>3831991.5202011494</v>
      </c>
      <c r="E190" s="623">
        <f t="shared" si="6"/>
        <v>-591688.86910011619</v>
      </c>
      <c r="F190" s="189">
        <v>2691829.9724605773</v>
      </c>
      <c r="G190" s="627">
        <f>+Synthèse!F189</f>
        <v>2553308.1482945364</v>
      </c>
      <c r="H190" s="627">
        <f t="shared" si="7"/>
        <v>-138521.82416604087</v>
      </c>
      <c r="I190" s="190">
        <v>297321.52545083215</v>
      </c>
      <c r="J190" s="629">
        <f>+Synthèse!H189</f>
        <v>277378.10427255038</v>
      </c>
      <c r="K190" s="629">
        <f t="shared" si="8"/>
        <v>-19943.421178281773</v>
      </c>
    </row>
    <row r="191" spans="1:11" s="193" customFormat="1" ht="15" x14ac:dyDescent="0.25">
      <c r="A191" s="85">
        <f>Données!A191</f>
        <v>5720</v>
      </c>
      <c r="B191" s="302" t="str">
        <f>Données!B191</f>
        <v>Givrins</v>
      </c>
      <c r="C191" s="190">
        <v>1700725.9398383356</v>
      </c>
      <c r="D191" s="626">
        <f>+Synthèse!G190</f>
        <v>1657193.4977600479</v>
      </c>
      <c r="E191" s="623">
        <f t="shared" si="6"/>
        <v>-43532.442078287713</v>
      </c>
      <c r="F191" s="189">
        <v>1263365.6861134847</v>
      </c>
      <c r="G191" s="627">
        <f>+Synthèse!F190</f>
        <v>1395787.3320735577</v>
      </c>
      <c r="H191" s="627">
        <f t="shared" si="7"/>
        <v>132421.64596007299</v>
      </c>
      <c r="I191" s="190">
        <v>181006.7466889284</v>
      </c>
      <c r="J191" s="629">
        <f>+Synthèse!H190</f>
        <v>182464.34973374568</v>
      </c>
      <c r="K191" s="629">
        <f t="shared" si="8"/>
        <v>1457.6030448172824</v>
      </c>
    </row>
    <row r="192" spans="1:11" s="193" customFormat="1" ht="15" x14ac:dyDescent="0.25">
      <c r="A192" s="85">
        <f>Données!A192</f>
        <v>5721</v>
      </c>
      <c r="B192" s="302" t="str">
        <f>Données!B192</f>
        <v>Gland</v>
      </c>
      <c r="C192" s="190">
        <v>12736075.047987727</v>
      </c>
      <c r="D192" s="626">
        <f>+Synthèse!G191</f>
        <v>11837370.945334783</v>
      </c>
      <c r="E192" s="623">
        <f t="shared" si="6"/>
        <v>-898704.10265294462</v>
      </c>
      <c r="F192" s="189">
        <v>5589999.8818843039</v>
      </c>
      <c r="G192" s="627">
        <f>+Synthèse!F191</f>
        <v>4910511.0579468999</v>
      </c>
      <c r="H192" s="627">
        <f t="shared" si="7"/>
        <v>-679488.82393740397</v>
      </c>
      <c r="I192" s="190">
        <v>2062728.0605417013</v>
      </c>
      <c r="J192" s="629">
        <f>+Synthèse!H191</f>
        <v>2097323.7102785762</v>
      </c>
      <c r="K192" s="629">
        <f t="shared" si="8"/>
        <v>34595.64973687497</v>
      </c>
    </row>
    <row r="193" spans="1:11" s="193" customFormat="1" ht="15" x14ac:dyDescent="0.25">
      <c r="A193" s="85">
        <f>Données!A193</f>
        <v>5722</v>
      </c>
      <c r="B193" s="302" t="str">
        <f>Données!B193</f>
        <v>Grens</v>
      </c>
      <c r="C193" s="190">
        <v>334099.34624086408</v>
      </c>
      <c r="D193" s="626">
        <f>+Synthèse!G192</f>
        <v>782588.66291269893</v>
      </c>
      <c r="E193" s="623">
        <f t="shared" si="6"/>
        <v>448489.31667183485</v>
      </c>
      <c r="F193" s="189">
        <v>378475.63711961469</v>
      </c>
      <c r="G193" s="627">
        <f>+Synthèse!F192</f>
        <v>370246.26573976298</v>
      </c>
      <c r="H193" s="627">
        <f t="shared" si="7"/>
        <v>-8229.3713798517128</v>
      </c>
      <c r="I193" s="190">
        <v>62823.503312122848</v>
      </c>
      <c r="J193" s="629">
        <f>+Synthèse!H192</f>
        <v>60365.268332211694</v>
      </c>
      <c r="K193" s="629">
        <f t="shared" si="8"/>
        <v>-2458.2349799111544</v>
      </c>
    </row>
    <row r="194" spans="1:11" s="193" customFormat="1" ht="15" x14ac:dyDescent="0.25">
      <c r="A194" s="85">
        <f>Données!A194</f>
        <v>5723</v>
      </c>
      <c r="B194" s="302" t="str">
        <f>Données!B194</f>
        <v>Mies</v>
      </c>
      <c r="C194" s="190">
        <v>7526943.9791155178</v>
      </c>
      <c r="D194" s="626">
        <f>+Synthèse!G193</f>
        <v>6472775.9177768808</v>
      </c>
      <c r="E194" s="623">
        <f t="shared" si="6"/>
        <v>-1054168.061338637</v>
      </c>
      <c r="F194" s="189">
        <v>4180964.7121144384</v>
      </c>
      <c r="G194" s="627">
        <f>+Synthèse!F193</f>
        <v>4327331.0836810898</v>
      </c>
      <c r="H194" s="627">
        <f t="shared" si="7"/>
        <v>146366.37156665139</v>
      </c>
      <c r="I194" s="190">
        <v>495619.6598678442</v>
      </c>
      <c r="J194" s="629">
        <f>+Synthèse!H193</f>
        <v>483293.88277219713</v>
      </c>
      <c r="K194" s="629">
        <f t="shared" si="8"/>
        <v>-12325.777095647063</v>
      </c>
    </row>
    <row r="195" spans="1:11" s="193" customFormat="1" ht="15" x14ac:dyDescent="0.25">
      <c r="A195" s="85">
        <f>Données!A195</f>
        <v>5724</v>
      </c>
      <c r="B195" s="302" t="str">
        <f>Données!B195</f>
        <v>Nyon</v>
      </c>
      <c r="C195" s="190">
        <v>31381864.113869101</v>
      </c>
      <c r="D195" s="626">
        <f>+Synthèse!G194</f>
        <v>35564459.737586714</v>
      </c>
      <c r="E195" s="623">
        <f t="shared" si="6"/>
        <v>4182595.6237176135</v>
      </c>
      <c r="F195" s="189">
        <v>9547599.6798585206</v>
      </c>
      <c r="G195" s="627">
        <f>+Synthèse!F194</f>
        <v>13062716.742090456</v>
      </c>
      <c r="H195" s="627">
        <f t="shared" si="7"/>
        <v>3515117.0622319356</v>
      </c>
      <c r="I195" s="190">
        <v>1791039.7903085912</v>
      </c>
      <c r="J195" s="629">
        <f>+Synthèse!H194</f>
        <v>1873479.2306086184</v>
      </c>
      <c r="K195" s="629">
        <f t="shared" si="8"/>
        <v>82439.440300027141</v>
      </c>
    </row>
    <row r="196" spans="1:11" s="193" customFormat="1" ht="15" x14ac:dyDescent="0.25">
      <c r="A196" s="85">
        <f>Données!A196</f>
        <v>5725</v>
      </c>
      <c r="B196" s="302" t="str">
        <f>Données!B196</f>
        <v>Prangins</v>
      </c>
      <c r="C196" s="190">
        <v>8335519.0344723566</v>
      </c>
      <c r="D196" s="626">
        <f>+Synthèse!G195</f>
        <v>7043519.661003802</v>
      </c>
      <c r="E196" s="623">
        <f t="shared" si="6"/>
        <v>-1291999.3734685546</v>
      </c>
      <c r="F196" s="189">
        <v>5444435.3109970074</v>
      </c>
      <c r="G196" s="627">
        <f>+Synthèse!F195</f>
        <v>5057430.6623260453</v>
      </c>
      <c r="H196" s="627">
        <f t="shared" si="7"/>
        <v>-387004.64867096208</v>
      </c>
      <c r="I196" s="190">
        <v>435033.67889341072</v>
      </c>
      <c r="J196" s="629">
        <f>+Synthèse!H195</f>
        <v>384898.45647319913</v>
      </c>
      <c r="K196" s="629">
        <f t="shared" si="8"/>
        <v>-50135.22242021159</v>
      </c>
    </row>
    <row r="197" spans="1:11" s="193" customFormat="1" ht="15" x14ac:dyDescent="0.25">
      <c r="A197" s="85">
        <f>Données!A197</f>
        <v>5726</v>
      </c>
      <c r="B197" s="302" t="str">
        <f>Données!B197</f>
        <v>La Rippe</v>
      </c>
      <c r="C197" s="190">
        <v>1347521.867077868</v>
      </c>
      <c r="D197" s="626">
        <f>+Synthèse!G196</f>
        <v>1028940.9467814821</v>
      </c>
      <c r="E197" s="623">
        <f t="shared" si="6"/>
        <v>-318580.92029638588</v>
      </c>
      <c r="F197" s="189">
        <v>1167853.7100401109</v>
      </c>
      <c r="G197" s="627">
        <f>+Synthèse!F196</f>
        <v>1166517.8067102106</v>
      </c>
      <c r="H197" s="627">
        <f t="shared" si="7"/>
        <v>-1335.9033299002331</v>
      </c>
      <c r="I197" s="190">
        <v>189294.83662487741</v>
      </c>
      <c r="J197" s="629">
        <f>+Synthèse!H196</f>
        <v>190154.53681065195</v>
      </c>
      <c r="K197" s="629">
        <f t="shared" si="8"/>
        <v>859.70018577453448</v>
      </c>
    </row>
    <row r="198" spans="1:11" s="193" customFormat="1" ht="15" x14ac:dyDescent="0.25">
      <c r="A198" s="85">
        <f>Données!A198</f>
        <v>5727</v>
      </c>
      <c r="B198" s="302" t="str">
        <f>Données!B198</f>
        <v>Saint-Cergue</v>
      </c>
      <c r="C198" s="190">
        <v>2084592.765307324</v>
      </c>
      <c r="D198" s="626">
        <f>+Synthèse!G197</f>
        <v>2105113.854147803</v>
      </c>
      <c r="E198" s="623">
        <f t="shared" si="6"/>
        <v>20521.088840479031</v>
      </c>
      <c r="F198" s="189">
        <v>361955.81352110114</v>
      </c>
      <c r="G198" s="627">
        <f>+Synthèse!F197</f>
        <v>648284.8211809881</v>
      </c>
      <c r="H198" s="627">
        <f t="shared" si="7"/>
        <v>286329.00765988696</v>
      </c>
      <c r="I198" s="190">
        <v>325873.08231457224</v>
      </c>
      <c r="J198" s="629">
        <f>+Synthèse!H197</f>
        <v>322115.49969859578</v>
      </c>
      <c r="K198" s="629">
        <f t="shared" si="8"/>
        <v>-3757.5826159764547</v>
      </c>
    </row>
    <row r="199" spans="1:11" s="193" customFormat="1" ht="15" x14ac:dyDescent="0.25">
      <c r="A199" s="85">
        <f>Données!A199</f>
        <v>5728</v>
      </c>
      <c r="B199" s="302" t="str">
        <f>Données!B199</f>
        <v>Signy-Avenex</v>
      </c>
      <c r="C199" s="190">
        <v>1441811.8477463061</v>
      </c>
      <c r="D199" s="626">
        <f>+Synthèse!G198</f>
        <v>1196065.6590786616</v>
      </c>
      <c r="E199" s="623">
        <f t="shared" ref="E199:E262" si="9">+D199-C199</f>
        <v>-245746.18866764451</v>
      </c>
      <c r="F199" s="189">
        <v>1012479.0332583964</v>
      </c>
      <c r="G199" s="627">
        <f>+Synthèse!F198</f>
        <v>981155.2784982681</v>
      </c>
      <c r="H199" s="627">
        <f t="shared" ref="H199:H262" si="10">+G199-F199</f>
        <v>-31323.75476012833</v>
      </c>
      <c r="I199" s="190">
        <v>120818.70015900172</v>
      </c>
      <c r="J199" s="629">
        <f>+Synthèse!H198</f>
        <v>117171.02008004657</v>
      </c>
      <c r="K199" s="629">
        <f t="shared" ref="K199:K262" si="11">+J199-I199</f>
        <v>-3647.6800789551489</v>
      </c>
    </row>
    <row r="200" spans="1:11" s="193" customFormat="1" ht="15" x14ac:dyDescent="0.25">
      <c r="A200" s="85">
        <f>Données!A200</f>
        <v>5729</v>
      </c>
      <c r="B200" s="302" t="str">
        <f>Données!B200</f>
        <v>Tannay</v>
      </c>
      <c r="C200" s="190">
        <v>4381037.3001325913</v>
      </c>
      <c r="D200" s="626">
        <f>+Synthèse!G199</f>
        <v>5366770.3658277448</v>
      </c>
      <c r="E200" s="623">
        <f t="shared" si="9"/>
        <v>985733.06569515355</v>
      </c>
      <c r="F200" s="189">
        <v>2754987.0057688584</v>
      </c>
      <c r="G200" s="627">
        <f>+Synthèse!F199</f>
        <v>3482658.4582419964</v>
      </c>
      <c r="H200" s="627">
        <f t="shared" si="10"/>
        <v>727671.45247313799</v>
      </c>
      <c r="I200" s="190">
        <v>343568.36111671978</v>
      </c>
      <c r="J200" s="629">
        <f>+Synthèse!H199</f>
        <v>382637.33618692681</v>
      </c>
      <c r="K200" s="629">
        <f t="shared" si="11"/>
        <v>39068.975070207031</v>
      </c>
    </row>
    <row r="201" spans="1:11" s="193" customFormat="1" ht="15" x14ac:dyDescent="0.25">
      <c r="A201" s="85">
        <f>Données!A201</f>
        <v>5730</v>
      </c>
      <c r="B201" s="302" t="str">
        <f>Données!B201</f>
        <v>Trélex</v>
      </c>
      <c r="C201" s="190">
        <v>3348076.5163261089</v>
      </c>
      <c r="D201" s="626">
        <f>+Synthèse!G200</f>
        <v>3331278.9494190258</v>
      </c>
      <c r="E201" s="623">
        <f t="shared" si="9"/>
        <v>-16797.56690708315</v>
      </c>
      <c r="F201" s="189">
        <v>2123765.2851780467</v>
      </c>
      <c r="G201" s="627">
        <f>+Synthèse!F200</f>
        <v>2532443.3972219001</v>
      </c>
      <c r="H201" s="627">
        <f t="shared" si="10"/>
        <v>408678.11204385338</v>
      </c>
      <c r="I201" s="190">
        <v>280596.66854379355</v>
      </c>
      <c r="J201" s="629">
        <f>+Synthèse!H200</f>
        <v>297002.70356746588</v>
      </c>
      <c r="K201" s="629">
        <f t="shared" si="11"/>
        <v>16406.035023672332</v>
      </c>
    </row>
    <row r="202" spans="1:11" s="193" customFormat="1" ht="15" x14ac:dyDescent="0.25">
      <c r="A202" s="85">
        <f>Données!A202</f>
        <v>5731</v>
      </c>
      <c r="B202" s="302" t="str">
        <f>Données!B202</f>
        <v>Le Vaud</v>
      </c>
      <c r="C202" s="190">
        <v>1065282.6838268621</v>
      </c>
      <c r="D202" s="626">
        <f>+Synthèse!G201</f>
        <v>988819.68379598286</v>
      </c>
      <c r="E202" s="623">
        <f t="shared" si="9"/>
        <v>-76463.000030879281</v>
      </c>
      <c r="F202" s="189">
        <v>918099.08112231502</v>
      </c>
      <c r="G202" s="627">
        <f>+Synthèse!F201</f>
        <v>1086019.9351332169</v>
      </c>
      <c r="H202" s="627">
        <f t="shared" si="10"/>
        <v>167920.85401090188</v>
      </c>
      <c r="I202" s="190">
        <v>207990.55443968144</v>
      </c>
      <c r="J202" s="629">
        <f>+Synthèse!H201</f>
        <v>208778.24702700434</v>
      </c>
      <c r="K202" s="629">
        <f t="shared" si="11"/>
        <v>787.69258732290473</v>
      </c>
    </row>
    <row r="203" spans="1:11" s="193" customFormat="1" ht="15" x14ac:dyDescent="0.25">
      <c r="A203" s="85">
        <f>Données!A203</f>
        <v>5732</v>
      </c>
      <c r="B203" s="302" t="str">
        <f>Données!B203</f>
        <v>Vich</v>
      </c>
      <c r="C203" s="190">
        <v>1769335.5162759984</v>
      </c>
      <c r="D203" s="626">
        <f>+Synthèse!G202</f>
        <v>1580110.4954739814</v>
      </c>
      <c r="E203" s="623">
        <f t="shared" si="9"/>
        <v>-189225.02080201707</v>
      </c>
      <c r="F203" s="189">
        <v>1482424.3133255143</v>
      </c>
      <c r="G203" s="627">
        <f>+Synthèse!F202</f>
        <v>1425067.28039219</v>
      </c>
      <c r="H203" s="627">
        <f t="shared" si="10"/>
        <v>-57357.032933324343</v>
      </c>
      <c r="I203" s="190">
        <v>208401.59878353216</v>
      </c>
      <c r="J203" s="629">
        <f>+Synthèse!H202</f>
        <v>201634.94485299461</v>
      </c>
      <c r="K203" s="629">
        <f t="shared" si="11"/>
        <v>-6766.6539305375481</v>
      </c>
    </row>
    <row r="204" spans="1:11" s="193" customFormat="1" ht="15" x14ac:dyDescent="0.25">
      <c r="A204" s="85">
        <f>Données!A204</f>
        <v>5741</v>
      </c>
      <c r="B204" s="302" t="str">
        <f>Données!B204</f>
        <v>L'Abergement</v>
      </c>
      <c r="C204" s="190">
        <v>145440.56956753242</v>
      </c>
      <c r="D204" s="626">
        <f>+Synthèse!G203</f>
        <v>111739.9466224619</v>
      </c>
      <c r="E204" s="623">
        <f t="shared" si="9"/>
        <v>-33700.622945070529</v>
      </c>
      <c r="F204" s="189">
        <v>-51818.610346845555</v>
      </c>
      <c r="G204" s="627">
        <f>+Synthèse!F203</f>
        <v>-2652.542222765187</v>
      </c>
      <c r="H204" s="627">
        <f t="shared" si="10"/>
        <v>49166.068124080368</v>
      </c>
      <c r="I204" s="190">
        <v>27929.48377189906</v>
      </c>
      <c r="J204" s="629">
        <f>+Synthèse!H203</f>
        <v>24765.235685178974</v>
      </c>
      <c r="K204" s="629">
        <f t="shared" si="11"/>
        <v>-3164.2480867200866</v>
      </c>
    </row>
    <row r="205" spans="1:11" s="193" customFormat="1" ht="15" x14ac:dyDescent="0.25">
      <c r="A205" s="85">
        <f>Données!A205</f>
        <v>5742</v>
      </c>
      <c r="B205" s="302" t="str">
        <f>Données!B205</f>
        <v>Agiez</v>
      </c>
      <c r="C205" s="190">
        <v>131257.51825389126</v>
      </c>
      <c r="D205" s="626">
        <f>+Synthèse!G204</f>
        <v>110613.5687626669</v>
      </c>
      <c r="E205" s="623">
        <f t="shared" si="9"/>
        <v>-20643.949491224368</v>
      </c>
      <c r="F205" s="189">
        <v>-84733.203645879345</v>
      </c>
      <c r="G205" s="627">
        <f>+Synthèse!F204</f>
        <v>-97006.828985891509</v>
      </c>
      <c r="H205" s="627">
        <f t="shared" si="10"/>
        <v>-12273.625340012164</v>
      </c>
      <c r="I205" s="190">
        <v>31183.606400958928</v>
      </c>
      <c r="J205" s="629">
        <f>+Synthèse!H204</f>
        <v>27165.426594566452</v>
      </c>
      <c r="K205" s="629">
        <f t="shared" si="11"/>
        <v>-4018.1798063924762</v>
      </c>
    </row>
    <row r="206" spans="1:11" s="193" customFormat="1" ht="15" x14ac:dyDescent="0.25">
      <c r="A206" s="85">
        <f>Données!A206</f>
        <v>5743</v>
      </c>
      <c r="B206" s="302" t="str">
        <f>Données!B206</f>
        <v>Arnex-sur-Orbe</v>
      </c>
      <c r="C206" s="190">
        <v>282508.69166413613</v>
      </c>
      <c r="D206" s="626">
        <f>+Synthèse!G205</f>
        <v>328389.52639610879</v>
      </c>
      <c r="E206" s="623">
        <f t="shared" si="9"/>
        <v>45880.83473197266</v>
      </c>
      <c r="F206" s="189">
        <v>-97670.903346397623</v>
      </c>
      <c r="G206" s="627">
        <f>+Synthèse!F205</f>
        <v>9266.8165195866604</v>
      </c>
      <c r="H206" s="627">
        <f t="shared" si="10"/>
        <v>106937.71986598428</v>
      </c>
      <c r="I206" s="190">
        <v>57308.795771266821</v>
      </c>
      <c r="J206" s="629">
        <f>+Synthèse!H205</f>
        <v>56982.501020730655</v>
      </c>
      <c r="K206" s="629">
        <f t="shared" si="11"/>
        <v>-326.29475053616625</v>
      </c>
    </row>
    <row r="207" spans="1:11" s="193" customFormat="1" ht="15" x14ac:dyDescent="0.25">
      <c r="A207" s="85">
        <f>Données!A207</f>
        <v>5744</v>
      </c>
      <c r="B207" s="302" t="str">
        <f>Données!B207</f>
        <v>Ballaigues</v>
      </c>
      <c r="C207" s="190">
        <v>1220265.1755654498</v>
      </c>
      <c r="D207" s="626">
        <f>+Synthèse!G206</f>
        <v>1271076.0746315799</v>
      </c>
      <c r="E207" s="623">
        <f t="shared" si="9"/>
        <v>50810.899066130165</v>
      </c>
      <c r="F207" s="189">
        <v>241657.78564453707</v>
      </c>
      <c r="G207" s="627">
        <f>+Synthèse!F206</f>
        <v>975667.10036820569</v>
      </c>
      <c r="H207" s="627">
        <f t="shared" si="10"/>
        <v>734009.31472366862</v>
      </c>
      <c r="I207" s="190">
        <v>152760.36123395211</v>
      </c>
      <c r="J207" s="629">
        <f>+Synthèse!H206</f>
        <v>177554.4555690558</v>
      </c>
      <c r="K207" s="629">
        <f t="shared" si="11"/>
        <v>24794.094335103699</v>
      </c>
    </row>
    <row r="208" spans="1:11" s="193" customFormat="1" ht="15" x14ac:dyDescent="0.25">
      <c r="A208" s="85">
        <f>Données!A208</f>
        <v>5745</v>
      </c>
      <c r="B208" s="302" t="str">
        <f>Données!B208</f>
        <v>Baulmes</v>
      </c>
      <c r="C208" s="190">
        <v>531511.23219356278</v>
      </c>
      <c r="D208" s="626">
        <f>+Synthèse!G207</f>
        <v>417918.47647691937</v>
      </c>
      <c r="E208" s="623">
        <f t="shared" si="9"/>
        <v>-113592.75571664341</v>
      </c>
      <c r="F208" s="189">
        <v>-658916.39251209446</v>
      </c>
      <c r="G208" s="627">
        <f>+Synthèse!F207</f>
        <v>-265558.92013951007</v>
      </c>
      <c r="H208" s="627">
        <f t="shared" si="10"/>
        <v>393357.47237258439</v>
      </c>
      <c r="I208" s="190">
        <v>88019.165686920169</v>
      </c>
      <c r="J208" s="629">
        <f>+Synthèse!H207</f>
        <v>86867.466629391682</v>
      </c>
      <c r="K208" s="629">
        <f t="shared" si="11"/>
        <v>-1151.6990575284872</v>
      </c>
    </row>
    <row r="209" spans="1:11" s="193" customFormat="1" ht="15" x14ac:dyDescent="0.25">
      <c r="A209" s="85">
        <f>Données!A209</f>
        <v>5746</v>
      </c>
      <c r="B209" s="302" t="str">
        <f>Données!B209</f>
        <v>Bavois</v>
      </c>
      <c r="C209" s="190">
        <v>518674.46598236018</v>
      </c>
      <c r="D209" s="626">
        <f>+Synthèse!G208</f>
        <v>495334.16611570137</v>
      </c>
      <c r="E209" s="623">
        <f t="shared" si="9"/>
        <v>-23340.29986665881</v>
      </c>
      <c r="F209" s="189">
        <v>-200110.83478235698</v>
      </c>
      <c r="G209" s="627">
        <f>+Synthèse!F208</f>
        <v>147791.10230732028</v>
      </c>
      <c r="H209" s="627">
        <f t="shared" si="10"/>
        <v>347901.93708967726</v>
      </c>
      <c r="I209" s="190">
        <v>83017.799266625851</v>
      </c>
      <c r="J209" s="629">
        <f>+Synthèse!H208</f>
        <v>99611.390011690572</v>
      </c>
      <c r="K209" s="629">
        <f t="shared" si="11"/>
        <v>16593.590745064721</v>
      </c>
    </row>
    <row r="210" spans="1:11" s="193" customFormat="1" ht="15" x14ac:dyDescent="0.25">
      <c r="A210" s="85">
        <f>Données!A210</f>
        <v>5747</v>
      </c>
      <c r="B210" s="302" t="str">
        <f>Données!B210</f>
        <v>Bofflens</v>
      </c>
      <c r="C210" s="190">
        <v>73921.828295590822</v>
      </c>
      <c r="D210" s="626">
        <f>+Synthèse!G209</f>
        <v>101993.54019013394</v>
      </c>
      <c r="E210" s="623">
        <f t="shared" si="9"/>
        <v>28071.711894543114</v>
      </c>
      <c r="F210" s="189">
        <v>-15402.527122783082</v>
      </c>
      <c r="G210" s="627">
        <f>+Synthèse!F209</f>
        <v>62868.831166022122</v>
      </c>
      <c r="H210" s="627">
        <f t="shared" si="10"/>
        <v>78271.358288805204</v>
      </c>
      <c r="I210" s="190">
        <v>17791.062362134482</v>
      </c>
      <c r="J210" s="629">
        <f>+Synthèse!H209</f>
        <v>21054.887685523609</v>
      </c>
      <c r="K210" s="629">
        <f t="shared" si="11"/>
        <v>3263.8253233891264</v>
      </c>
    </row>
    <row r="211" spans="1:11" s="193" customFormat="1" ht="15" x14ac:dyDescent="0.25">
      <c r="A211" s="85">
        <f>Données!A211</f>
        <v>5748</v>
      </c>
      <c r="B211" s="302" t="str">
        <f>Données!B211</f>
        <v>Bretonnières</v>
      </c>
      <c r="C211" s="190">
        <v>101233.27905040931</v>
      </c>
      <c r="D211" s="626">
        <f>+Synthèse!G210</f>
        <v>92335.911837237611</v>
      </c>
      <c r="E211" s="623">
        <f t="shared" si="9"/>
        <v>-8897.367213171703</v>
      </c>
      <c r="F211" s="189">
        <v>-85163.618243439298</v>
      </c>
      <c r="G211" s="627">
        <f>+Synthèse!F210</f>
        <v>-19445.797500856977</v>
      </c>
      <c r="H211" s="627">
        <f t="shared" si="10"/>
        <v>65717.82074258232</v>
      </c>
      <c r="I211" s="190">
        <v>20318.878977044118</v>
      </c>
      <c r="J211" s="629">
        <f>+Synthèse!H210</f>
        <v>20267.476258072013</v>
      </c>
      <c r="K211" s="629">
        <f t="shared" si="11"/>
        <v>-51.402718972105504</v>
      </c>
    </row>
    <row r="212" spans="1:11" s="193" customFormat="1" ht="15" x14ac:dyDescent="0.25">
      <c r="A212" s="85">
        <f>Données!A212</f>
        <v>5749</v>
      </c>
      <c r="B212" s="302" t="str">
        <f>Données!B212</f>
        <v>Chavornay</v>
      </c>
      <c r="C212" s="190">
        <v>2422668.8411779185</v>
      </c>
      <c r="D212" s="626">
        <f>+Synthèse!G211</f>
        <v>2544784.973884589</v>
      </c>
      <c r="E212" s="623">
        <f t="shared" si="9"/>
        <v>122116.13270667056</v>
      </c>
      <c r="F212" s="189">
        <v>-1851484.7319870447</v>
      </c>
      <c r="G212" s="627">
        <f>+Synthèse!F211</f>
        <v>-1648434.7259408506</v>
      </c>
      <c r="H212" s="627">
        <f t="shared" si="10"/>
        <v>203050.00604619412</v>
      </c>
      <c r="I212" s="190">
        <v>467575.17285337136</v>
      </c>
      <c r="J212" s="629">
        <f>+Synthèse!H211</f>
        <v>439350.58886674023</v>
      </c>
      <c r="K212" s="629">
        <f t="shared" si="11"/>
        <v>-28224.583986631129</v>
      </c>
    </row>
    <row r="213" spans="1:11" s="193" customFormat="1" ht="15" x14ac:dyDescent="0.25">
      <c r="A213" s="85">
        <f>Données!A213</f>
        <v>5750</v>
      </c>
      <c r="B213" s="302" t="str">
        <f>Données!B213</f>
        <v>Les Clées</v>
      </c>
      <c r="C213" s="190">
        <v>83752.269312148506</v>
      </c>
      <c r="D213" s="626">
        <f>+Synthèse!G212</f>
        <v>63693.733325757959</v>
      </c>
      <c r="E213" s="623">
        <f t="shared" si="9"/>
        <v>-20058.535986390547</v>
      </c>
      <c r="F213" s="189">
        <v>-76124.880026615239</v>
      </c>
      <c r="G213" s="627">
        <f>+Synthèse!F212</f>
        <v>-29195.945703841498</v>
      </c>
      <c r="H213" s="627">
        <f t="shared" si="10"/>
        <v>46928.934322773741</v>
      </c>
      <c r="I213" s="190">
        <v>14960.688533314587</v>
      </c>
      <c r="J213" s="629">
        <f>+Synthèse!H212</f>
        <v>15987.187281863455</v>
      </c>
      <c r="K213" s="629">
        <f t="shared" si="11"/>
        <v>1026.4987485488673</v>
      </c>
    </row>
    <row r="214" spans="1:11" s="193" customFormat="1" ht="15" x14ac:dyDescent="0.25">
      <c r="A214" s="85">
        <f>Données!A214</f>
        <v>5752</v>
      </c>
      <c r="B214" s="302" t="str">
        <f>Données!B214</f>
        <v>Croy</v>
      </c>
      <c r="C214" s="190">
        <v>141985.75747207197</v>
      </c>
      <c r="D214" s="626">
        <f>+Synthèse!G213</f>
        <v>242394.00661467493</v>
      </c>
      <c r="E214" s="623">
        <f t="shared" si="9"/>
        <v>100408.24914260296</v>
      </c>
      <c r="F214" s="189">
        <v>-61272.345083996886</v>
      </c>
      <c r="G214" s="627">
        <f>+Synthèse!F213</f>
        <v>-75569.526146423799</v>
      </c>
      <c r="H214" s="627">
        <f t="shared" si="10"/>
        <v>-14297.181062426913</v>
      </c>
      <c r="I214" s="190">
        <v>29510.495784644307</v>
      </c>
      <c r="J214" s="629">
        <f>+Synthèse!H213</f>
        <v>29084.564452594364</v>
      </c>
      <c r="K214" s="629">
        <f t="shared" si="11"/>
        <v>-425.93133204994228</v>
      </c>
    </row>
    <row r="215" spans="1:11" s="193" customFormat="1" ht="15" x14ac:dyDescent="0.25">
      <c r="A215" s="85">
        <f>Données!A215</f>
        <v>5754</v>
      </c>
      <c r="B215" s="302" t="str">
        <f>Données!B215</f>
        <v>Juriens</v>
      </c>
      <c r="C215" s="190">
        <v>180304.12466733859</v>
      </c>
      <c r="D215" s="626">
        <f>+Synthèse!G214</f>
        <v>128055.12220140177</v>
      </c>
      <c r="E215" s="623">
        <f t="shared" si="9"/>
        <v>-52249.002465936821</v>
      </c>
      <c r="F215" s="189">
        <v>-98797.875795339263</v>
      </c>
      <c r="G215" s="627">
        <f>+Synthèse!F214</f>
        <v>-88972.140640709113</v>
      </c>
      <c r="H215" s="627">
        <f t="shared" si="10"/>
        <v>9825.7351546301506</v>
      </c>
      <c r="I215" s="190">
        <v>28112.117864690546</v>
      </c>
      <c r="J215" s="629">
        <f>+Synthèse!H214</f>
        <v>26261.186354263518</v>
      </c>
      <c r="K215" s="629">
        <f t="shared" si="11"/>
        <v>-1850.9315104270281</v>
      </c>
    </row>
    <row r="216" spans="1:11" s="193" customFormat="1" ht="15" x14ac:dyDescent="0.25">
      <c r="A216" s="85">
        <f>Données!A216</f>
        <v>5755</v>
      </c>
      <c r="B216" s="302" t="str">
        <f>Données!B216</f>
        <v>Lignerolle</v>
      </c>
      <c r="C216" s="190">
        <v>173091.01652818295</v>
      </c>
      <c r="D216" s="626">
        <f>+Synthèse!G215</f>
        <v>143762.74999703464</v>
      </c>
      <c r="E216" s="623">
        <f t="shared" si="9"/>
        <v>-29328.266531148314</v>
      </c>
      <c r="F216" s="189">
        <v>-354506.86157448567</v>
      </c>
      <c r="G216" s="627">
        <f>+Synthèse!F215</f>
        <v>-134757.10439164066</v>
      </c>
      <c r="H216" s="627">
        <f t="shared" si="10"/>
        <v>219749.757182845</v>
      </c>
      <c r="I216" s="190">
        <v>32914.210067690809</v>
      </c>
      <c r="J216" s="629">
        <f>+Synthèse!H215</f>
        <v>32923.03081853273</v>
      </c>
      <c r="K216" s="629">
        <f t="shared" si="11"/>
        <v>8.8207508419218357</v>
      </c>
    </row>
    <row r="217" spans="1:11" s="193" customFormat="1" ht="15" x14ac:dyDescent="0.25">
      <c r="A217" s="85">
        <f>Données!A217</f>
        <v>5756</v>
      </c>
      <c r="B217" s="302" t="str">
        <f>Données!B217</f>
        <v>Montcherand</v>
      </c>
      <c r="C217" s="190">
        <v>255184.86784178327</v>
      </c>
      <c r="D217" s="626">
        <f>+Synthèse!G216</f>
        <v>257786.90888068889</v>
      </c>
      <c r="E217" s="623">
        <f t="shared" si="9"/>
        <v>2602.0410389056196</v>
      </c>
      <c r="F217" s="189">
        <v>111121.93126265172</v>
      </c>
      <c r="G217" s="627">
        <f>+Synthèse!F216</f>
        <v>267239.80563582515</v>
      </c>
      <c r="H217" s="627">
        <f t="shared" si="10"/>
        <v>156117.87437317343</v>
      </c>
      <c r="I217" s="190">
        <v>54813.017992379682</v>
      </c>
      <c r="J217" s="629">
        <f>+Synthèse!H216</f>
        <v>62951.426376314688</v>
      </c>
      <c r="K217" s="629">
        <f t="shared" si="11"/>
        <v>8138.408383935006</v>
      </c>
    </row>
    <row r="218" spans="1:11" s="193" customFormat="1" ht="15" x14ac:dyDescent="0.25">
      <c r="A218" s="85">
        <f>Données!A218</f>
        <v>5757</v>
      </c>
      <c r="B218" s="302" t="str">
        <f>Données!B218</f>
        <v>Orbe</v>
      </c>
      <c r="C218" s="190">
        <v>4409747.6739591584</v>
      </c>
      <c r="D218" s="626">
        <f>+Synthèse!G217</f>
        <v>4832847.0481307562</v>
      </c>
      <c r="E218" s="623">
        <f t="shared" si="9"/>
        <v>423099.37417159788</v>
      </c>
      <c r="F218" s="189">
        <v>-4641328.5828185789</v>
      </c>
      <c r="G218" s="627">
        <f>+Synthèse!F217</f>
        <v>-2990726.3737189798</v>
      </c>
      <c r="H218" s="627">
        <f t="shared" si="10"/>
        <v>1650602.2090995992</v>
      </c>
      <c r="I218" s="190">
        <v>656904.727503328</v>
      </c>
      <c r="J218" s="629">
        <f>+Synthèse!H217</f>
        <v>663352.60641295754</v>
      </c>
      <c r="K218" s="629">
        <f t="shared" si="11"/>
        <v>6447.8789096295368</v>
      </c>
    </row>
    <row r="219" spans="1:11" s="193" customFormat="1" ht="15" x14ac:dyDescent="0.25">
      <c r="A219" s="85">
        <f>Données!A219</f>
        <v>5758</v>
      </c>
      <c r="B219" s="302" t="str">
        <f>Données!B219</f>
        <v>La Praz</v>
      </c>
      <c r="C219" s="190">
        <v>82471.386413366257</v>
      </c>
      <c r="D219" s="626">
        <f>+Synthèse!G218</f>
        <v>86722.100922048267</v>
      </c>
      <c r="E219" s="623">
        <f t="shared" si="9"/>
        <v>4250.7145086820092</v>
      </c>
      <c r="F219" s="189">
        <v>-80249.918456341562</v>
      </c>
      <c r="G219" s="627">
        <f>+Synthèse!F218</f>
        <v>-45477.47965500674</v>
      </c>
      <c r="H219" s="627">
        <f t="shared" si="10"/>
        <v>34772.438801334822</v>
      </c>
      <c r="I219" s="190">
        <v>14682.803579716598</v>
      </c>
      <c r="J219" s="629">
        <f>+Synthèse!H218</f>
        <v>16720.552895933964</v>
      </c>
      <c r="K219" s="629">
        <f t="shared" si="11"/>
        <v>2037.7493162173669</v>
      </c>
    </row>
    <row r="220" spans="1:11" s="193" customFormat="1" ht="15" x14ac:dyDescent="0.25">
      <c r="A220" s="85">
        <f>Données!A220</f>
        <v>5759</v>
      </c>
      <c r="B220" s="302" t="str">
        <f>Données!B220</f>
        <v>Premier</v>
      </c>
      <c r="C220" s="190">
        <v>76233.798051924707</v>
      </c>
      <c r="D220" s="626">
        <f>+Synthèse!G219</f>
        <v>62510.704003435683</v>
      </c>
      <c r="E220" s="623">
        <f t="shared" si="9"/>
        <v>-13723.094048489023</v>
      </c>
      <c r="F220" s="189">
        <v>-120850.02383250708</v>
      </c>
      <c r="G220" s="627">
        <f>+Synthèse!F219</f>
        <v>-83045.428197300978</v>
      </c>
      <c r="H220" s="627">
        <f t="shared" si="10"/>
        <v>37804.595635206104</v>
      </c>
      <c r="I220" s="190">
        <v>18218.523333292254</v>
      </c>
      <c r="J220" s="629">
        <f>+Synthèse!H219</f>
        <v>15883.48998416818</v>
      </c>
      <c r="K220" s="629">
        <f t="shared" si="11"/>
        <v>-2335.0333491240744</v>
      </c>
    </row>
    <row r="221" spans="1:11" s="193" customFormat="1" ht="15" x14ac:dyDescent="0.25">
      <c r="A221" s="85">
        <f>Données!A221</f>
        <v>5760</v>
      </c>
      <c r="B221" s="302" t="str">
        <f>Données!B221</f>
        <v>Rances</v>
      </c>
      <c r="C221" s="190">
        <v>240173.337336611</v>
      </c>
      <c r="D221" s="626">
        <f>+Synthèse!G220</f>
        <v>246123.33317018597</v>
      </c>
      <c r="E221" s="623">
        <f t="shared" si="9"/>
        <v>5949.9958335749689</v>
      </c>
      <c r="F221" s="189">
        <v>-149632.93346877035</v>
      </c>
      <c r="G221" s="627">
        <f>+Synthèse!F220</f>
        <v>23199.597920065629</v>
      </c>
      <c r="H221" s="627">
        <f t="shared" si="10"/>
        <v>172832.53138883598</v>
      </c>
      <c r="I221" s="190">
        <v>44562.80958363734</v>
      </c>
      <c r="J221" s="629">
        <f>+Synthèse!H220</f>
        <v>48944.072471221181</v>
      </c>
      <c r="K221" s="629">
        <f t="shared" si="11"/>
        <v>4381.2628875838418</v>
      </c>
    </row>
    <row r="222" spans="1:11" s="193" customFormat="1" ht="15" x14ac:dyDescent="0.25">
      <c r="A222" s="85">
        <f>Données!A222</f>
        <v>5761</v>
      </c>
      <c r="B222" s="302" t="str">
        <f>Données!B222</f>
        <v>Romainmôtier-Envy</v>
      </c>
      <c r="C222" s="190">
        <v>259331.819946353</v>
      </c>
      <c r="D222" s="626">
        <f>+Synthèse!G221</f>
        <v>229221.26658857131</v>
      </c>
      <c r="E222" s="623">
        <f t="shared" si="9"/>
        <v>-30110.553357781697</v>
      </c>
      <c r="F222" s="189">
        <v>-347113.98273447738</v>
      </c>
      <c r="G222" s="627">
        <f>+Synthèse!F221</f>
        <v>-207529.31169539285</v>
      </c>
      <c r="H222" s="627">
        <f t="shared" si="10"/>
        <v>139584.67103908453</v>
      </c>
      <c r="I222" s="190">
        <v>39397.144069626971</v>
      </c>
      <c r="J222" s="629">
        <f>+Synthèse!H221</f>
        <v>39746.738827936519</v>
      </c>
      <c r="K222" s="629">
        <f t="shared" si="11"/>
        <v>349.59475830954761</v>
      </c>
    </row>
    <row r="223" spans="1:11" s="193" customFormat="1" ht="15" x14ac:dyDescent="0.25">
      <c r="A223" s="85">
        <f>Données!A223</f>
        <v>5762</v>
      </c>
      <c r="B223" s="302" t="str">
        <f>Données!B223</f>
        <v>Sergey</v>
      </c>
      <c r="C223" s="190">
        <v>52526.011406400794</v>
      </c>
      <c r="D223" s="626">
        <f>+Synthèse!G222</f>
        <v>63633.299627852299</v>
      </c>
      <c r="E223" s="623">
        <f t="shared" si="9"/>
        <v>11107.288221451505</v>
      </c>
      <c r="F223" s="189">
        <v>-41121.648242260941</v>
      </c>
      <c r="G223" s="627">
        <f>+Synthèse!F222</f>
        <v>-27197.054875847025</v>
      </c>
      <c r="H223" s="627">
        <f t="shared" si="10"/>
        <v>13924.593366413916</v>
      </c>
      <c r="I223" s="190">
        <v>11865.261679992695</v>
      </c>
      <c r="J223" s="629">
        <f>+Synthèse!H222</f>
        <v>10582.004258333103</v>
      </c>
      <c r="K223" s="629">
        <f t="shared" si="11"/>
        <v>-1283.2574216595913</v>
      </c>
    </row>
    <row r="224" spans="1:11" s="193" customFormat="1" ht="15" x14ac:dyDescent="0.25">
      <c r="A224" s="85">
        <f>Données!A224</f>
        <v>5763</v>
      </c>
      <c r="B224" s="302" t="str">
        <f>Données!B224</f>
        <v>Valeyres-sous-Rances</v>
      </c>
      <c r="C224" s="190">
        <v>311245.45037044259</v>
      </c>
      <c r="D224" s="626">
        <f>+Synthèse!G223</f>
        <v>304118.04735724319</v>
      </c>
      <c r="E224" s="623">
        <f t="shared" si="9"/>
        <v>-7127.4030131993932</v>
      </c>
      <c r="F224" s="189">
        <v>161178.00951584929</v>
      </c>
      <c r="G224" s="627">
        <f>+Synthèse!F223</f>
        <v>182244.64145405201</v>
      </c>
      <c r="H224" s="627">
        <f t="shared" si="10"/>
        <v>21066.631938202714</v>
      </c>
      <c r="I224" s="190">
        <v>70212.380433711296</v>
      </c>
      <c r="J224" s="629">
        <f>+Synthèse!H223</f>
        <v>63695.864705601722</v>
      </c>
      <c r="K224" s="629">
        <f t="shared" si="11"/>
        <v>-6516.5157281095744</v>
      </c>
    </row>
    <row r="225" spans="1:11" s="193" customFormat="1" ht="15" x14ac:dyDescent="0.25">
      <c r="A225" s="85">
        <f>Données!A225</f>
        <v>5764</v>
      </c>
      <c r="B225" s="302" t="str">
        <f>Données!B225</f>
        <v>Vallorbe</v>
      </c>
      <c r="C225" s="190">
        <v>1953848.5141976869</v>
      </c>
      <c r="D225" s="626">
        <f>+Synthèse!G224</f>
        <v>2163473.906460912</v>
      </c>
      <c r="E225" s="623">
        <f t="shared" si="9"/>
        <v>209625.39226322505</v>
      </c>
      <c r="F225" s="189">
        <v>-4008155.2149030995</v>
      </c>
      <c r="G225" s="627">
        <f>+Synthèse!F224</f>
        <v>-1864716.1672910445</v>
      </c>
      <c r="H225" s="627">
        <f t="shared" si="10"/>
        <v>2143439.0476120552</v>
      </c>
      <c r="I225" s="190">
        <v>255621.61544677641</v>
      </c>
      <c r="J225" s="629">
        <f>+Synthèse!H224</f>
        <v>278704.20626998041</v>
      </c>
      <c r="K225" s="629">
        <f t="shared" si="11"/>
        <v>23082.590823203995</v>
      </c>
    </row>
    <row r="226" spans="1:11" s="193" customFormat="1" ht="15" x14ac:dyDescent="0.25">
      <c r="A226" s="85">
        <f>Données!A226</f>
        <v>5765</v>
      </c>
      <c r="B226" s="302" t="str">
        <f>Données!B226</f>
        <v>Vaulion</v>
      </c>
      <c r="C226" s="190">
        <v>180420.14872282406</v>
      </c>
      <c r="D226" s="626">
        <f>+Synthèse!G225</f>
        <v>238534.28821446333</v>
      </c>
      <c r="E226" s="623">
        <f t="shared" si="9"/>
        <v>58114.139491639275</v>
      </c>
      <c r="F226" s="189">
        <v>-346581.79823417251</v>
      </c>
      <c r="G226" s="627">
        <f>+Synthèse!F225</f>
        <v>-167561.69815739631</v>
      </c>
      <c r="H226" s="627">
        <f t="shared" si="10"/>
        <v>179020.1000767762</v>
      </c>
      <c r="I226" s="190">
        <v>31543.809125553009</v>
      </c>
      <c r="J226" s="629">
        <f>+Synthèse!H225</f>
        <v>34403.886756661668</v>
      </c>
      <c r="K226" s="629">
        <f t="shared" si="11"/>
        <v>2860.0776311086593</v>
      </c>
    </row>
    <row r="227" spans="1:11" s="193" customFormat="1" ht="15" x14ac:dyDescent="0.25">
      <c r="A227" s="85">
        <f>Données!A227</f>
        <v>5766</v>
      </c>
      <c r="B227" s="302" t="str">
        <f>Données!B227</f>
        <v>Vuiteboeuf</v>
      </c>
      <c r="C227" s="190">
        <v>249379.60653320947</v>
      </c>
      <c r="D227" s="626">
        <f>+Synthèse!G226</f>
        <v>254188.54585191584</v>
      </c>
      <c r="E227" s="623">
        <f t="shared" si="9"/>
        <v>4808.9393187063688</v>
      </c>
      <c r="F227" s="189">
        <v>-124274.86855427141</v>
      </c>
      <c r="G227" s="627">
        <f>+Synthèse!F226</f>
        <v>-117229.61609821429</v>
      </c>
      <c r="H227" s="627">
        <f t="shared" si="10"/>
        <v>7045.2524560571183</v>
      </c>
      <c r="I227" s="190">
        <v>47906.566531586883</v>
      </c>
      <c r="J227" s="629">
        <f>+Synthèse!H226</f>
        <v>42802.294992792988</v>
      </c>
      <c r="K227" s="629">
        <f t="shared" si="11"/>
        <v>-5104.2715387938952</v>
      </c>
    </row>
    <row r="228" spans="1:11" s="193" customFormat="1" ht="15" x14ac:dyDescent="0.25">
      <c r="A228" s="85">
        <f>Données!A228</f>
        <v>5785</v>
      </c>
      <c r="B228" s="302" t="str">
        <f>Données!B228</f>
        <v>Corcelles-le-Jorat</v>
      </c>
      <c r="C228" s="190">
        <v>223058.96365355139</v>
      </c>
      <c r="D228" s="626">
        <f>+Synthèse!G227</f>
        <v>281953.59410696756</v>
      </c>
      <c r="E228" s="623">
        <f t="shared" si="9"/>
        <v>58894.630453416175</v>
      </c>
      <c r="F228" s="189">
        <v>-53708.909008317161</v>
      </c>
      <c r="G228" s="627">
        <f>+Synthèse!F227</f>
        <v>129412.0392586544</v>
      </c>
      <c r="H228" s="627">
        <f t="shared" si="10"/>
        <v>183120.94826697157</v>
      </c>
      <c r="I228" s="190">
        <v>45015.35147827625</v>
      </c>
      <c r="J228" s="629">
        <f>+Synthèse!H227</f>
        <v>53989.326801477568</v>
      </c>
      <c r="K228" s="629">
        <f t="shared" si="11"/>
        <v>8973.9753232013172</v>
      </c>
    </row>
    <row r="229" spans="1:11" s="193" customFormat="1" ht="15" x14ac:dyDescent="0.25">
      <c r="A229" s="85">
        <f>Données!A229</f>
        <v>5790</v>
      </c>
      <c r="B229" s="302" t="str">
        <f>Données!B229</f>
        <v>Maracon</v>
      </c>
      <c r="C229" s="190">
        <v>225800.97967737494</v>
      </c>
      <c r="D229" s="626">
        <f>+Synthèse!G228</f>
        <v>255509.00780874444</v>
      </c>
      <c r="E229" s="623">
        <f t="shared" si="9"/>
        <v>29708.028131369501</v>
      </c>
      <c r="F229" s="189">
        <v>-131420.0432532627</v>
      </c>
      <c r="G229" s="627">
        <f>+Synthèse!F228</f>
        <v>32119.476638852037</v>
      </c>
      <c r="H229" s="627">
        <f t="shared" si="10"/>
        <v>163539.51989211474</v>
      </c>
      <c r="I229" s="190">
        <v>46229.007579699843</v>
      </c>
      <c r="J229" s="629">
        <f>+Synthèse!H228</f>
        <v>52252.16812933403</v>
      </c>
      <c r="K229" s="629">
        <f t="shared" si="11"/>
        <v>6023.1605496341872</v>
      </c>
    </row>
    <row r="230" spans="1:11" s="193" customFormat="1" ht="15" x14ac:dyDescent="0.25">
      <c r="A230" s="85">
        <f>Données!A230</f>
        <v>5792</v>
      </c>
      <c r="B230" s="302" t="str">
        <f>Données!B230</f>
        <v>Montpreveyres</v>
      </c>
      <c r="C230" s="190">
        <v>343506.97182051413</v>
      </c>
      <c r="D230" s="626">
        <f>+Synthèse!G229</f>
        <v>334275.41448050691</v>
      </c>
      <c r="E230" s="623">
        <f t="shared" si="9"/>
        <v>-9231.5573400072171</v>
      </c>
      <c r="F230" s="189">
        <v>-106061.18370923621</v>
      </c>
      <c r="G230" s="627">
        <f>+Synthèse!F229</f>
        <v>29558.800892112427</v>
      </c>
      <c r="H230" s="627">
        <f t="shared" si="10"/>
        <v>135619.98460134864</v>
      </c>
      <c r="I230" s="190">
        <v>61766.945834036334</v>
      </c>
      <c r="J230" s="629">
        <f>+Synthèse!H229</f>
        <v>57762.648342326342</v>
      </c>
      <c r="K230" s="629">
        <f t="shared" si="11"/>
        <v>-4004.2974917099928</v>
      </c>
    </row>
    <row r="231" spans="1:11" s="193" customFormat="1" ht="15" x14ac:dyDescent="0.25">
      <c r="A231" s="85">
        <f>Données!A231</f>
        <v>5798</v>
      </c>
      <c r="B231" s="302" t="str">
        <f>Données!B231</f>
        <v>Ropraz</v>
      </c>
      <c r="C231" s="190">
        <v>290480.97804450162</v>
      </c>
      <c r="D231" s="626">
        <f>+Synthèse!G230</f>
        <v>261182.81542415934</v>
      </c>
      <c r="E231" s="623">
        <f t="shared" si="9"/>
        <v>-29298.162620342278</v>
      </c>
      <c r="F231" s="189">
        <v>19963.865466569318</v>
      </c>
      <c r="G231" s="627">
        <f>+Synthèse!F230</f>
        <v>-8006.7132847023313</v>
      </c>
      <c r="H231" s="627">
        <f t="shared" si="10"/>
        <v>-27970.578751271649</v>
      </c>
      <c r="I231" s="190">
        <v>53686.36869193161</v>
      </c>
      <c r="J231" s="629">
        <f>+Synthèse!H230</f>
        <v>47447.728098155945</v>
      </c>
      <c r="K231" s="629">
        <f t="shared" si="11"/>
        <v>-6238.6405937756645</v>
      </c>
    </row>
    <row r="232" spans="1:11" s="193" customFormat="1" ht="15" x14ac:dyDescent="0.25">
      <c r="A232" s="85">
        <f>Données!A232</f>
        <v>5799</v>
      </c>
      <c r="B232" s="302" t="str">
        <f>Données!B232</f>
        <v>Servion</v>
      </c>
      <c r="C232" s="190">
        <v>1160029.7915861816</v>
      </c>
      <c r="D232" s="626">
        <f>+Synthèse!G231</f>
        <v>1115794.062897454</v>
      </c>
      <c r="E232" s="623">
        <f t="shared" si="9"/>
        <v>-44235.728688727599</v>
      </c>
      <c r="F232" s="189">
        <v>-39922.435181027977</v>
      </c>
      <c r="G232" s="627">
        <f>+Synthèse!F231</f>
        <v>400278.30574908457</v>
      </c>
      <c r="H232" s="627">
        <f t="shared" si="10"/>
        <v>440200.74093011254</v>
      </c>
      <c r="I232" s="190">
        <v>218735.56102816836</v>
      </c>
      <c r="J232" s="629">
        <f>+Synthèse!H231</f>
        <v>231762.69024781481</v>
      </c>
      <c r="K232" s="629">
        <f t="shared" si="11"/>
        <v>13027.129219646449</v>
      </c>
    </row>
    <row r="233" spans="1:11" s="193" customFormat="1" ht="15" x14ac:dyDescent="0.25">
      <c r="A233" s="85">
        <f>Données!A233</f>
        <v>5803</v>
      </c>
      <c r="B233" s="302" t="str">
        <f>Données!B233</f>
        <v>Vulliens</v>
      </c>
      <c r="C233" s="190">
        <v>282527.04103986936</v>
      </c>
      <c r="D233" s="626">
        <f>+Synthèse!G232</f>
        <v>261021.54594477441</v>
      </c>
      <c r="E233" s="623">
        <f t="shared" si="9"/>
        <v>-21505.495095094957</v>
      </c>
      <c r="F233" s="189">
        <v>-75852.145151898207</v>
      </c>
      <c r="G233" s="627">
        <f>+Synthèse!F232</f>
        <v>-21533.020024310506</v>
      </c>
      <c r="H233" s="627">
        <f t="shared" si="10"/>
        <v>54319.1251275877</v>
      </c>
      <c r="I233" s="190">
        <v>55326.131033583719</v>
      </c>
      <c r="J233" s="629">
        <f>+Synthèse!H232</f>
        <v>54844.496988378247</v>
      </c>
      <c r="K233" s="629">
        <f t="shared" si="11"/>
        <v>-481.63404520547192</v>
      </c>
    </row>
    <row r="234" spans="1:11" s="193" customFormat="1" ht="15" x14ac:dyDescent="0.25">
      <c r="A234" s="85">
        <f>Données!A234</f>
        <v>5804</v>
      </c>
      <c r="B234" s="302" t="str">
        <f>Données!B234</f>
        <v>Jorat-Menthue</v>
      </c>
      <c r="C234" s="190">
        <v>680670.81006519753</v>
      </c>
      <c r="D234" s="626">
        <f>+Synthèse!G233</f>
        <v>663484.87377970992</v>
      </c>
      <c r="E234" s="623">
        <f t="shared" si="9"/>
        <v>-17185.936285487609</v>
      </c>
      <c r="F234" s="189">
        <v>-570366.19169226696</v>
      </c>
      <c r="G234" s="627">
        <f>+Synthèse!F233</f>
        <v>54656.064274648787</v>
      </c>
      <c r="H234" s="627">
        <f t="shared" si="10"/>
        <v>625022.25596691575</v>
      </c>
      <c r="I234" s="190">
        <v>143239.57668701609</v>
      </c>
      <c r="J234" s="629">
        <f>+Synthèse!H233</f>
        <v>145118.37364448578</v>
      </c>
      <c r="K234" s="629">
        <f t="shared" si="11"/>
        <v>1878.7969574696908</v>
      </c>
    </row>
    <row r="235" spans="1:11" s="193" customFormat="1" ht="15" x14ac:dyDescent="0.25">
      <c r="A235" s="85">
        <f>Données!A235</f>
        <v>5805</v>
      </c>
      <c r="B235" s="302" t="str">
        <f>Données!B235</f>
        <v>Oron</v>
      </c>
      <c r="C235" s="190">
        <v>2561862.7988433857</v>
      </c>
      <c r="D235" s="626">
        <f>+Synthèse!G234</f>
        <v>2488577.3972127545</v>
      </c>
      <c r="E235" s="623">
        <f t="shared" si="9"/>
        <v>-73285.401630631182</v>
      </c>
      <c r="F235" s="189">
        <v>-2393155.5008758963</v>
      </c>
      <c r="G235" s="627">
        <f>+Synthèse!F234</f>
        <v>-1663106.5351827801</v>
      </c>
      <c r="H235" s="627">
        <f t="shared" si="10"/>
        <v>730048.96569311619</v>
      </c>
      <c r="I235" s="190">
        <v>532902.31668594922</v>
      </c>
      <c r="J235" s="629">
        <f>+Synthèse!H234</f>
        <v>520216.08045649098</v>
      </c>
      <c r="K235" s="629">
        <f t="shared" si="11"/>
        <v>-12686.236229458242</v>
      </c>
    </row>
    <row r="236" spans="1:11" s="193" customFormat="1" ht="15" x14ac:dyDescent="0.25">
      <c r="A236" s="85">
        <f>Données!A236</f>
        <v>5806</v>
      </c>
      <c r="B236" s="302" t="str">
        <f>Données!B236</f>
        <v>Jorat-Mézières</v>
      </c>
      <c r="C236" s="190">
        <v>1791074.6635852938</v>
      </c>
      <c r="D236" s="626">
        <f>+Synthèse!G235</f>
        <v>1649651.6829140494</v>
      </c>
      <c r="E236" s="623">
        <f t="shared" si="9"/>
        <v>-141422.98067124444</v>
      </c>
      <c r="F236" s="189">
        <v>-328121.44505386148</v>
      </c>
      <c r="G236" s="627">
        <f>+Synthèse!F235</f>
        <v>-303870.98903539195</v>
      </c>
      <c r="H236" s="627">
        <f t="shared" si="10"/>
        <v>24250.456018469529</v>
      </c>
      <c r="I236" s="190">
        <v>313999.88119048486</v>
      </c>
      <c r="J236" s="629">
        <f>+Synthèse!H235</f>
        <v>290751.5148616145</v>
      </c>
      <c r="K236" s="629">
        <f t="shared" si="11"/>
        <v>-23248.366328870354</v>
      </c>
    </row>
    <row r="237" spans="1:11" s="193" customFormat="1" ht="15" x14ac:dyDescent="0.25">
      <c r="A237" s="85">
        <f>Données!A237</f>
        <v>5812</v>
      </c>
      <c r="B237" s="302" t="str">
        <f>Données!B237</f>
        <v>Champtauroz</v>
      </c>
      <c r="C237" s="190">
        <v>49656.72745539801</v>
      </c>
      <c r="D237" s="626">
        <f>+Synthèse!G236</f>
        <v>68790.519275727362</v>
      </c>
      <c r="E237" s="623">
        <f t="shared" si="9"/>
        <v>19133.791820329352</v>
      </c>
      <c r="F237" s="189">
        <v>-90009.807400711768</v>
      </c>
      <c r="G237" s="627">
        <f>+Synthèse!F236</f>
        <v>-91833.995101311259</v>
      </c>
      <c r="H237" s="627">
        <f t="shared" si="10"/>
        <v>-1824.1877005994902</v>
      </c>
      <c r="I237" s="190">
        <v>10299.88144622869</v>
      </c>
      <c r="J237" s="629">
        <f>+Synthèse!H236</f>
        <v>10477.766964464314</v>
      </c>
      <c r="K237" s="629">
        <f t="shared" si="11"/>
        <v>177.88551823562375</v>
      </c>
    </row>
    <row r="238" spans="1:11" s="193" customFormat="1" ht="15" x14ac:dyDescent="0.25">
      <c r="A238" s="85">
        <f>Données!A238</f>
        <v>5813</v>
      </c>
      <c r="B238" s="302" t="str">
        <f>Données!B238</f>
        <v>Chevroux</v>
      </c>
      <c r="C238" s="190">
        <v>270111.51636788249</v>
      </c>
      <c r="D238" s="626">
        <f>+Synthèse!G237</f>
        <v>278041.54779891134</v>
      </c>
      <c r="E238" s="623">
        <f t="shared" si="9"/>
        <v>7930.0314310288522</v>
      </c>
      <c r="F238" s="189">
        <v>-283555.77906541486</v>
      </c>
      <c r="G238" s="627">
        <f>+Synthèse!F237</f>
        <v>176769.67715570622</v>
      </c>
      <c r="H238" s="627">
        <f t="shared" si="10"/>
        <v>460325.45622112107</v>
      </c>
      <c r="I238" s="190">
        <v>46401.431960590286</v>
      </c>
      <c r="J238" s="629">
        <f>+Synthèse!H237</f>
        <v>57016.810099476505</v>
      </c>
      <c r="K238" s="629">
        <f t="shared" si="11"/>
        <v>10615.378138886219</v>
      </c>
    </row>
    <row r="239" spans="1:11" s="193" customFormat="1" ht="15" x14ac:dyDescent="0.25">
      <c r="A239" s="85">
        <f>Données!A239</f>
        <v>5816</v>
      </c>
      <c r="B239" s="302" t="str">
        <f>Données!B239</f>
        <v>Corcelles-près-Payerne</v>
      </c>
      <c r="C239" s="190">
        <v>969008.35063929367</v>
      </c>
      <c r="D239" s="626">
        <f>+Synthèse!G238</f>
        <v>1248292.4121935889</v>
      </c>
      <c r="E239" s="623">
        <f t="shared" si="9"/>
        <v>279284.06155429524</v>
      </c>
      <c r="F239" s="189">
        <v>-1078088.6747237588</v>
      </c>
      <c r="G239" s="627">
        <f>+Synthèse!F238</f>
        <v>-721485.10800858634</v>
      </c>
      <c r="H239" s="627">
        <f t="shared" si="10"/>
        <v>356603.56671517249</v>
      </c>
      <c r="I239" s="190">
        <v>199628.19891884999</v>
      </c>
      <c r="J239" s="629">
        <f>+Synthèse!H238</f>
        <v>205484.08686190122</v>
      </c>
      <c r="K239" s="629">
        <f t="shared" si="11"/>
        <v>5855.8879430512316</v>
      </c>
    </row>
    <row r="240" spans="1:11" s="193" customFormat="1" ht="15" x14ac:dyDescent="0.25">
      <c r="A240" s="85">
        <f>Données!A240</f>
        <v>5817</v>
      </c>
      <c r="B240" s="302" t="str">
        <f>Données!B240</f>
        <v>Grandcour</v>
      </c>
      <c r="C240" s="190">
        <v>335493.04363135609</v>
      </c>
      <c r="D240" s="626">
        <f>+Synthèse!G239</f>
        <v>344127.32232045301</v>
      </c>
      <c r="E240" s="623">
        <f t="shared" si="9"/>
        <v>8634.2786890969146</v>
      </c>
      <c r="F240" s="189">
        <v>-300440.26871419483</v>
      </c>
      <c r="G240" s="627">
        <f>+Synthèse!F239</f>
        <v>-183517.84236443223</v>
      </c>
      <c r="H240" s="627">
        <f t="shared" si="10"/>
        <v>116922.42634976259</v>
      </c>
      <c r="I240" s="190">
        <v>75604.130687555356</v>
      </c>
      <c r="J240" s="629">
        <f>+Synthèse!H239</f>
        <v>74050.432916463324</v>
      </c>
      <c r="K240" s="629">
        <f t="shared" si="11"/>
        <v>-1553.6977710920328</v>
      </c>
    </row>
    <row r="241" spans="1:11" s="193" customFormat="1" ht="15" x14ac:dyDescent="0.25">
      <c r="A241" s="85">
        <f>Données!A241</f>
        <v>5819</v>
      </c>
      <c r="B241" s="302" t="str">
        <f>Données!B241</f>
        <v>Henniez</v>
      </c>
      <c r="C241" s="190">
        <v>161427.47405314824</v>
      </c>
      <c r="D241" s="626">
        <f>+Synthèse!G240</f>
        <v>295345.96749518253</v>
      </c>
      <c r="E241" s="623">
        <f t="shared" si="9"/>
        <v>133918.49344203429</v>
      </c>
      <c r="F241" s="189">
        <v>-169288.76716851167</v>
      </c>
      <c r="G241" s="627">
        <f>+Synthèse!F240</f>
        <v>198343.98204403656</v>
      </c>
      <c r="H241" s="627">
        <f t="shared" si="10"/>
        <v>367632.74921254825</v>
      </c>
      <c r="I241" s="190">
        <v>29853.878733354883</v>
      </c>
      <c r="J241" s="629">
        <f>+Synthèse!H240</f>
        <v>52954.543226808011</v>
      </c>
      <c r="K241" s="629">
        <f t="shared" si="11"/>
        <v>23100.664493453129</v>
      </c>
    </row>
    <row r="242" spans="1:11" s="193" customFormat="1" ht="15" x14ac:dyDescent="0.25">
      <c r="A242" s="85">
        <f>Données!A242</f>
        <v>5821</v>
      </c>
      <c r="B242" s="302" t="str">
        <f>Données!B242</f>
        <v>Missy</v>
      </c>
      <c r="C242" s="190">
        <v>114430.68157897716</v>
      </c>
      <c r="D242" s="626">
        <f>+Synthèse!G241</f>
        <v>111898.63963604449</v>
      </c>
      <c r="E242" s="623">
        <f t="shared" si="9"/>
        <v>-2532.0419429326721</v>
      </c>
      <c r="F242" s="189">
        <v>-115903.27929838846</v>
      </c>
      <c r="G242" s="627">
        <f>+Synthèse!F241</f>
        <v>-87800.174618680321</v>
      </c>
      <c r="H242" s="627">
        <f t="shared" si="10"/>
        <v>28103.104679708136</v>
      </c>
      <c r="I242" s="190">
        <v>24384.440852777243</v>
      </c>
      <c r="J242" s="629">
        <f>+Synthèse!H241</f>
        <v>25538.144992308862</v>
      </c>
      <c r="K242" s="629">
        <f t="shared" si="11"/>
        <v>1153.7041395316191</v>
      </c>
    </row>
    <row r="243" spans="1:11" s="193" customFormat="1" ht="15" x14ac:dyDescent="0.25">
      <c r="A243" s="85">
        <f>Données!A243</f>
        <v>5822</v>
      </c>
      <c r="B243" s="302" t="str">
        <f>Données!B243</f>
        <v>Payerne</v>
      </c>
      <c r="C243" s="190">
        <v>4186783.8893533442</v>
      </c>
      <c r="D243" s="626">
        <f>+Synthèse!G242</f>
        <v>4068416.8456060672</v>
      </c>
      <c r="E243" s="623">
        <f t="shared" si="9"/>
        <v>-118367.043747277</v>
      </c>
      <c r="F243" s="189">
        <v>-7727068.789490331</v>
      </c>
      <c r="G243" s="627">
        <f>+Synthèse!F242</f>
        <v>-5810309.5886369664</v>
      </c>
      <c r="H243" s="627">
        <f t="shared" si="10"/>
        <v>1916759.2008533645</v>
      </c>
      <c r="I243" s="190">
        <v>726210.86823412497</v>
      </c>
      <c r="J243" s="629">
        <f>+Synthèse!H242</f>
        <v>771360.75871911994</v>
      </c>
      <c r="K243" s="629">
        <f t="shared" si="11"/>
        <v>45149.890484994976</v>
      </c>
    </row>
    <row r="244" spans="1:11" s="193" customFormat="1" ht="15" x14ac:dyDescent="0.25">
      <c r="A244" s="85">
        <f>Données!A244</f>
        <v>5827</v>
      </c>
      <c r="B244" s="302" t="str">
        <f>Données!B244</f>
        <v>Trey</v>
      </c>
      <c r="C244" s="190">
        <v>156054.63922201883</v>
      </c>
      <c r="D244" s="626">
        <f>+Synthèse!G243</f>
        <v>88005.591739535623</v>
      </c>
      <c r="E244" s="623">
        <f t="shared" si="9"/>
        <v>-68049.047482483205</v>
      </c>
      <c r="F244" s="189">
        <v>-111816.51295670352</v>
      </c>
      <c r="G244" s="627">
        <f>+Synthèse!F243</f>
        <v>-85272.768628077407</v>
      </c>
      <c r="H244" s="627">
        <f t="shared" si="10"/>
        <v>26543.744328626111</v>
      </c>
      <c r="I244" s="190">
        <v>23838.606248106185</v>
      </c>
      <c r="J244" s="629">
        <f>+Synthèse!H243</f>
        <v>22697.661740753785</v>
      </c>
      <c r="K244" s="629">
        <f t="shared" si="11"/>
        <v>-1140.9445073524003</v>
      </c>
    </row>
    <row r="245" spans="1:11" s="193" customFormat="1" ht="15" x14ac:dyDescent="0.25">
      <c r="A245" s="85">
        <f>Données!A245</f>
        <v>5828</v>
      </c>
      <c r="B245" s="302" t="str">
        <f>Données!B245</f>
        <v>Treytorrens (Payerne)</v>
      </c>
      <c r="C245" s="190">
        <v>43647.598914216585</v>
      </c>
      <c r="D245" s="626">
        <f>+Synthèse!G244</f>
        <v>31323.080142592797</v>
      </c>
      <c r="E245" s="623">
        <f t="shared" si="9"/>
        <v>-12324.518771623789</v>
      </c>
      <c r="F245" s="189">
        <v>-45403.471216835351</v>
      </c>
      <c r="G245" s="627">
        <f>+Synthèse!F244</f>
        <v>-32430.046933275633</v>
      </c>
      <c r="H245" s="627">
        <f t="shared" si="10"/>
        <v>12973.424283559718</v>
      </c>
      <c r="I245" s="190">
        <v>8950.8561851211616</v>
      </c>
      <c r="J245" s="629">
        <f>+Synthèse!H244</f>
        <v>8081.6429322121803</v>
      </c>
      <c r="K245" s="629">
        <f t="shared" si="11"/>
        <v>-869.2132529089813</v>
      </c>
    </row>
    <row r="246" spans="1:11" s="193" customFormat="1" ht="15" x14ac:dyDescent="0.25">
      <c r="A246" s="85">
        <f>Données!A246</f>
        <v>5830</v>
      </c>
      <c r="B246" s="302" t="str">
        <f>Données!B246</f>
        <v>Villarzel</v>
      </c>
      <c r="C246" s="190">
        <v>222266.0596393611</v>
      </c>
      <c r="D246" s="626">
        <f>+Synthèse!G245</f>
        <v>191938.79155060367</v>
      </c>
      <c r="E246" s="623">
        <f t="shared" si="9"/>
        <v>-30327.268088757439</v>
      </c>
      <c r="F246" s="189">
        <v>-215934.7628770828</v>
      </c>
      <c r="G246" s="627">
        <f>+Synthèse!F245</f>
        <v>-122353.0160764232</v>
      </c>
      <c r="H246" s="627">
        <f t="shared" si="10"/>
        <v>93581.746800659603</v>
      </c>
      <c r="I246" s="190">
        <v>38384.474067718256</v>
      </c>
      <c r="J246" s="629">
        <f>+Synthèse!H245</f>
        <v>37884.141695665778</v>
      </c>
      <c r="K246" s="629">
        <f t="shared" si="11"/>
        <v>-500.3323720524786</v>
      </c>
    </row>
    <row r="247" spans="1:11" s="193" customFormat="1" ht="15" x14ac:dyDescent="0.25">
      <c r="A247" s="85">
        <f>Données!A247</f>
        <v>5831</v>
      </c>
      <c r="B247" s="302" t="str">
        <f>Données!B247</f>
        <v>Valbroye</v>
      </c>
      <c r="C247" s="190">
        <v>1461524.4661836002</v>
      </c>
      <c r="D247" s="626">
        <f>+Synthèse!G246</f>
        <v>1394654.6631399691</v>
      </c>
      <c r="E247" s="623">
        <f t="shared" si="9"/>
        <v>-66869.803043631138</v>
      </c>
      <c r="F247" s="189">
        <v>-2018761.8243944873</v>
      </c>
      <c r="G247" s="627">
        <f>+Synthèse!F246</f>
        <v>-859455.62614994193</v>
      </c>
      <c r="H247" s="627">
        <f t="shared" si="10"/>
        <v>1159306.1982445454</v>
      </c>
      <c r="I247" s="190">
        <v>246605.27875409415</v>
      </c>
      <c r="J247" s="629">
        <f>+Synthèse!H246</f>
        <v>267799.04562940891</v>
      </c>
      <c r="K247" s="629">
        <f t="shared" si="11"/>
        <v>21193.766875314759</v>
      </c>
    </row>
    <row r="248" spans="1:11" s="193" customFormat="1" ht="15" x14ac:dyDescent="0.25">
      <c r="A248" s="85">
        <f>Données!A248</f>
        <v>5841</v>
      </c>
      <c r="B248" s="302" t="str">
        <f>Données!B248</f>
        <v>Château-d'Oex</v>
      </c>
      <c r="C248" s="190">
        <v>2301853.3438852439</v>
      </c>
      <c r="D248" s="626">
        <f>+Synthèse!G247</f>
        <v>2214025.0653887982</v>
      </c>
      <c r="E248" s="623">
        <f t="shared" si="9"/>
        <v>-87828.278496445622</v>
      </c>
      <c r="F248" s="189">
        <v>-2974464.1222294006</v>
      </c>
      <c r="G248" s="627">
        <f>+Synthèse!F247</f>
        <v>93745.721228513401</v>
      </c>
      <c r="H248" s="627">
        <f t="shared" si="10"/>
        <v>3068209.843457914</v>
      </c>
      <c r="I248" s="190">
        <v>331855.35206262412</v>
      </c>
      <c r="J248" s="629">
        <f>+Synthèse!H247</f>
        <v>385342.73944617924</v>
      </c>
      <c r="K248" s="629">
        <f t="shared" si="11"/>
        <v>53487.38738355512</v>
      </c>
    </row>
    <row r="249" spans="1:11" s="193" customFormat="1" ht="15" x14ac:dyDescent="0.25">
      <c r="A249" s="85">
        <f>Données!A249</f>
        <v>5842</v>
      </c>
      <c r="B249" s="302" t="str">
        <f>Données!B249</f>
        <v>Rossinière</v>
      </c>
      <c r="C249" s="190">
        <v>233289.39243676543</v>
      </c>
      <c r="D249" s="626">
        <f>+Synthèse!G248</f>
        <v>292222.38623397495</v>
      </c>
      <c r="E249" s="623">
        <f t="shared" si="9"/>
        <v>58932.993797209521</v>
      </c>
      <c r="F249" s="189">
        <v>-396554.21806992788</v>
      </c>
      <c r="G249" s="627">
        <f>+Synthèse!F248</f>
        <v>142460.85405701387</v>
      </c>
      <c r="H249" s="627">
        <f t="shared" si="10"/>
        <v>539015.07212694176</v>
      </c>
      <c r="I249" s="190">
        <v>45810.356764366385</v>
      </c>
      <c r="J249" s="629">
        <f>+Synthèse!H248</f>
        <v>59196.414719437234</v>
      </c>
      <c r="K249" s="629">
        <f t="shared" si="11"/>
        <v>13386.05795507085</v>
      </c>
    </row>
    <row r="250" spans="1:11" s="193" customFormat="1" ht="15" x14ac:dyDescent="0.25">
      <c r="A250" s="85">
        <f>Données!A250</f>
        <v>5843</v>
      </c>
      <c r="B250" s="302" t="str">
        <f>Données!B250</f>
        <v>Rougemont</v>
      </c>
      <c r="C250" s="190">
        <v>3937660.1961858952</v>
      </c>
      <c r="D250" s="626">
        <f>+Synthèse!G249</f>
        <v>3457546.6735006371</v>
      </c>
      <c r="E250" s="623">
        <f t="shared" si="9"/>
        <v>-480113.52268525818</v>
      </c>
      <c r="F250" s="189">
        <v>1760351.3723426193</v>
      </c>
      <c r="G250" s="627">
        <f>+Synthèse!F249</f>
        <v>1608569.3847003179</v>
      </c>
      <c r="H250" s="627">
        <f t="shared" si="10"/>
        <v>-151781.98764230148</v>
      </c>
      <c r="I250" s="190">
        <v>195236.06393539478</v>
      </c>
      <c r="J250" s="629">
        <f>+Synthèse!H249</f>
        <v>172566.56792989685</v>
      </c>
      <c r="K250" s="629">
        <f t="shared" si="11"/>
        <v>-22669.496005497931</v>
      </c>
    </row>
    <row r="251" spans="1:11" s="193" customFormat="1" ht="15" x14ac:dyDescent="0.25">
      <c r="A251" s="85">
        <f>Données!A251</f>
        <v>5851</v>
      </c>
      <c r="B251" s="302" t="str">
        <f>Données!B251</f>
        <v>Allaman</v>
      </c>
      <c r="C251" s="190">
        <v>421441.63681910693</v>
      </c>
      <c r="D251" s="626">
        <f>+Synthèse!G250</f>
        <v>589240.93737820571</v>
      </c>
      <c r="E251" s="623">
        <f t="shared" si="9"/>
        <v>167799.30055909877</v>
      </c>
      <c r="F251" s="189">
        <v>406496.08350971102</v>
      </c>
      <c r="G251" s="627">
        <f>+Synthèse!F250</f>
        <v>369578.8501023018</v>
      </c>
      <c r="H251" s="627">
        <f t="shared" si="10"/>
        <v>-36917.233407409221</v>
      </c>
      <c r="I251" s="190">
        <v>68520.624761903571</v>
      </c>
      <c r="J251" s="629">
        <f>+Synthèse!H250</f>
        <v>61357.616845438075</v>
      </c>
      <c r="K251" s="629">
        <f t="shared" si="11"/>
        <v>-7163.0079164654962</v>
      </c>
    </row>
    <row r="252" spans="1:11" s="193" customFormat="1" ht="15" x14ac:dyDescent="0.25">
      <c r="A252" s="85">
        <f>Données!A252</f>
        <v>5852</v>
      </c>
      <c r="B252" s="302" t="str">
        <f>Données!B252</f>
        <v>Bursinel</v>
      </c>
      <c r="C252" s="190">
        <v>764833.56828180421</v>
      </c>
      <c r="D252" s="626">
        <f>+Synthèse!G251</f>
        <v>1848167.9308423311</v>
      </c>
      <c r="E252" s="623">
        <f t="shared" si="9"/>
        <v>1083334.3625605269</v>
      </c>
      <c r="F252" s="189">
        <v>601271.84929187922</v>
      </c>
      <c r="G252" s="627">
        <f>+Synthèse!F251</f>
        <v>637321.99480281165</v>
      </c>
      <c r="H252" s="627">
        <f t="shared" si="10"/>
        <v>36050.145510932431</v>
      </c>
      <c r="I252" s="190">
        <v>88007.139023368116</v>
      </c>
      <c r="J252" s="629">
        <f>+Synthèse!H251</f>
        <v>88704.322344815417</v>
      </c>
      <c r="K252" s="629">
        <f t="shared" si="11"/>
        <v>697.18332144730084</v>
      </c>
    </row>
    <row r="253" spans="1:11" s="193" customFormat="1" ht="15" x14ac:dyDescent="0.25">
      <c r="A253" s="85">
        <f>Données!A253</f>
        <v>5853</v>
      </c>
      <c r="B253" s="302" t="str">
        <f>Données!B253</f>
        <v>Bursins</v>
      </c>
      <c r="C253" s="190">
        <v>956323.74019361963</v>
      </c>
      <c r="D253" s="626">
        <f>+Synthèse!G252</f>
        <v>750625.5552035002</v>
      </c>
      <c r="E253" s="623">
        <f t="shared" si="9"/>
        <v>-205698.18499011942</v>
      </c>
      <c r="F253" s="189">
        <v>750692.87711079326</v>
      </c>
      <c r="G253" s="627">
        <f>+Synthèse!F252</f>
        <v>739523.67851148697</v>
      </c>
      <c r="H253" s="627">
        <f t="shared" si="10"/>
        <v>-11169.198599306284</v>
      </c>
      <c r="I253" s="190">
        <v>122899.99169004557</v>
      </c>
      <c r="J253" s="629">
        <f>+Synthèse!H252</f>
        <v>121860.61811371482</v>
      </c>
      <c r="K253" s="629">
        <f t="shared" si="11"/>
        <v>-1039.3735763307486</v>
      </c>
    </row>
    <row r="254" spans="1:11" s="193" customFormat="1" ht="15" x14ac:dyDescent="0.25">
      <c r="A254" s="85">
        <f>Données!A254</f>
        <v>5854</v>
      </c>
      <c r="B254" s="302" t="str">
        <f>Données!B254</f>
        <v>Burtigny</v>
      </c>
      <c r="C254" s="190">
        <v>229051.80659945004</v>
      </c>
      <c r="D254" s="626">
        <f>+Synthèse!G253</f>
        <v>220168.30582283286</v>
      </c>
      <c r="E254" s="623">
        <f t="shared" si="9"/>
        <v>-8883.5007766171766</v>
      </c>
      <c r="F254" s="189">
        <v>40237.190121784108</v>
      </c>
      <c r="G254" s="627">
        <f>+Synthèse!F253</f>
        <v>190389.10495461884</v>
      </c>
      <c r="H254" s="627">
        <f t="shared" si="10"/>
        <v>150151.91483283474</v>
      </c>
      <c r="I254" s="190">
        <v>47246.677012282737</v>
      </c>
      <c r="J254" s="629">
        <f>+Synthèse!H253</f>
        <v>50991.461396326551</v>
      </c>
      <c r="K254" s="629">
        <f t="shared" si="11"/>
        <v>3744.7843840438145</v>
      </c>
    </row>
    <row r="255" spans="1:11" s="193" customFormat="1" ht="15" x14ac:dyDescent="0.25">
      <c r="A255" s="85">
        <f>Données!A255</f>
        <v>5855</v>
      </c>
      <c r="B255" s="302" t="str">
        <f>Données!B255</f>
        <v>Dully</v>
      </c>
      <c r="C255" s="190">
        <v>2833305.9292807733</v>
      </c>
      <c r="D255" s="626">
        <f>+Synthèse!G254</f>
        <v>2110407.4660404734</v>
      </c>
      <c r="E255" s="623">
        <f t="shared" si="9"/>
        <v>-722898.46324029984</v>
      </c>
      <c r="F255" s="189">
        <v>1724129.2438680988</v>
      </c>
      <c r="G255" s="627">
        <f>+Synthèse!F254</f>
        <v>1474023.1547735126</v>
      </c>
      <c r="H255" s="627">
        <f t="shared" si="10"/>
        <v>-250106.0890945862</v>
      </c>
      <c r="I255" s="190">
        <v>170893.69114594522</v>
      </c>
      <c r="J255" s="629">
        <f>+Synthèse!H254</f>
        <v>148499.22471759058</v>
      </c>
      <c r="K255" s="629">
        <f t="shared" si="11"/>
        <v>-22394.466428354644</v>
      </c>
    </row>
    <row r="256" spans="1:11" s="193" customFormat="1" ht="15" x14ac:dyDescent="0.25">
      <c r="A256" s="85">
        <f>Données!A256</f>
        <v>5856</v>
      </c>
      <c r="B256" s="302" t="str">
        <f>Données!B256</f>
        <v>Essertines-sur-Rolle</v>
      </c>
      <c r="C256" s="190">
        <v>848229.23121430178</v>
      </c>
      <c r="D256" s="626">
        <f>+Synthèse!G255</f>
        <v>619796.14145349571</v>
      </c>
      <c r="E256" s="623">
        <f t="shared" si="9"/>
        <v>-228433.08976080606</v>
      </c>
      <c r="F256" s="189">
        <v>713678.16468356922</v>
      </c>
      <c r="G256" s="627">
        <f>+Synthèse!F255</f>
        <v>673222.52000852278</v>
      </c>
      <c r="H256" s="627">
        <f t="shared" si="10"/>
        <v>-40455.644675046438</v>
      </c>
      <c r="I256" s="190">
        <v>118159.41942579669</v>
      </c>
      <c r="J256" s="629">
        <f>+Synthèse!H255</f>
        <v>115223.40566636118</v>
      </c>
      <c r="K256" s="629">
        <f t="shared" si="11"/>
        <v>-2936.0137594355037</v>
      </c>
    </row>
    <row r="257" spans="1:11" s="193" customFormat="1" ht="15" x14ac:dyDescent="0.25">
      <c r="A257" s="85">
        <f>Données!A257</f>
        <v>5857</v>
      </c>
      <c r="B257" s="302" t="str">
        <f>Données!B257</f>
        <v>Gilly</v>
      </c>
      <c r="C257" s="190">
        <v>1670941.1488937777</v>
      </c>
      <c r="D257" s="626">
        <f>+Synthèse!G256</f>
        <v>1507259.8223561095</v>
      </c>
      <c r="E257" s="623">
        <f t="shared" si="9"/>
        <v>-163681.32653766824</v>
      </c>
      <c r="F257" s="189">
        <v>1425888.8716300852</v>
      </c>
      <c r="G257" s="627">
        <f>+Synthèse!F256</f>
        <v>1489304.4908542261</v>
      </c>
      <c r="H257" s="627">
        <f t="shared" si="10"/>
        <v>63415.619224140886</v>
      </c>
      <c r="I257" s="190">
        <v>236119.14048949513</v>
      </c>
      <c r="J257" s="629">
        <f>+Synthèse!H256</f>
        <v>239293.45303807885</v>
      </c>
      <c r="K257" s="629">
        <f t="shared" si="11"/>
        <v>3174.3125485837227</v>
      </c>
    </row>
    <row r="258" spans="1:11" s="193" customFormat="1" ht="15" x14ac:dyDescent="0.25">
      <c r="A258" s="85">
        <f>Données!A258</f>
        <v>5858</v>
      </c>
      <c r="B258" s="302" t="str">
        <f>Données!B258</f>
        <v>Luins</v>
      </c>
      <c r="C258" s="190">
        <v>645899.4336912951</v>
      </c>
      <c r="D258" s="626">
        <f>+Synthèse!G257</f>
        <v>657716.21676750237</v>
      </c>
      <c r="E258" s="623">
        <f t="shared" si="9"/>
        <v>11816.78307620727</v>
      </c>
      <c r="F258" s="189">
        <v>656150.814332054</v>
      </c>
      <c r="G258" s="627">
        <f>+Synthèse!F257</f>
        <v>583057.5861694644</v>
      </c>
      <c r="H258" s="627">
        <f t="shared" si="10"/>
        <v>-73093.228162589599</v>
      </c>
      <c r="I258" s="190">
        <v>102612.43626358578</v>
      </c>
      <c r="J258" s="629">
        <f>+Synthèse!H257</f>
        <v>96217.670541207204</v>
      </c>
      <c r="K258" s="629">
        <f t="shared" si="11"/>
        <v>-6394.7657223785791</v>
      </c>
    </row>
    <row r="259" spans="1:11" s="193" customFormat="1" ht="15" x14ac:dyDescent="0.25">
      <c r="A259" s="85">
        <f>Données!A259</f>
        <v>5859</v>
      </c>
      <c r="B259" s="302" t="str">
        <f>Données!B259</f>
        <v>Mont-sur-Rolle</v>
      </c>
      <c r="C259" s="190">
        <v>3312026.0109268888</v>
      </c>
      <c r="D259" s="626">
        <f>+Synthèse!G258</f>
        <v>3352165.8092422364</v>
      </c>
      <c r="E259" s="623">
        <f t="shared" si="9"/>
        <v>40139.798315347638</v>
      </c>
      <c r="F259" s="189">
        <v>2344663.5181369772</v>
      </c>
      <c r="G259" s="627">
        <f>+Synthèse!F258</f>
        <v>2766346.1495564315</v>
      </c>
      <c r="H259" s="627">
        <f t="shared" si="10"/>
        <v>421682.63141945424</v>
      </c>
      <c r="I259" s="190">
        <v>439498.08960375242</v>
      </c>
      <c r="J259" s="629">
        <f>+Synthèse!H258</f>
        <v>461275.77299031208</v>
      </c>
      <c r="K259" s="629">
        <f t="shared" si="11"/>
        <v>21777.683386559656</v>
      </c>
    </row>
    <row r="260" spans="1:11" s="193" customFormat="1" ht="15" x14ac:dyDescent="0.25">
      <c r="A260" s="85">
        <f>Données!A260</f>
        <v>5860</v>
      </c>
      <c r="B260" s="302" t="str">
        <f>Données!B260</f>
        <v>Perroy</v>
      </c>
      <c r="C260" s="190">
        <v>3001520.867550618</v>
      </c>
      <c r="D260" s="626">
        <f>+Synthèse!G259</f>
        <v>2112797.8714785445</v>
      </c>
      <c r="E260" s="623">
        <f t="shared" si="9"/>
        <v>-888722.99607207347</v>
      </c>
      <c r="F260" s="189">
        <v>2080357.0209759763</v>
      </c>
      <c r="G260" s="627">
        <f>+Synthèse!F259</f>
        <v>1869080.6750279698</v>
      </c>
      <c r="H260" s="627">
        <f t="shared" si="10"/>
        <v>-211276.34594800649</v>
      </c>
      <c r="I260" s="190">
        <v>286194.28202683514</v>
      </c>
      <c r="J260" s="629">
        <f>+Synthèse!H259</f>
        <v>275534.56521994871</v>
      </c>
      <c r="K260" s="629">
        <f t="shared" si="11"/>
        <v>-10659.716806886427</v>
      </c>
    </row>
    <row r="261" spans="1:11" s="193" customFormat="1" ht="15" x14ac:dyDescent="0.25">
      <c r="A261" s="85">
        <f>Données!A261</f>
        <v>5861</v>
      </c>
      <c r="B261" s="302" t="str">
        <f>Données!B261</f>
        <v>Rolle</v>
      </c>
      <c r="C261" s="190">
        <v>26180814.215301841</v>
      </c>
      <c r="D261" s="626">
        <f>+Synthèse!G260</f>
        <v>31418457.419311117</v>
      </c>
      <c r="E261" s="623">
        <f t="shared" si="9"/>
        <v>5237643.2040092759</v>
      </c>
      <c r="F261" s="189">
        <v>14138803.798109893</v>
      </c>
      <c r="G261" s="627">
        <f>+Synthèse!F260</f>
        <v>16840009.905197896</v>
      </c>
      <c r="H261" s="627">
        <f t="shared" si="10"/>
        <v>2701206.1070880033</v>
      </c>
      <c r="I261" s="190">
        <v>1625948.9406142095</v>
      </c>
      <c r="J261" s="629">
        <f>+Synthèse!H260</f>
        <v>1736381.0732293371</v>
      </c>
      <c r="K261" s="629">
        <f t="shared" si="11"/>
        <v>110432.1326151276</v>
      </c>
    </row>
    <row r="262" spans="1:11" s="193" customFormat="1" ht="15" x14ac:dyDescent="0.25">
      <c r="A262" s="85">
        <f>Données!A262</f>
        <v>5862</v>
      </c>
      <c r="B262" s="302" t="str">
        <f>Données!B262</f>
        <v>Tartegnin</v>
      </c>
      <c r="C262" s="190">
        <v>118224.47277195574</v>
      </c>
      <c r="D262" s="626">
        <f>+Synthèse!G261</f>
        <v>160845.77401952521</v>
      </c>
      <c r="E262" s="623">
        <f t="shared" si="9"/>
        <v>42621.30124756947</v>
      </c>
      <c r="F262" s="189">
        <v>29753.464069259629</v>
      </c>
      <c r="G262" s="627">
        <f>+Synthèse!F261</f>
        <v>162881.95062194279</v>
      </c>
      <c r="H262" s="627">
        <f t="shared" si="10"/>
        <v>133128.48655268317</v>
      </c>
      <c r="I262" s="190">
        <v>24180.835346454493</v>
      </c>
      <c r="J262" s="629">
        <f>+Synthèse!H261</f>
        <v>34244.958928904496</v>
      </c>
      <c r="K262" s="629">
        <f t="shared" si="11"/>
        <v>10064.123582450004</v>
      </c>
    </row>
    <row r="263" spans="1:11" s="193" customFormat="1" ht="15" x14ac:dyDescent="0.25">
      <c r="A263" s="85">
        <f>Données!A263</f>
        <v>5863</v>
      </c>
      <c r="B263" s="302" t="str">
        <f>Données!B263</f>
        <v>Vinzel</v>
      </c>
      <c r="C263" s="190">
        <v>428036.87843637058</v>
      </c>
      <c r="D263" s="626">
        <f>+Synthèse!G262</f>
        <v>342921.33278633544</v>
      </c>
      <c r="E263" s="623">
        <f t="shared" ref="E263:E305" si="12">+D263-C263</f>
        <v>-85115.545650035143</v>
      </c>
      <c r="F263" s="189">
        <v>365384.14149827173</v>
      </c>
      <c r="G263" s="627">
        <f>+Synthèse!F262</f>
        <v>386276.24922193738</v>
      </c>
      <c r="H263" s="627">
        <f t="shared" ref="H263:H305" si="13">+G263-F263</f>
        <v>20892.107723665657</v>
      </c>
      <c r="I263" s="190">
        <v>58897.957165640481</v>
      </c>
      <c r="J263" s="629">
        <f>+Synthèse!H262</f>
        <v>60212.8383943058</v>
      </c>
      <c r="K263" s="629">
        <f t="shared" ref="K263:K305" si="14">+J263-I263</f>
        <v>1314.8812286653192</v>
      </c>
    </row>
    <row r="264" spans="1:11" s="193" customFormat="1" ht="15" x14ac:dyDescent="0.25">
      <c r="A264" s="85">
        <f>Données!A264</f>
        <v>5871</v>
      </c>
      <c r="B264" s="302" t="str">
        <f>Données!B264</f>
        <v>L'Abbaye</v>
      </c>
      <c r="C264" s="190">
        <v>1147874.983284181</v>
      </c>
      <c r="D264" s="626">
        <f>+Synthèse!G263</f>
        <v>968339.49099561491</v>
      </c>
      <c r="E264" s="623">
        <f t="shared" si="12"/>
        <v>-179535.49228856608</v>
      </c>
      <c r="F264" s="189">
        <v>-229315.35488185822</v>
      </c>
      <c r="G264" s="627">
        <f>+Synthèse!F263</f>
        <v>38295.951442751219</v>
      </c>
      <c r="H264" s="627">
        <f t="shared" si="13"/>
        <v>267611.30632460944</v>
      </c>
      <c r="I264" s="190">
        <v>160989.13624952454</v>
      </c>
      <c r="J264" s="629">
        <f>+Synthèse!H263</f>
        <v>149520.5766173274</v>
      </c>
      <c r="K264" s="629">
        <f t="shared" si="14"/>
        <v>-11468.559632197139</v>
      </c>
    </row>
    <row r="265" spans="1:11" s="193" customFormat="1" ht="15" x14ac:dyDescent="0.25">
      <c r="A265" s="85">
        <f>Données!A265</f>
        <v>5872</v>
      </c>
      <c r="B265" s="302" t="str">
        <f>Données!B265</f>
        <v>Le Chenit</v>
      </c>
      <c r="C265" s="190">
        <v>5389877.3161661765</v>
      </c>
      <c r="D265" s="626">
        <f>+Synthèse!G264</f>
        <v>7372744.9534326177</v>
      </c>
      <c r="E265" s="623">
        <f t="shared" si="12"/>
        <v>1982867.6372664412</v>
      </c>
      <c r="F265" s="189">
        <v>97008.648478407878</v>
      </c>
      <c r="G265" s="627">
        <f>+Synthèse!F264</f>
        <v>4363980.240316011</v>
      </c>
      <c r="H265" s="627">
        <f t="shared" si="13"/>
        <v>4266971.5918376036</v>
      </c>
      <c r="I265" s="190">
        <v>616800.53128233063</v>
      </c>
      <c r="J265" s="629">
        <f>+Synthèse!H264</f>
        <v>787421.82389631914</v>
      </c>
      <c r="K265" s="629">
        <f t="shared" si="14"/>
        <v>170621.29261398851</v>
      </c>
    </row>
    <row r="266" spans="1:11" s="193" customFormat="1" ht="15" x14ac:dyDescent="0.25">
      <c r="A266" s="85">
        <f>Données!A266</f>
        <v>5873</v>
      </c>
      <c r="B266" s="302" t="str">
        <f>Données!B266</f>
        <v>Le Lieu</v>
      </c>
      <c r="C266" s="190">
        <v>772414.46003883705</v>
      </c>
      <c r="D266" s="626">
        <f>+Synthèse!G265</f>
        <v>722403.16903081222</v>
      </c>
      <c r="E266" s="623">
        <f t="shared" si="12"/>
        <v>-50011.291008024826</v>
      </c>
      <c r="F266" s="189">
        <v>-421301.19241071458</v>
      </c>
      <c r="G266" s="627">
        <f>+Synthèse!F265</f>
        <v>246409.26433765132</v>
      </c>
      <c r="H266" s="627">
        <f t="shared" si="13"/>
        <v>667710.45674836589</v>
      </c>
      <c r="I266" s="190">
        <v>97237.6443584238</v>
      </c>
      <c r="J266" s="629">
        <f>+Synthèse!H265</f>
        <v>95900.823097071785</v>
      </c>
      <c r="K266" s="629">
        <f t="shared" si="14"/>
        <v>-1336.8212613520154</v>
      </c>
    </row>
    <row r="267" spans="1:11" s="193" customFormat="1" ht="15" x14ac:dyDescent="0.25">
      <c r="A267" s="85">
        <f>Données!A267</f>
        <v>5882</v>
      </c>
      <c r="B267" s="302" t="str">
        <f>Données!B267</f>
        <v>Chardonne</v>
      </c>
      <c r="C267" s="190">
        <v>3710925.5519850962</v>
      </c>
      <c r="D267" s="626">
        <f>+Synthèse!G266</f>
        <v>3812156.7424467825</v>
      </c>
      <c r="E267" s="623">
        <f t="shared" si="12"/>
        <v>101231.19046168635</v>
      </c>
      <c r="F267" s="189">
        <v>2395629.160006715</v>
      </c>
      <c r="G267" s="627">
        <f>+Synthèse!F266</f>
        <v>2696537.5448934413</v>
      </c>
      <c r="H267" s="627">
        <f t="shared" si="13"/>
        <v>300908.38488672627</v>
      </c>
      <c r="I267" s="190">
        <v>229107.65449226188</v>
      </c>
      <c r="J267" s="629">
        <f>+Synthèse!H266</f>
        <v>215281.58836457241</v>
      </c>
      <c r="K267" s="629">
        <f t="shared" si="14"/>
        <v>-13826.066127689468</v>
      </c>
    </row>
    <row r="268" spans="1:11" s="193" customFormat="1" ht="15" x14ac:dyDescent="0.25">
      <c r="A268" s="85">
        <f>Données!A268</f>
        <v>5883</v>
      </c>
      <c r="B268" s="302" t="str">
        <f>Données!B268</f>
        <v>Corseaux</v>
      </c>
      <c r="C268" s="190">
        <v>5674413.7569019049</v>
      </c>
      <c r="D268" s="626">
        <f>+Synthèse!G267</f>
        <v>3749949.0404094812</v>
      </c>
      <c r="E268" s="623">
        <f t="shared" si="12"/>
        <v>-1924464.7164924238</v>
      </c>
      <c r="F268" s="189">
        <v>3112918.3951981254</v>
      </c>
      <c r="G268" s="627">
        <f>+Synthèse!F267</f>
        <v>2676296.6711491211</v>
      </c>
      <c r="H268" s="627">
        <f t="shared" si="13"/>
        <v>-436621.72404900426</v>
      </c>
      <c r="I268" s="190">
        <v>236645.95160432969</v>
      </c>
      <c r="J268" s="629">
        <f>+Synthèse!H267</f>
        <v>192498.0834404669</v>
      </c>
      <c r="K268" s="629">
        <f t="shared" si="14"/>
        <v>-44147.86816386279</v>
      </c>
    </row>
    <row r="269" spans="1:11" s="193" customFormat="1" ht="15" x14ac:dyDescent="0.25">
      <c r="A269" s="85">
        <f>Données!A269</f>
        <v>5884</v>
      </c>
      <c r="B269" s="302" t="str">
        <f>Données!B269</f>
        <v>Corsier-sur-Vevey</v>
      </c>
      <c r="C269" s="190">
        <v>2446552.1817200901</v>
      </c>
      <c r="D269" s="626">
        <f>+Synthèse!G268</f>
        <v>2328385.9880337715</v>
      </c>
      <c r="E269" s="623">
        <f t="shared" si="12"/>
        <v>-118166.19368631858</v>
      </c>
      <c r="F269" s="189">
        <v>223326.48249507556</v>
      </c>
      <c r="G269" s="627">
        <f>+Synthèse!F268</f>
        <v>1405228.9351932171</v>
      </c>
      <c r="H269" s="627">
        <f t="shared" si="13"/>
        <v>1181902.4526981416</v>
      </c>
      <c r="I269" s="190">
        <v>182369.23461635597</v>
      </c>
      <c r="J269" s="629">
        <f>+Synthèse!H268</f>
        <v>166640.07198326112</v>
      </c>
      <c r="K269" s="629">
        <f t="shared" si="14"/>
        <v>-15729.162633094849</v>
      </c>
    </row>
    <row r="270" spans="1:11" s="193" customFormat="1" ht="15" x14ac:dyDescent="0.25">
      <c r="A270" s="85">
        <f>Données!A270</f>
        <v>5885</v>
      </c>
      <c r="B270" s="302" t="str">
        <f>Données!B270</f>
        <v>Jongny</v>
      </c>
      <c r="C270" s="190">
        <v>1960560.3193560885</v>
      </c>
      <c r="D270" s="626">
        <f>+Synthèse!G269</f>
        <v>1539617.8734914339</v>
      </c>
      <c r="E270" s="623">
        <f t="shared" si="12"/>
        <v>-420942.44586465461</v>
      </c>
      <c r="F270" s="189">
        <v>1375908.8085637577</v>
      </c>
      <c r="G270" s="627">
        <f>+Synthèse!F269</f>
        <v>1423330.7836032505</v>
      </c>
      <c r="H270" s="627">
        <f t="shared" si="13"/>
        <v>47421.975039492827</v>
      </c>
      <c r="I270" s="190">
        <v>118971.4332596746</v>
      </c>
      <c r="J270" s="629">
        <f>+Synthèse!H269</f>
        <v>110370.45647827582</v>
      </c>
      <c r="K270" s="629">
        <f t="shared" si="14"/>
        <v>-8600.976781398771</v>
      </c>
    </row>
    <row r="271" spans="1:11" s="193" customFormat="1" ht="15" x14ac:dyDescent="0.25">
      <c r="A271" s="85">
        <f>Données!A271</f>
        <v>5886</v>
      </c>
      <c r="B271" s="302" t="str">
        <f>Données!B271</f>
        <v>Montreux</v>
      </c>
      <c r="C271" s="190">
        <v>26938435.073930092</v>
      </c>
      <c r="D271" s="626">
        <f>+Synthèse!G270</f>
        <v>19722511.280645501</v>
      </c>
      <c r="E271" s="623">
        <f t="shared" si="12"/>
        <v>-7215923.7932845913</v>
      </c>
      <c r="F271" s="189">
        <v>-7083334.0201716945</v>
      </c>
      <c r="G271" s="627">
        <f>+Synthèse!F270</f>
        <v>-3377884.1890049092</v>
      </c>
      <c r="H271" s="627">
        <f t="shared" si="13"/>
        <v>3705449.8311667852</v>
      </c>
      <c r="I271" s="190">
        <v>1438774.3182637091</v>
      </c>
      <c r="J271" s="629">
        <f>+Synthèse!H270</f>
        <v>1317583.9504923066</v>
      </c>
      <c r="K271" s="629">
        <f t="shared" si="14"/>
        <v>-121190.36777140247</v>
      </c>
    </row>
    <row r="272" spans="1:11" s="193" customFormat="1" ht="15" x14ac:dyDescent="0.25">
      <c r="A272" s="85">
        <f>Données!A272</f>
        <v>5889</v>
      </c>
      <c r="B272" s="302" t="str">
        <f>Données!B272</f>
        <v>La Tour-de-Peilz</v>
      </c>
      <c r="C272" s="190">
        <v>13596739.884234596</v>
      </c>
      <c r="D272" s="626">
        <f>+Synthèse!G271</f>
        <v>12689599.356583392</v>
      </c>
      <c r="E272" s="623">
        <f t="shared" si="12"/>
        <v>-907140.5276512038</v>
      </c>
      <c r="F272" s="189">
        <v>6880458.0825280342</v>
      </c>
      <c r="G272" s="627">
        <f>+Synthèse!F271</f>
        <v>7300356.7955111777</v>
      </c>
      <c r="H272" s="627">
        <f t="shared" si="13"/>
        <v>419898.71298314352</v>
      </c>
      <c r="I272" s="190">
        <v>907027.35686152359</v>
      </c>
      <c r="J272" s="629">
        <f>+Synthèse!H271</f>
        <v>877777.07996393158</v>
      </c>
      <c r="K272" s="629">
        <f t="shared" si="14"/>
        <v>-29250.276897592004</v>
      </c>
    </row>
    <row r="273" spans="1:11" s="193" customFormat="1" ht="15" x14ac:dyDescent="0.25">
      <c r="A273" s="85">
        <f>Données!A273</f>
        <v>5890</v>
      </c>
      <c r="B273" s="302" t="str">
        <f>Données!B273</f>
        <v>Vevey</v>
      </c>
      <c r="C273" s="190">
        <v>15998284.058411624</v>
      </c>
      <c r="D273" s="626">
        <f>+Synthèse!G272</f>
        <v>15172054.658282967</v>
      </c>
      <c r="E273" s="623">
        <f t="shared" si="12"/>
        <v>-826229.400128657</v>
      </c>
      <c r="F273" s="189">
        <v>-189907.29863455892</v>
      </c>
      <c r="G273" s="627">
        <f>+Synthèse!F272</f>
        <v>4033384.2784712426</v>
      </c>
      <c r="H273" s="627">
        <f t="shared" si="13"/>
        <v>4223291.5771058016</v>
      </c>
      <c r="I273" s="190">
        <v>1187441.6361814677</v>
      </c>
      <c r="J273" s="629">
        <f>+Synthèse!H272</f>
        <v>1165173.4735052437</v>
      </c>
      <c r="K273" s="629">
        <f t="shared" si="14"/>
        <v>-22268.162676224019</v>
      </c>
    </row>
    <row r="274" spans="1:11" s="193" customFormat="1" ht="15" x14ac:dyDescent="0.25">
      <c r="A274" s="85">
        <f>Données!A274</f>
        <v>5891</v>
      </c>
      <c r="B274" s="302" t="str">
        <f>Données!B274</f>
        <v>Veytaux</v>
      </c>
      <c r="C274" s="190">
        <v>627587.95986469497</v>
      </c>
      <c r="D274" s="626">
        <f>+Synthèse!G273</f>
        <v>756926.62173663045</v>
      </c>
      <c r="E274" s="623">
        <f t="shared" si="12"/>
        <v>129338.66187193547</v>
      </c>
      <c r="F274" s="189">
        <v>-75541.392666209373</v>
      </c>
      <c r="G274" s="627">
        <f>+Synthèse!F273</f>
        <v>683875.45358982368</v>
      </c>
      <c r="H274" s="627">
        <f t="shared" si="13"/>
        <v>759416.84625603305</v>
      </c>
      <c r="I274" s="190">
        <v>47942.681719439373</v>
      </c>
      <c r="J274" s="629">
        <f>+Synthèse!H273</f>
        <v>51421.833547430513</v>
      </c>
      <c r="K274" s="629">
        <f t="shared" si="14"/>
        <v>3479.1518279911397</v>
      </c>
    </row>
    <row r="275" spans="1:11" s="193" customFormat="1" ht="15" x14ac:dyDescent="0.25">
      <c r="A275" s="85">
        <f>Données!A275</f>
        <v>5892</v>
      </c>
      <c r="B275" s="302" t="str">
        <f>Données!B275</f>
        <v>Blonay - Saint-Légier</v>
      </c>
      <c r="C275" s="190">
        <v>14750967.12440414</v>
      </c>
      <c r="D275" s="626">
        <f>+Synthèse!G274</f>
        <v>13037096.237558439</v>
      </c>
      <c r="E275" s="623">
        <f t="shared" si="12"/>
        <v>-1713870.8868457004</v>
      </c>
      <c r="F275" s="189">
        <v>3966902.4355019294</v>
      </c>
      <c r="G275" s="627">
        <f>+Synthèse!F274</f>
        <v>6437105.6479931371</v>
      </c>
      <c r="H275" s="627">
        <f t="shared" si="13"/>
        <v>2470203.2124912078</v>
      </c>
      <c r="I275" s="190">
        <v>864376.71618441341</v>
      </c>
      <c r="J275" s="629">
        <f>+Synthèse!H274</f>
        <v>811185.14267114433</v>
      </c>
      <c r="K275" s="629">
        <f t="shared" si="14"/>
        <v>-53191.573513269075</v>
      </c>
    </row>
    <row r="276" spans="1:11" s="193" customFormat="1" ht="15" x14ac:dyDescent="0.25">
      <c r="A276" s="85">
        <f>Données!A276</f>
        <v>5902</v>
      </c>
      <c r="B276" s="302" t="str">
        <f>Données!B276</f>
        <v>Belmont-sur-Yverdon</v>
      </c>
      <c r="C276" s="190">
        <v>185133.91096278638</v>
      </c>
      <c r="D276" s="626">
        <f>+Synthèse!G275</f>
        <v>180322.24179100501</v>
      </c>
      <c r="E276" s="623">
        <f t="shared" si="12"/>
        <v>-4811.6691717813665</v>
      </c>
      <c r="F276" s="189">
        <v>-87946.073060294177</v>
      </c>
      <c r="G276" s="627">
        <f>+Synthèse!F275</f>
        <v>35172.485912807402</v>
      </c>
      <c r="H276" s="627">
        <f t="shared" si="13"/>
        <v>123118.55897310158</v>
      </c>
      <c r="I276" s="190">
        <v>37350.332182715683</v>
      </c>
      <c r="J276" s="629">
        <f>+Synthèse!H275</f>
        <v>39885.149571457128</v>
      </c>
      <c r="K276" s="629">
        <f t="shared" si="14"/>
        <v>2534.817388741445</v>
      </c>
    </row>
    <row r="277" spans="1:11" s="193" customFormat="1" ht="15" x14ac:dyDescent="0.25">
      <c r="A277" s="85">
        <f>Données!A277</f>
        <v>5903</v>
      </c>
      <c r="B277" s="302" t="str">
        <f>Données!B277</f>
        <v>Bioley-Magnoux</v>
      </c>
      <c r="C277" s="190">
        <v>87734.844306973668</v>
      </c>
      <c r="D277" s="626">
        <f>+Synthèse!G276</f>
        <v>98680.312238846396</v>
      </c>
      <c r="E277" s="623">
        <f t="shared" si="12"/>
        <v>10945.467931872729</v>
      </c>
      <c r="F277" s="189">
        <v>-172974.92867519081</v>
      </c>
      <c r="G277" s="627">
        <f>+Synthèse!F276</f>
        <v>-41045.117387214792</v>
      </c>
      <c r="H277" s="627">
        <f t="shared" si="13"/>
        <v>131929.81128797602</v>
      </c>
      <c r="I277" s="190">
        <v>18479.67817877559</v>
      </c>
      <c r="J277" s="629">
        <f>+Synthèse!H276</f>
        <v>18493.224004726992</v>
      </c>
      <c r="K277" s="629">
        <f t="shared" si="14"/>
        <v>13.545825951401639</v>
      </c>
    </row>
    <row r="278" spans="1:11" s="193" customFormat="1" ht="15" x14ac:dyDescent="0.25">
      <c r="A278" s="85">
        <f>Données!A278</f>
        <v>5904</v>
      </c>
      <c r="B278" s="302" t="str">
        <f>Données!B278</f>
        <v>Chamblon</v>
      </c>
      <c r="C278" s="190">
        <v>314635.10684835131</v>
      </c>
      <c r="D278" s="626">
        <f>+Synthèse!G277</f>
        <v>254679.58312468871</v>
      </c>
      <c r="E278" s="623">
        <f t="shared" si="12"/>
        <v>-59955.523723662598</v>
      </c>
      <c r="F278" s="189">
        <v>273137.76431282016</v>
      </c>
      <c r="G278" s="627">
        <f>+Synthèse!F277</f>
        <v>110415.29579049654</v>
      </c>
      <c r="H278" s="627">
        <f t="shared" si="13"/>
        <v>-162722.46852232362</v>
      </c>
      <c r="I278" s="190">
        <v>27179.721854684558</v>
      </c>
      <c r="J278" s="629">
        <f>+Synthèse!H277</f>
        <v>20462.502964552394</v>
      </c>
      <c r="K278" s="629">
        <f t="shared" si="14"/>
        <v>-6717.2188901321642</v>
      </c>
    </row>
    <row r="279" spans="1:11" s="193" customFormat="1" ht="15" x14ac:dyDescent="0.25">
      <c r="A279" s="85">
        <f>Données!A279</f>
        <v>5905</v>
      </c>
      <c r="B279" s="302" t="str">
        <f>Données!B279</f>
        <v>Champvent</v>
      </c>
      <c r="C279" s="190">
        <v>470468.32272509404</v>
      </c>
      <c r="D279" s="626">
        <f>+Synthèse!G278</f>
        <v>338223.19966369157</v>
      </c>
      <c r="E279" s="623">
        <f t="shared" si="12"/>
        <v>-132245.12306140247</v>
      </c>
      <c r="F279" s="189">
        <v>121822.90794091171</v>
      </c>
      <c r="G279" s="627">
        <f>+Synthèse!F278</f>
        <v>61950.915120139194</v>
      </c>
      <c r="H279" s="627">
        <f t="shared" si="13"/>
        <v>-59871.992820772517</v>
      </c>
      <c r="I279" s="190">
        <v>71956.461846251594</v>
      </c>
      <c r="J279" s="629">
        <f>+Synthèse!H278</f>
        <v>66121.048262539858</v>
      </c>
      <c r="K279" s="629">
        <f t="shared" si="14"/>
        <v>-5835.4135837117356</v>
      </c>
    </row>
    <row r="280" spans="1:11" s="193" customFormat="1" ht="15" x14ac:dyDescent="0.25">
      <c r="A280" s="85">
        <f>Données!A280</f>
        <v>5907</v>
      </c>
      <c r="B280" s="302" t="str">
        <f>Données!B280</f>
        <v>Chavannes-le-Chêne</v>
      </c>
      <c r="C280" s="190">
        <v>111978.41678332245</v>
      </c>
      <c r="D280" s="626">
        <f>+Synthèse!G279</f>
        <v>159520.18254459099</v>
      </c>
      <c r="E280" s="623">
        <f t="shared" si="12"/>
        <v>47541.765761268543</v>
      </c>
      <c r="F280" s="189">
        <v>-133728.87847877631</v>
      </c>
      <c r="G280" s="627">
        <f>+Synthèse!F279</f>
        <v>-26299.402302278613</v>
      </c>
      <c r="H280" s="627">
        <f t="shared" si="13"/>
        <v>107429.4761764977</v>
      </c>
      <c r="I280" s="190">
        <v>23868.435246785433</v>
      </c>
      <c r="J280" s="629">
        <f>+Synthèse!H279</f>
        <v>26055.46682952196</v>
      </c>
      <c r="K280" s="629">
        <f t="shared" si="14"/>
        <v>2187.0315827365266</v>
      </c>
    </row>
    <row r="281" spans="1:11" s="193" customFormat="1" ht="15" x14ac:dyDescent="0.25">
      <c r="A281" s="85">
        <f>Données!A281</f>
        <v>5908</v>
      </c>
      <c r="B281" s="302" t="str">
        <f>Données!B281</f>
        <v>Chêne-Pâquier</v>
      </c>
      <c r="C281" s="190">
        <v>63470.312013710813</v>
      </c>
      <c r="D281" s="626">
        <f>+Synthèse!G280</f>
        <v>73145.764180553742</v>
      </c>
      <c r="E281" s="623">
        <f t="shared" si="12"/>
        <v>9675.4521668429297</v>
      </c>
      <c r="F281" s="189">
        <v>-35499.78561861167</v>
      </c>
      <c r="G281" s="627">
        <f>+Synthèse!F280</f>
        <v>26912.661476041903</v>
      </c>
      <c r="H281" s="627">
        <f t="shared" si="13"/>
        <v>62412.447094653573</v>
      </c>
      <c r="I281" s="190">
        <v>13635.538793717555</v>
      </c>
      <c r="J281" s="629">
        <f>+Synthèse!H280</f>
        <v>17513.503102390077</v>
      </c>
      <c r="K281" s="629">
        <f t="shared" si="14"/>
        <v>3877.9643086725227</v>
      </c>
    </row>
    <row r="282" spans="1:11" s="193" customFormat="1" ht="15" x14ac:dyDescent="0.25">
      <c r="A282" s="85">
        <f>Données!A282</f>
        <v>5909</v>
      </c>
      <c r="B282" s="302" t="str">
        <f>Données!B282</f>
        <v>Cheseaux-Noréaz</v>
      </c>
      <c r="C282" s="190">
        <v>630625.89032091259</v>
      </c>
      <c r="D282" s="626">
        <f>+Synthèse!G281</f>
        <v>515078.59466442087</v>
      </c>
      <c r="E282" s="623">
        <f t="shared" si="12"/>
        <v>-115547.29565649171</v>
      </c>
      <c r="F282" s="189">
        <v>574947.09812503308</v>
      </c>
      <c r="G282" s="627">
        <f>+Synthèse!F281</f>
        <v>649938.76682523463</v>
      </c>
      <c r="H282" s="627">
        <f t="shared" si="13"/>
        <v>74991.668700201553</v>
      </c>
      <c r="I282" s="190">
        <v>45239.186254446991</v>
      </c>
      <c r="J282" s="629">
        <f>+Synthèse!H281</f>
        <v>43577.252473205292</v>
      </c>
      <c r="K282" s="629">
        <f t="shared" si="14"/>
        <v>-1661.9337812416998</v>
      </c>
    </row>
    <row r="283" spans="1:11" s="193" customFormat="1" ht="15" x14ac:dyDescent="0.25">
      <c r="A283" s="85">
        <f>Données!A283</f>
        <v>5910</v>
      </c>
      <c r="B283" s="302" t="str">
        <f>Données!B283</f>
        <v>Cronay</v>
      </c>
      <c r="C283" s="190">
        <v>163466.58714637897</v>
      </c>
      <c r="D283" s="626">
        <f>+Synthèse!G282</f>
        <v>174540.42246762948</v>
      </c>
      <c r="E283" s="623">
        <f t="shared" si="12"/>
        <v>11073.835321250517</v>
      </c>
      <c r="F283" s="189">
        <v>-105383.92047777021</v>
      </c>
      <c r="G283" s="627">
        <f>+Synthèse!F282</f>
        <v>8263.9339794566622</v>
      </c>
      <c r="H283" s="627">
        <f t="shared" si="13"/>
        <v>113647.85445722687</v>
      </c>
      <c r="I283" s="190">
        <v>32548.889162862495</v>
      </c>
      <c r="J283" s="629">
        <f>+Synthèse!H282</f>
        <v>38821.371513377831</v>
      </c>
      <c r="K283" s="629">
        <f t="shared" si="14"/>
        <v>6272.4823505153363</v>
      </c>
    </row>
    <row r="284" spans="1:11" s="193" customFormat="1" ht="15" x14ac:dyDescent="0.25">
      <c r="A284" s="85">
        <f>Données!A284</f>
        <v>5911</v>
      </c>
      <c r="B284" s="302" t="str">
        <f>Données!B284</f>
        <v>Cuarny</v>
      </c>
      <c r="C284" s="190">
        <v>119522.80602826066</v>
      </c>
      <c r="D284" s="626">
        <f>+Synthèse!G283</f>
        <v>102501.53489488619</v>
      </c>
      <c r="E284" s="623">
        <f t="shared" si="12"/>
        <v>-17021.271133374466</v>
      </c>
      <c r="F284" s="189">
        <v>-11980.344306679617</v>
      </c>
      <c r="G284" s="627">
        <f>+Synthèse!F283</f>
        <v>20946.357486891924</v>
      </c>
      <c r="H284" s="627">
        <f t="shared" si="13"/>
        <v>32926.701793571541</v>
      </c>
      <c r="I284" s="190">
        <v>23179.988162976078</v>
      </c>
      <c r="J284" s="629">
        <f>+Synthèse!H283</f>
        <v>23380.319549751548</v>
      </c>
      <c r="K284" s="629">
        <f t="shared" si="14"/>
        <v>200.33138677546958</v>
      </c>
    </row>
    <row r="285" spans="1:11" s="193" customFormat="1" ht="15" x14ac:dyDescent="0.25">
      <c r="A285" s="85">
        <f>Données!A285</f>
        <v>5912</v>
      </c>
      <c r="B285" s="302" t="str">
        <f>Données!B285</f>
        <v>Démoret</v>
      </c>
      <c r="C285" s="190">
        <v>76818.198772999662</v>
      </c>
      <c r="D285" s="626">
        <f>+Synthèse!G284</f>
        <v>50475.819195238495</v>
      </c>
      <c r="E285" s="623">
        <f t="shared" si="12"/>
        <v>-26342.379577761167</v>
      </c>
      <c r="F285" s="189">
        <v>-30761.229989805739</v>
      </c>
      <c r="G285" s="627">
        <f>+Synthèse!F284</f>
        <v>-47103.039290379616</v>
      </c>
      <c r="H285" s="627">
        <f t="shared" si="13"/>
        <v>-16341.809300573877</v>
      </c>
      <c r="I285" s="190">
        <v>14670.463152610391</v>
      </c>
      <c r="J285" s="629">
        <f>+Synthèse!H284</f>
        <v>11275.954227054292</v>
      </c>
      <c r="K285" s="629">
        <f t="shared" si="14"/>
        <v>-3394.5089255560997</v>
      </c>
    </row>
    <row r="286" spans="1:11" s="193" customFormat="1" ht="15" x14ac:dyDescent="0.25">
      <c r="A286" s="85">
        <f>Données!A286</f>
        <v>5913</v>
      </c>
      <c r="B286" s="302" t="str">
        <f>Données!B286</f>
        <v>Donneloye</v>
      </c>
      <c r="C286" s="190">
        <v>383774.79404285207</v>
      </c>
      <c r="D286" s="626">
        <f>+Synthèse!G285</f>
        <v>327235.28495707188</v>
      </c>
      <c r="E286" s="623">
        <f t="shared" si="12"/>
        <v>-56539.509085780184</v>
      </c>
      <c r="F286" s="189">
        <v>-81737.84333856561</v>
      </c>
      <c r="G286" s="627">
        <f>+Synthèse!F285</f>
        <v>-223869.9632594866</v>
      </c>
      <c r="H286" s="627">
        <f t="shared" si="13"/>
        <v>-142132.11992092099</v>
      </c>
      <c r="I286" s="190">
        <v>73690.643455088852</v>
      </c>
      <c r="J286" s="629">
        <f>+Synthèse!H285</f>
        <v>62994.638085758692</v>
      </c>
      <c r="K286" s="629">
        <f t="shared" si="14"/>
        <v>-10696.00536933016</v>
      </c>
    </row>
    <row r="287" spans="1:11" s="193" customFormat="1" ht="15" x14ac:dyDescent="0.25">
      <c r="A287" s="85">
        <f>Données!A287</f>
        <v>5914</v>
      </c>
      <c r="B287" s="302" t="str">
        <f>Données!B287</f>
        <v>Ependes</v>
      </c>
      <c r="C287" s="190">
        <v>188775.80125879406</v>
      </c>
      <c r="D287" s="626">
        <f>+Synthèse!G286</f>
        <v>153415.43174449838</v>
      </c>
      <c r="E287" s="623">
        <f t="shared" si="12"/>
        <v>-35360.369514295686</v>
      </c>
      <c r="F287" s="189">
        <v>-101246.79016743173</v>
      </c>
      <c r="G287" s="627">
        <f>+Synthèse!F286</f>
        <v>-3395.9043305288069</v>
      </c>
      <c r="H287" s="627">
        <f t="shared" si="13"/>
        <v>97850.885836902919</v>
      </c>
      <c r="I287" s="190">
        <v>12045.519487726837</v>
      </c>
      <c r="J287" s="629">
        <f>+Synthèse!H286</f>
        <v>12717.634604414805</v>
      </c>
      <c r="K287" s="629">
        <f t="shared" si="14"/>
        <v>672.11511668796811</v>
      </c>
    </row>
    <row r="288" spans="1:11" s="193" customFormat="1" ht="15" x14ac:dyDescent="0.25">
      <c r="A288" s="85">
        <f>Données!A288</f>
        <v>5919</v>
      </c>
      <c r="B288" s="302" t="str">
        <f>Données!B288</f>
        <v>Mathod</v>
      </c>
      <c r="C288" s="190">
        <v>285017.71493567474</v>
      </c>
      <c r="D288" s="626">
        <f>+Synthèse!G287</f>
        <v>308724.60985393397</v>
      </c>
      <c r="E288" s="623">
        <f t="shared" si="12"/>
        <v>23706.894918259233</v>
      </c>
      <c r="F288" s="189">
        <v>-128794.36483204644</v>
      </c>
      <c r="G288" s="627">
        <f>+Synthèse!F287</f>
        <v>-2886.6276834267192</v>
      </c>
      <c r="H288" s="627">
        <f t="shared" si="13"/>
        <v>125907.73714861972</v>
      </c>
      <c r="I288" s="190">
        <v>22898.754117213251</v>
      </c>
      <c r="J288" s="629">
        <f>+Synthèse!H287</f>
        <v>22978.305597336759</v>
      </c>
      <c r="K288" s="629">
        <f t="shared" si="14"/>
        <v>79.551480123507645</v>
      </c>
    </row>
    <row r="289" spans="1:11" s="193" customFormat="1" ht="15" x14ac:dyDescent="0.25">
      <c r="A289" s="85">
        <f>Données!A289</f>
        <v>5921</v>
      </c>
      <c r="B289" s="302" t="str">
        <f>Données!B289</f>
        <v>Molondin</v>
      </c>
      <c r="C289" s="190">
        <v>79137.307979918987</v>
      </c>
      <c r="D289" s="626">
        <f>+Synthèse!G288</f>
        <v>67475.018486270303</v>
      </c>
      <c r="E289" s="623">
        <f t="shared" si="12"/>
        <v>-11662.289493648685</v>
      </c>
      <c r="F289" s="189">
        <v>-100602.81169686031</v>
      </c>
      <c r="G289" s="627">
        <f>+Synthèse!F288</f>
        <v>-111112.41009120854</v>
      </c>
      <c r="H289" s="627">
        <f t="shared" si="13"/>
        <v>-10509.598394348228</v>
      </c>
      <c r="I289" s="190">
        <v>18063.776709968541</v>
      </c>
      <c r="J289" s="629">
        <f>+Synthèse!H288</f>
        <v>16128.248138407766</v>
      </c>
      <c r="K289" s="629">
        <f t="shared" si="14"/>
        <v>-1935.5285715607752</v>
      </c>
    </row>
    <row r="290" spans="1:11" s="193" customFormat="1" ht="15" x14ac:dyDescent="0.25">
      <c r="A290" s="85">
        <f>Données!A290</f>
        <v>5922</v>
      </c>
      <c r="B290" s="302" t="str">
        <f>Données!B290</f>
        <v>Montagny-près-Yverdon</v>
      </c>
      <c r="C290" s="190">
        <v>810485.43736695719</v>
      </c>
      <c r="D290" s="626">
        <f>+Synthèse!G289</f>
        <v>649088.35840726853</v>
      </c>
      <c r="E290" s="623">
        <f t="shared" si="12"/>
        <v>-161397.07895968866</v>
      </c>
      <c r="F290" s="189">
        <v>514733.21755584143</v>
      </c>
      <c r="G290" s="627">
        <f>+Synthèse!F289</f>
        <v>668719.31111072388</v>
      </c>
      <c r="H290" s="627">
        <f t="shared" si="13"/>
        <v>153986.09355488245</v>
      </c>
      <c r="I290" s="190">
        <v>116607.28855455323</v>
      </c>
      <c r="J290" s="629">
        <f>+Synthèse!H289</f>
        <v>112567.42349314314</v>
      </c>
      <c r="K290" s="629">
        <f t="shared" si="14"/>
        <v>-4039.8650614100916</v>
      </c>
    </row>
    <row r="291" spans="1:11" s="193" customFormat="1" ht="15" x14ac:dyDescent="0.25">
      <c r="A291" s="85">
        <f>Données!A291</f>
        <v>5923</v>
      </c>
      <c r="B291" s="302" t="str">
        <f>Données!B291</f>
        <v>Oppens</v>
      </c>
      <c r="C291" s="190">
        <v>99433.443930396068</v>
      </c>
      <c r="D291" s="626">
        <f>+Synthèse!G290</f>
        <v>80318.424424024925</v>
      </c>
      <c r="E291" s="623">
        <f t="shared" si="12"/>
        <v>-19115.019506371144</v>
      </c>
      <c r="F291" s="189">
        <v>-83679.874068450226</v>
      </c>
      <c r="G291" s="627">
        <f>+Synthèse!F290</f>
        <v>-9462.1878232316667</v>
      </c>
      <c r="H291" s="627">
        <f t="shared" si="13"/>
        <v>74217.68624521856</v>
      </c>
      <c r="I291" s="190">
        <v>15785.639589756354</v>
      </c>
      <c r="J291" s="629">
        <f>+Synthèse!H290</f>
        <v>18476.154633733371</v>
      </c>
      <c r="K291" s="629">
        <f t="shared" si="14"/>
        <v>2690.5150439770168</v>
      </c>
    </row>
    <row r="292" spans="1:11" s="193" customFormat="1" ht="15" x14ac:dyDescent="0.25">
      <c r="A292" s="85">
        <f>Données!A292</f>
        <v>5924</v>
      </c>
      <c r="B292" s="302" t="str">
        <f>Données!B292</f>
        <v>Orges</v>
      </c>
      <c r="C292" s="190">
        <v>213142.7967355203</v>
      </c>
      <c r="D292" s="626">
        <f>+Synthèse!G291</f>
        <v>168972.4642039387</v>
      </c>
      <c r="E292" s="623">
        <f t="shared" si="12"/>
        <v>-44170.332531581604</v>
      </c>
      <c r="F292" s="189">
        <v>77846.348638773576</v>
      </c>
      <c r="G292" s="627">
        <f>+Synthèse!F291</f>
        <v>6121.7632987714605</v>
      </c>
      <c r="H292" s="627">
        <f t="shared" si="13"/>
        <v>-71724.585340002115</v>
      </c>
      <c r="I292" s="190">
        <v>40713.060145715586</v>
      </c>
      <c r="J292" s="629">
        <f>+Synthèse!H291</f>
        <v>36995.846543352833</v>
      </c>
      <c r="K292" s="629">
        <f t="shared" si="14"/>
        <v>-3717.2136023627536</v>
      </c>
    </row>
    <row r="293" spans="1:11" s="193" customFormat="1" ht="15" x14ac:dyDescent="0.25">
      <c r="A293" s="85">
        <f>Données!A293</f>
        <v>5925</v>
      </c>
      <c r="B293" s="302" t="str">
        <f>Données!B293</f>
        <v>Orzens</v>
      </c>
      <c r="C293" s="190">
        <v>135071.3553832852</v>
      </c>
      <c r="D293" s="626">
        <f>+Synthèse!G292</f>
        <v>120862.98613553416</v>
      </c>
      <c r="E293" s="623">
        <f t="shared" si="12"/>
        <v>-14208.369247751049</v>
      </c>
      <c r="F293" s="189">
        <v>-46105.043905538885</v>
      </c>
      <c r="G293" s="627">
        <f>+Synthèse!F292</f>
        <v>-32750.232970171404</v>
      </c>
      <c r="H293" s="627">
        <f t="shared" si="13"/>
        <v>13354.810935367481</v>
      </c>
      <c r="I293" s="190">
        <v>16047.721869006826</v>
      </c>
      <c r="J293" s="629">
        <f>+Synthèse!H292</f>
        <v>17406.444740395305</v>
      </c>
      <c r="K293" s="629">
        <f t="shared" si="14"/>
        <v>1358.7228713884797</v>
      </c>
    </row>
    <row r="294" spans="1:11" s="193" customFormat="1" ht="15" x14ac:dyDescent="0.25">
      <c r="A294" s="85">
        <f>Données!A294</f>
        <v>5926</v>
      </c>
      <c r="B294" s="302" t="str">
        <f>Données!B294</f>
        <v>Pomy</v>
      </c>
      <c r="C294" s="190">
        <v>460368.86692698434</v>
      </c>
      <c r="D294" s="626">
        <f>+Synthèse!G293</f>
        <v>373596.48804135987</v>
      </c>
      <c r="E294" s="623">
        <f t="shared" si="12"/>
        <v>-86772.378885624465</v>
      </c>
      <c r="F294" s="189">
        <v>136649.07651667384</v>
      </c>
      <c r="G294" s="627">
        <f>+Synthèse!F293</f>
        <v>88849.109105176933</v>
      </c>
      <c r="H294" s="627">
        <f t="shared" si="13"/>
        <v>-47799.967411496909</v>
      </c>
      <c r="I294" s="190">
        <v>34161.596099105125</v>
      </c>
      <c r="J294" s="629">
        <f>+Synthèse!H293</f>
        <v>30702.406257706163</v>
      </c>
      <c r="K294" s="629">
        <f t="shared" si="14"/>
        <v>-3459.189841398962</v>
      </c>
    </row>
    <row r="295" spans="1:11" s="193" customFormat="1" ht="15" x14ac:dyDescent="0.25">
      <c r="A295" s="85">
        <f>Données!A295</f>
        <v>5928</v>
      </c>
      <c r="B295" s="302" t="str">
        <f>Données!B295</f>
        <v>Rovray</v>
      </c>
      <c r="C295" s="190">
        <v>82332.007079590781</v>
      </c>
      <c r="D295" s="626">
        <f>+Synthèse!G294</f>
        <v>74188.664537458215</v>
      </c>
      <c r="E295" s="623">
        <f t="shared" si="12"/>
        <v>-8143.3425421325665</v>
      </c>
      <c r="F295" s="189">
        <v>-36029.098394553992</v>
      </c>
      <c r="G295" s="627">
        <f>+Synthèse!F294</f>
        <v>-13264.126251817492</v>
      </c>
      <c r="H295" s="627">
        <f t="shared" si="13"/>
        <v>22764.9721427365</v>
      </c>
      <c r="I295" s="190">
        <v>16953.206187612326</v>
      </c>
      <c r="J295" s="629">
        <f>+Synthèse!H294</f>
        <v>16362.895624227451</v>
      </c>
      <c r="K295" s="629">
        <f t="shared" si="14"/>
        <v>-590.31056338487542</v>
      </c>
    </row>
    <row r="296" spans="1:11" s="193" customFormat="1" ht="15" x14ac:dyDescent="0.25">
      <c r="A296" s="85">
        <f>Données!A296</f>
        <v>5929</v>
      </c>
      <c r="B296" s="302" t="str">
        <f>Données!B296</f>
        <v>Suchy</v>
      </c>
      <c r="C296" s="190">
        <v>330830.29979004827</v>
      </c>
      <c r="D296" s="626">
        <f>+Synthèse!G295</f>
        <v>363160.636401886</v>
      </c>
      <c r="E296" s="623">
        <f t="shared" si="12"/>
        <v>32330.336611837731</v>
      </c>
      <c r="F296" s="189">
        <v>51933.777354690072</v>
      </c>
      <c r="G296" s="627">
        <f>+Synthèse!F295</f>
        <v>133488.53122182965</v>
      </c>
      <c r="H296" s="627">
        <f t="shared" si="13"/>
        <v>81554.753867139574</v>
      </c>
      <c r="I296" s="190">
        <v>24835.647934800523</v>
      </c>
      <c r="J296" s="629">
        <f>+Synthèse!H295</f>
        <v>25046.450591276731</v>
      </c>
      <c r="K296" s="629">
        <f t="shared" si="14"/>
        <v>210.80265647620763</v>
      </c>
    </row>
    <row r="297" spans="1:11" s="193" customFormat="1" ht="15" x14ac:dyDescent="0.25">
      <c r="A297" s="85">
        <f>Données!A297</f>
        <v>5930</v>
      </c>
      <c r="B297" s="302" t="str">
        <f>Données!B297</f>
        <v>Suscévaz</v>
      </c>
      <c r="C297" s="190">
        <v>124503.52000359251</v>
      </c>
      <c r="D297" s="626">
        <f>+Synthèse!G296</f>
        <v>106757.43133269993</v>
      </c>
      <c r="E297" s="623">
        <f t="shared" si="12"/>
        <v>-17746.088670892583</v>
      </c>
      <c r="F297" s="189">
        <v>-2737.1941264067573</v>
      </c>
      <c r="G297" s="627">
        <f>+Synthèse!F296</f>
        <v>-10139.901898064913</v>
      </c>
      <c r="H297" s="627">
        <f t="shared" si="13"/>
        <v>-7402.7077716581553</v>
      </c>
      <c r="I297" s="190">
        <v>8164.4106989237634</v>
      </c>
      <c r="J297" s="629">
        <f>+Synthèse!H296</f>
        <v>6772.2459843294828</v>
      </c>
      <c r="K297" s="629">
        <f t="shared" si="14"/>
        <v>-1392.1647145942807</v>
      </c>
    </row>
    <row r="298" spans="1:11" s="193" customFormat="1" ht="15" x14ac:dyDescent="0.25">
      <c r="A298" s="85">
        <f>Données!A298</f>
        <v>5931</v>
      </c>
      <c r="B298" s="302" t="str">
        <f>Données!B298</f>
        <v>Treycovagnes</v>
      </c>
      <c r="C298" s="190">
        <v>275125.73653811257</v>
      </c>
      <c r="D298" s="626">
        <f>+Synthèse!G297</f>
        <v>258456.76439791557</v>
      </c>
      <c r="E298" s="623">
        <f t="shared" si="12"/>
        <v>-16668.972140197002</v>
      </c>
      <c r="F298" s="189">
        <v>-15473.020930349536</v>
      </c>
      <c r="G298" s="627">
        <f>+Synthèse!F297</f>
        <v>38523.218815061264</v>
      </c>
      <c r="H298" s="627">
        <f t="shared" si="13"/>
        <v>53996.2397454108</v>
      </c>
      <c r="I298" s="190">
        <v>18713.867118811515</v>
      </c>
      <c r="J298" s="629">
        <f>+Synthèse!H297</f>
        <v>18219.412234776049</v>
      </c>
      <c r="K298" s="629">
        <f t="shared" si="14"/>
        <v>-494.45488403546551</v>
      </c>
    </row>
    <row r="299" spans="1:11" s="193" customFormat="1" ht="15" x14ac:dyDescent="0.25">
      <c r="A299" s="85">
        <f>Données!A299</f>
        <v>5932</v>
      </c>
      <c r="B299" s="302" t="str">
        <f>Données!B299</f>
        <v>Ursins</v>
      </c>
      <c r="C299" s="190">
        <v>102731.24640632825</v>
      </c>
      <c r="D299" s="626">
        <f>+Synthèse!G298</f>
        <v>116210.19633794739</v>
      </c>
      <c r="E299" s="623">
        <f t="shared" si="12"/>
        <v>13478.949931619136</v>
      </c>
      <c r="F299" s="189">
        <v>38576.925283574295</v>
      </c>
      <c r="G299" s="627">
        <f>+Synthèse!F298</f>
        <v>71851.427484871092</v>
      </c>
      <c r="H299" s="627">
        <f t="shared" si="13"/>
        <v>33274.502201296797</v>
      </c>
      <c r="I299" s="190">
        <v>23910.718106113192</v>
      </c>
      <c r="J299" s="629">
        <f>+Synthèse!H298</f>
        <v>26178.430739816227</v>
      </c>
      <c r="K299" s="629">
        <f t="shared" si="14"/>
        <v>2267.712633703035</v>
      </c>
    </row>
    <row r="300" spans="1:11" s="193" customFormat="1" ht="15" x14ac:dyDescent="0.25">
      <c r="A300" s="85">
        <f>Données!A300</f>
        <v>5933</v>
      </c>
      <c r="B300" s="302" t="str">
        <f>Données!B300</f>
        <v>Valeyres-sous-Montagny</v>
      </c>
      <c r="C300" s="190">
        <v>320395.97091311053</v>
      </c>
      <c r="D300" s="626">
        <f>+Synthèse!G299</f>
        <v>337237.53686643403</v>
      </c>
      <c r="E300" s="623">
        <f t="shared" si="12"/>
        <v>16841.565953323501</v>
      </c>
      <c r="F300" s="189">
        <v>-431194.00877522962</v>
      </c>
      <c r="G300" s="627">
        <f>+Synthèse!F299</f>
        <v>108927.7821595507</v>
      </c>
      <c r="H300" s="627">
        <f t="shared" si="13"/>
        <v>540121.79093478038</v>
      </c>
      <c r="I300" s="190">
        <v>59654.503972688508</v>
      </c>
      <c r="J300" s="629">
        <f>+Synthèse!H299</f>
        <v>67479.108899057072</v>
      </c>
      <c r="K300" s="629">
        <f t="shared" si="14"/>
        <v>7824.6049263685636</v>
      </c>
    </row>
    <row r="301" spans="1:11" s="193" customFormat="1" ht="15" x14ac:dyDescent="0.25">
      <c r="A301" s="85">
        <f>Données!A301</f>
        <v>5934</v>
      </c>
      <c r="B301" s="302" t="str">
        <f>Données!B301</f>
        <v>Valeyres-sous-Ursins</v>
      </c>
      <c r="C301" s="190">
        <v>95134.021214753913</v>
      </c>
      <c r="D301" s="626">
        <f>+Synthèse!G300</f>
        <v>106668.80406950426</v>
      </c>
      <c r="E301" s="623">
        <f t="shared" si="12"/>
        <v>11534.782854750345</v>
      </c>
      <c r="F301" s="189">
        <v>-18037.149066140119</v>
      </c>
      <c r="G301" s="627">
        <f>+Synthèse!F300</f>
        <v>13012.008021558257</v>
      </c>
      <c r="H301" s="627">
        <f t="shared" si="13"/>
        <v>31049.157087698375</v>
      </c>
      <c r="I301" s="190">
        <v>21855.75560945112</v>
      </c>
      <c r="J301" s="629">
        <f>+Synthèse!H300</f>
        <v>22545.224739518904</v>
      </c>
      <c r="K301" s="629">
        <f t="shared" si="14"/>
        <v>689.46913006778414</v>
      </c>
    </row>
    <row r="302" spans="1:11" s="193" customFormat="1" ht="15" x14ac:dyDescent="0.25">
      <c r="A302" s="85">
        <f>Données!A302</f>
        <v>5935</v>
      </c>
      <c r="B302" s="302" t="str">
        <f>Données!B302</f>
        <v>Villars-Epeney</v>
      </c>
      <c r="C302" s="190">
        <v>48841.041727429627</v>
      </c>
      <c r="D302" s="626">
        <f>+Synthèse!G301</f>
        <v>68610.582855425542</v>
      </c>
      <c r="E302" s="623">
        <f t="shared" si="12"/>
        <v>19769.541127995915</v>
      </c>
      <c r="F302" s="189">
        <v>28420.742348621941</v>
      </c>
      <c r="G302" s="627">
        <f>+Synthèse!F301</f>
        <v>49051.314266428875</v>
      </c>
      <c r="H302" s="627">
        <f t="shared" si="13"/>
        <v>20630.571917806934</v>
      </c>
      <c r="I302" s="190">
        <v>10437.429328680042</v>
      </c>
      <c r="J302" s="629">
        <f>+Synthèse!H301</f>
        <v>12143.5280264013</v>
      </c>
      <c r="K302" s="629">
        <f t="shared" si="14"/>
        <v>1706.0986977212578</v>
      </c>
    </row>
    <row r="303" spans="1:11" s="193" customFormat="1" ht="15" x14ac:dyDescent="0.25">
      <c r="A303" s="85">
        <f>Données!A303</f>
        <v>5937</v>
      </c>
      <c r="B303" s="302" t="str">
        <f>Données!B303</f>
        <v>Vugelles-La Mothe</v>
      </c>
      <c r="C303" s="190">
        <v>49293.313346285955</v>
      </c>
      <c r="D303" s="626">
        <f>+Synthèse!G302</f>
        <v>49357.596207970462</v>
      </c>
      <c r="E303" s="623">
        <f t="shared" si="12"/>
        <v>64.282861684507225</v>
      </c>
      <c r="F303" s="189">
        <v>-35533.201476064496</v>
      </c>
      <c r="G303" s="627">
        <f>+Synthèse!F302</f>
        <v>-18463.27805542601</v>
      </c>
      <c r="H303" s="627">
        <f t="shared" si="13"/>
        <v>17069.923420638486</v>
      </c>
      <c r="I303" s="190">
        <v>10726.820554078717</v>
      </c>
      <c r="J303" s="629">
        <f>+Synthèse!H302</f>
        <v>11324.252650803988</v>
      </c>
      <c r="K303" s="629">
        <f t="shared" si="14"/>
        <v>597.43209672527155</v>
      </c>
    </row>
    <row r="304" spans="1:11" s="193" customFormat="1" ht="15" x14ac:dyDescent="0.25">
      <c r="A304" s="85">
        <f>Données!A304</f>
        <v>5938</v>
      </c>
      <c r="B304" s="302" t="str">
        <f>Données!B304</f>
        <v>Yverdon-les-Bains</v>
      </c>
      <c r="C304" s="190">
        <v>14266748.636798732</v>
      </c>
      <c r="D304" s="626">
        <f>+Synthèse!G303</f>
        <v>14378686.283502899</v>
      </c>
      <c r="E304" s="623">
        <f t="shared" si="12"/>
        <v>111937.64670416713</v>
      </c>
      <c r="F304" s="189">
        <v>-30126433.330665395</v>
      </c>
      <c r="G304" s="627">
        <f>+Synthèse!F303</f>
        <v>-20728145.176302891</v>
      </c>
      <c r="H304" s="627">
        <f t="shared" si="13"/>
        <v>9398288.1543625034</v>
      </c>
      <c r="I304" s="190">
        <v>934609.25751257408</v>
      </c>
      <c r="J304" s="629">
        <f>+Synthèse!H303</f>
        <v>894087.15492124704</v>
      </c>
      <c r="K304" s="629">
        <f t="shared" si="14"/>
        <v>-40522.102591327042</v>
      </c>
    </row>
    <row r="305" spans="1:11" s="193" customFormat="1" ht="15" x14ac:dyDescent="0.25">
      <c r="A305" s="85">
        <f>Données!A305</f>
        <v>5939</v>
      </c>
      <c r="B305" s="302" t="str">
        <f>Données!B305</f>
        <v>Yvonand</v>
      </c>
      <c r="C305" s="190">
        <v>1690832.2097809745</v>
      </c>
      <c r="D305" s="626">
        <f>+Synthèse!G304</f>
        <v>1387861.4533622975</v>
      </c>
      <c r="E305" s="623">
        <f t="shared" si="12"/>
        <v>-302970.75641867705</v>
      </c>
      <c r="F305" s="189">
        <v>-826451.556899491</v>
      </c>
      <c r="G305" s="627">
        <f>+Synthèse!F304</f>
        <v>-892910.53004809306</v>
      </c>
      <c r="H305" s="627">
        <f t="shared" si="13"/>
        <v>-66458.973148602061</v>
      </c>
      <c r="I305" s="190">
        <v>321757.08797338302</v>
      </c>
      <c r="J305" s="629">
        <f>+Synthèse!H304</f>
        <v>282658.87670446944</v>
      </c>
      <c r="K305" s="629">
        <f t="shared" si="14"/>
        <v>-39098.211268913583</v>
      </c>
    </row>
    <row r="306" spans="1:11" s="193" customFormat="1" ht="15" x14ac:dyDescent="0.25">
      <c r="A306" s="25"/>
      <c r="B306" s="19">
        <v>300</v>
      </c>
      <c r="C306" s="191">
        <f t="shared" ref="C306:K306" si="15">SUM(C6:C305)</f>
        <v>796046499.99999976</v>
      </c>
      <c r="D306" s="624">
        <f t="shared" si="15"/>
        <v>792931907.00000012</v>
      </c>
      <c r="E306" s="624">
        <f t="shared" si="15"/>
        <v>-3114592.9999999236</v>
      </c>
      <c r="F306" s="191">
        <f t="shared" si="15"/>
        <v>449999.99999971013</v>
      </c>
      <c r="G306" s="628">
        <f t="shared" si="15"/>
        <v>188807475.08684549</v>
      </c>
      <c r="H306" s="628">
        <f t="shared" si="15"/>
        <v>188357475.08684564</v>
      </c>
      <c r="I306" s="191">
        <f t="shared" si="15"/>
        <v>72090822.99999997</v>
      </c>
      <c r="J306" s="630">
        <f t="shared" si="15"/>
        <v>72090822.999999985</v>
      </c>
      <c r="K306" s="630">
        <f t="shared" si="15"/>
        <v>-1.5323166735470295E-8</v>
      </c>
    </row>
    <row r="307" spans="1:11" s="193" customFormat="1" ht="15" x14ac:dyDescent="0.25">
      <c r="A307" s="194"/>
      <c r="B307" s="194"/>
      <c r="C307" s="194"/>
      <c r="D307" s="5"/>
      <c r="F307" s="194"/>
      <c r="I307" s="192"/>
      <c r="J307" s="5"/>
    </row>
    <row r="308" spans="1:11" s="193" customFormat="1" ht="15" x14ac:dyDescent="0.25">
      <c r="A308" s="194"/>
      <c r="B308" s="194"/>
      <c r="C308" s="194"/>
      <c r="F308" s="194"/>
      <c r="I308" s="192"/>
      <c r="J308" s="5"/>
    </row>
    <row r="309" spans="1:11" s="193" customFormat="1" ht="15" x14ac:dyDescent="0.25">
      <c r="A309" s="194"/>
      <c r="B309" s="194"/>
      <c r="C309" s="194"/>
      <c r="F309" s="194"/>
      <c r="I309" s="192"/>
    </row>
    <row r="310" spans="1:11" s="193" customFormat="1" ht="15" x14ac:dyDescent="0.25">
      <c r="A310" s="194"/>
      <c r="B310" s="194"/>
      <c r="C310" s="194"/>
      <c r="F310" s="194"/>
      <c r="I310" s="171"/>
    </row>
  </sheetData>
  <sheetProtection sheet="1" objects="1" scenarios="1"/>
  <mergeCells count="5">
    <mergeCell ref="I4:K4"/>
    <mergeCell ref="A4:A5"/>
    <mergeCell ref="B4:B5"/>
    <mergeCell ref="C4:E4"/>
    <mergeCell ref="F4:H4"/>
  </mergeCells>
  <hyperlinks>
    <hyperlink ref="C1" location="Synthèse!A1" display="← Précédent" xr:uid="{D046A632-CF30-4412-9AE7-773599330617}"/>
    <hyperlink ref="D1" location="'Table des matières'!A1" display="Table des             matières" xr:uid="{312CF942-877A-4E96-8B85-400AB3A21C9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7AA1-60A5-488A-A872-466268BDE675}">
  <dimension ref="A1:C19"/>
  <sheetViews>
    <sheetView zoomScaleNormal="100" workbookViewId="0"/>
  </sheetViews>
  <sheetFormatPr baseColWidth="10" defaultColWidth="11" defaultRowHeight="12.75" x14ac:dyDescent="0.2"/>
  <cols>
    <col min="1" max="1" width="38" style="322" customWidth="1"/>
    <col min="2" max="2" width="43.625" style="199" customWidth="1"/>
    <col min="3" max="3" width="43.625" style="198" customWidth="1"/>
    <col min="4" max="16384" width="11" style="198"/>
  </cols>
  <sheetData>
    <row r="1" spans="1:3" ht="26.45" customHeight="1" x14ac:dyDescent="0.2">
      <c r="A1" s="345" t="s">
        <v>394</v>
      </c>
    </row>
    <row r="2" spans="1:3" ht="24" customHeight="1" x14ac:dyDescent="0.2">
      <c r="A2" s="323" t="s">
        <v>544</v>
      </c>
      <c r="B2" s="677" t="s">
        <v>408</v>
      </c>
      <c r="C2" s="678"/>
    </row>
    <row r="3" spans="1:3" ht="24" customHeight="1" x14ac:dyDescent="0.2">
      <c r="A3" s="324" t="s">
        <v>519</v>
      </c>
      <c r="B3" s="679" t="s">
        <v>438</v>
      </c>
      <c r="C3" s="679"/>
    </row>
    <row r="4" spans="1:3" ht="24" customHeight="1" x14ac:dyDescent="0.2">
      <c r="A4" s="324" t="s">
        <v>397</v>
      </c>
      <c r="B4" s="679" t="s">
        <v>484</v>
      </c>
      <c r="C4" s="679"/>
    </row>
    <row r="5" spans="1:3" ht="24" customHeight="1" x14ac:dyDescent="0.2">
      <c r="A5" s="325" t="s">
        <v>407</v>
      </c>
      <c r="B5" s="680" t="s">
        <v>439</v>
      </c>
      <c r="C5" s="681"/>
    </row>
    <row r="6" spans="1:3" ht="7.5" customHeight="1" x14ac:dyDescent="0.2"/>
    <row r="7" spans="1:3" ht="45" customHeight="1" x14ac:dyDescent="0.2">
      <c r="A7" s="375" t="s">
        <v>422</v>
      </c>
      <c r="B7" s="682" t="s">
        <v>535</v>
      </c>
      <c r="C7" s="683"/>
    </row>
    <row r="8" spans="1:3" ht="24" customHeight="1" x14ac:dyDescent="0.2">
      <c r="A8" s="326" t="s">
        <v>534</v>
      </c>
      <c r="B8" s="675" t="s">
        <v>536</v>
      </c>
      <c r="C8" s="676"/>
    </row>
    <row r="9" spans="1:3" ht="7.5" customHeight="1" x14ac:dyDescent="0.2"/>
    <row r="10" spans="1:3" ht="45" customHeight="1" x14ac:dyDescent="0.2">
      <c r="A10" s="385" t="s">
        <v>543</v>
      </c>
      <c r="B10" s="665" t="s">
        <v>537</v>
      </c>
      <c r="C10" s="666"/>
    </row>
    <row r="11" spans="1:3" ht="30" customHeight="1" x14ac:dyDescent="0.2">
      <c r="A11" s="365" t="s">
        <v>257</v>
      </c>
      <c r="B11" s="667" t="s">
        <v>395</v>
      </c>
      <c r="C11" s="668"/>
    </row>
    <row r="12" spans="1:3" ht="30" customHeight="1" x14ac:dyDescent="0.2">
      <c r="A12" s="366" t="s">
        <v>539</v>
      </c>
      <c r="B12" s="669" t="s">
        <v>437</v>
      </c>
      <c r="C12" s="669"/>
    </row>
    <row r="13" spans="1:3" ht="30" customHeight="1" x14ac:dyDescent="0.2">
      <c r="A13" s="366" t="s">
        <v>538</v>
      </c>
      <c r="B13" s="670" t="s">
        <v>396</v>
      </c>
      <c r="C13" s="669"/>
    </row>
    <row r="14" spans="1:3" ht="24" customHeight="1" x14ac:dyDescent="0.2">
      <c r="A14" s="393" t="s">
        <v>398</v>
      </c>
      <c r="B14" s="394" t="s">
        <v>399</v>
      </c>
      <c r="C14" s="395" t="s">
        <v>400</v>
      </c>
    </row>
    <row r="15" spans="1:3" ht="7.5" customHeight="1" x14ac:dyDescent="0.2"/>
    <row r="16" spans="1:3" ht="24" customHeight="1" x14ac:dyDescent="0.2">
      <c r="A16" s="327" t="s">
        <v>406</v>
      </c>
      <c r="B16" s="671" t="s">
        <v>540</v>
      </c>
      <c r="C16" s="672"/>
    </row>
    <row r="17" spans="1:3" ht="7.5" customHeight="1" x14ac:dyDescent="0.2">
      <c r="B17" s="200"/>
    </row>
    <row r="18" spans="1:3" ht="24" customHeight="1" x14ac:dyDescent="0.2">
      <c r="A18" s="323" t="s">
        <v>424</v>
      </c>
      <c r="B18" s="673" t="s">
        <v>541</v>
      </c>
      <c r="C18" s="674"/>
    </row>
    <row r="19" spans="1:3" ht="24" customHeight="1" x14ac:dyDescent="0.2">
      <c r="A19" s="325" t="s">
        <v>401</v>
      </c>
      <c r="B19" s="663" t="s">
        <v>545</v>
      </c>
      <c r="C19" s="664"/>
    </row>
  </sheetData>
  <sheetProtection sheet="1" objects="1" scenarios="1"/>
  <mergeCells count="13">
    <mergeCell ref="B8:C8"/>
    <mergeCell ref="B2:C2"/>
    <mergeCell ref="B3:C3"/>
    <mergeCell ref="B4:C4"/>
    <mergeCell ref="B5:C5"/>
    <mergeCell ref="B7:C7"/>
    <mergeCell ref="B19:C19"/>
    <mergeCell ref="B10:C10"/>
    <mergeCell ref="B11:C11"/>
    <mergeCell ref="B12:C12"/>
    <mergeCell ref="B13:C13"/>
    <mergeCell ref="B16:C16"/>
    <mergeCell ref="B18:C18"/>
  </mergeCells>
  <hyperlinks>
    <hyperlink ref="A2" location="Paramètres!A1" display="Paramétrage du système" xr:uid="{BBC8A613-61B5-4A5C-8539-BACDC2EB90C1}"/>
    <hyperlink ref="A3" location="Recherche!A1" display="Résumé par commune" xr:uid="{914287E3-17F7-433D-B4A0-0185864640C0}"/>
    <hyperlink ref="A4" location="Données!A1" display="Données saisies" xr:uid="{13B56647-1FE3-41F8-B3FD-A2001CD5863F}"/>
    <hyperlink ref="A5" location="VPI!A1" display="Valeur du point d'impôt péréquatif (VPI)" xr:uid="{EF64F556-BDED-4A47-92A9-01649819B5F2}"/>
    <hyperlink ref="A8" location="Ecrêtage!A1" display="Détail écrêtage" xr:uid="{30313161-3EA3-413C-A1FF-1AA5DF37EBA6}"/>
    <hyperlink ref="A11" location="Population!A1" display="Population" xr:uid="{EB7AF72B-EF98-4405-8D9C-5649DEA917C0}"/>
    <hyperlink ref="A12" location="Solidarité!A1" display="Solidarité" xr:uid="{B4DEC7AC-11F5-433C-AAFF-E84C5E8125E3}"/>
    <hyperlink ref="A13" location="DT!A1" display="Dépenses thématiques (DT)" xr:uid="{BC6E28BE-1F7A-44E2-B13B-DF9AFD02365B}"/>
    <hyperlink ref="A14" location="Effort!A1" display="Plafond de l'effort" xr:uid="{E66483E2-EF22-4C79-995E-014AC22AF508}"/>
    <hyperlink ref="B14" location="Aide!A1" display="Plafond de l'aide" xr:uid="{7F6E5FE6-8556-4E3B-AA4A-1A5388348FAA}"/>
    <hyperlink ref="A16" location="'Facture policière'!A1" display="Facture policière" xr:uid="{27A18F56-0333-42B2-B4AC-6E784EE84614}"/>
    <hyperlink ref="A18" location="Synthèse!A1" display="Synthèse" xr:uid="{7FC7A801-78C4-4FE0-81C4-0E3F6B07D24F}"/>
    <hyperlink ref="A19" location="'Décompte vs acomptes'!A1" display="Acomptes vs Décompte" xr:uid="{FD8DF11C-672C-4310-A721-79361D41A756}"/>
    <hyperlink ref="C14" location="Taux!A1" display="Plafond du taux" xr:uid="{BC18F71E-E60D-4300-B8D3-91E894DB1FEB}"/>
    <hyperlink ref="A7" location="PCS!A1" display="Participation à la cohésion sociale (PCS)" xr:uid="{E3489D3D-B727-448F-9585-ADA813A95D36}"/>
    <hyperlink ref="A10" location="'Péréquation directe'!A1" display="Péréquation directe" xr:uid="{5FA54ED3-C648-4139-9448-FE897237670D}"/>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3" tint="0.59999389629810485"/>
  </sheetPr>
  <dimension ref="A1:L537"/>
  <sheetViews>
    <sheetView zoomScaleNormal="100" workbookViewId="0">
      <pane ySplit="2" topLeftCell="A49" activePane="bottomLeft" state="frozen"/>
      <selection pane="bottomLeft" activeCell="A61" sqref="A61"/>
    </sheetView>
  </sheetViews>
  <sheetFormatPr baseColWidth="10" defaultColWidth="10.75" defaultRowHeight="15" x14ac:dyDescent="0.25"/>
  <cols>
    <col min="1" max="1" width="66.625" style="421" customWidth="1"/>
    <col min="2" max="2" width="12.5" style="421" bestFit="1" customWidth="1"/>
    <col min="3" max="3" width="13.875" style="421" customWidth="1"/>
    <col min="4" max="4" width="12.125" style="421" customWidth="1"/>
    <col min="5" max="8" width="13.125" style="421" customWidth="1"/>
    <col min="9" max="10" width="12.125" style="421" bestFit="1" customWidth="1"/>
    <col min="11" max="11" width="12" style="421" bestFit="1" customWidth="1"/>
    <col min="12" max="16384" width="10.75" style="421"/>
  </cols>
  <sheetData>
    <row r="1" spans="1:11" ht="26.25" x14ac:dyDescent="0.4">
      <c r="A1" s="417" t="s">
        <v>404</v>
      </c>
      <c r="B1" s="418" t="s">
        <v>402</v>
      </c>
      <c r="C1" s="419" t="s">
        <v>394</v>
      </c>
      <c r="D1" s="418" t="s">
        <v>403</v>
      </c>
      <c r="E1" s="420"/>
    </row>
    <row r="3" spans="1:11" ht="21" customHeight="1" x14ac:dyDescent="0.35">
      <c r="A3" s="422" t="s">
        <v>405</v>
      </c>
    </row>
    <row r="4" spans="1:11" ht="14.45" customHeight="1" x14ac:dyDescent="0.25">
      <c r="A4" s="421" t="s">
        <v>440</v>
      </c>
      <c r="B4" s="423" t="s">
        <v>591</v>
      </c>
      <c r="D4" s="691" t="s">
        <v>569</v>
      </c>
      <c r="E4" s="692"/>
      <c r="F4" s="692"/>
      <c r="G4" s="692"/>
      <c r="H4" s="693"/>
      <c r="I4" s="424"/>
      <c r="J4" s="424"/>
      <c r="K4" s="424"/>
    </row>
    <row r="5" spans="1:11" x14ac:dyDescent="0.25">
      <c r="A5" s="421" t="s">
        <v>476</v>
      </c>
      <c r="B5" s="425">
        <v>2023</v>
      </c>
      <c r="D5" s="694"/>
      <c r="E5" s="695"/>
      <c r="F5" s="695"/>
      <c r="G5" s="695"/>
      <c r="H5" s="696"/>
      <c r="I5" s="424"/>
      <c r="J5" s="424"/>
      <c r="K5" s="424"/>
    </row>
    <row r="6" spans="1:11" x14ac:dyDescent="0.25">
      <c r="A6" s="421" t="s">
        <v>475</v>
      </c>
      <c r="B6" s="426">
        <v>43829</v>
      </c>
      <c r="D6" s="694"/>
      <c r="E6" s="695"/>
      <c r="F6" s="695"/>
      <c r="G6" s="695"/>
      <c r="H6" s="696"/>
      <c r="I6" s="424"/>
      <c r="J6" s="424"/>
      <c r="K6" s="424"/>
    </row>
    <row r="7" spans="1:11" x14ac:dyDescent="0.25">
      <c r="A7" s="421" t="s">
        <v>474</v>
      </c>
      <c r="B7" s="426" t="s">
        <v>592</v>
      </c>
      <c r="D7" s="694"/>
      <c r="E7" s="695"/>
      <c r="F7" s="695"/>
      <c r="G7" s="695"/>
      <c r="H7" s="696"/>
      <c r="I7" s="424"/>
      <c r="J7" s="424"/>
      <c r="K7" s="424"/>
    </row>
    <row r="8" spans="1:11" x14ac:dyDescent="0.25">
      <c r="A8" s="421" t="s">
        <v>473</v>
      </c>
      <c r="B8" s="425">
        <v>2023</v>
      </c>
      <c r="D8" s="694"/>
      <c r="E8" s="695"/>
      <c r="F8" s="695"/>
      <c r="G8" s="695"/>
      <c r="H8" s="696"/>
      <c r="I8" s="424"/>
      <c r="J8" s="424"/>
      <c r="K8" s="424"/>
    </row>
    <row r="9" spans="1:11" x14ac:dyDescent="0.25">
      <c r="D9" s="694"/>
      <c r="E9" s="695"/>
      <c r="F9" s="695"/>
      <c r="G9" s="695"/>
      <c r="H9" s="696"/>
      <c r="I9" s="424"/>
      <c r="J9" s="424"/>
      <c r="K9" s="424"/>
    </row>
    <row r="10" spans="1:11" ht="21" x14ac:dyDescent="0.35">
      <c r="A10" s="427" t="s">
        <v>422</v>
      </c>
      <c r="B10" s="428"/>
      <c r="D10" s="694"/>
      <c r="E10" s="695"/>
      <c r="F10" s="695"/>
      <c r="G10" s="695"/>
      <c r="H10" s="696"/>
      <c r="I10" s="424"/>
      <c r="J10" s="424"/>
      <c r="K10" s="424"/>
    </row>
    <row r="11" spans="1:11" ht="30" x14ac:dyDescent="0.25">
      <c r="A11" s="429" t="s">
        <v>552</v>
      </c>
      <c r="B11" s="430">
        <v>792931907</v>
      </c>
      <c r="D11" s="694"/>
      <c r="E11" s="695"/>
      <c r="F11" s="695"/>
      <c r="G11" s="695"/>
      <c r="H11" s="696"/>
      <c r="I11" s="424"/>
      <c r="J11" s="424"/>
      <c r="K11" s="424"/>
    </row>
    <row r="12" spans="1:11" x14ac:dyDescent="0.25">
      <c r="A12" s="431" t="s">
        <v>551</v>
      </c>
      <c r="B12" s="432"/>
      <c r="C12" s="688" t="s">
        <v>593</v>
      </c>
      <c r="D12" s="694"/>
      <c r="E12" s="695"/>
      <c r="F12" s="695"/>
      <c r="G12" s="695"/>
      <c r="H12" s="696"/>
      <c r="I12" s="424"/>
      <c r="J12" s="424"/>
      <c r="K12" s="424"/>
    </row>
    <row r="13" spans="1:11" x14ac:dyDescent="0.25">
      <c r="A13" s="431" t="s">
        <v>549</v>
      </c>
      <c r="B13" s="430">
        <f>70000000-11260268</f>
        <v>58739732</v>
      </c>
      <c r="C13" s="689"/>
      <c r="D13" s="694"/>
      <c r="E13" s="695"/>
      <c r="F13" s="695"/>
      <c r="G13" s="695"/>
      <c r="H13" s="696"/>
      <c r="I13" s="424"/>
      <c r="J13" s="424"/>
      <c r="K13" s="424"/>
    </row>
    <row r="14" spans="1:11" x14ac:dyDescent="0.25">
      <c r="A14" s="431" t="s">
        <v>568</v>
      </c>
      <c r="B14" s="430">
        <f>70000000-B13</f>
        <v>11260268</v>
      </c>
      <c r="C14" s="690"/>
      <c r="D14" s="694"/>
      <c r="E14" s="695"/>
      <c r="F14" s="695"/>
      <c r="G14" s="695"/>
      <c r="H14" s="696"/>
      <c r="I14" s="424"/>
      <c r="J14" s="424"/>
      <c r="K14" s="424"/>
    </row>
    <row r="15" spans="1:11" x14ac:dyDescent="0.25">
      <c r="A15" s="431" t="s">
        <v>485</v>
      </c>
      <c r="B15" s="430">
        <v>25000000</v>
      </c>
      <c r="C15" s="512">
        <f>+B12+B13+B14</f>
        <v>70000000</v>
      </c>
      <c r="D15" s="694"/>
      <c r="E15" s="695"/>
      <c r="F15" s="695"/>
      <c r="G15" s="695"/>
      <c r="H15" s="696"/>
      <c r="I15" s="424"/>
      <c r="J15" s="424"/>
      <c r="K15" s="424"/>
    </row>
    <row r="16" spans="1:11" x14ac:dyDescent="0.25">
      <c r="A16" s="428" t="s">
        <v>550</v>
      </c>
      <c r="B16" s="433">
        <f>+B11+B13+B14+B15</f>
        <v>887931907</v>
      </c>
      <c r="C16" s="480">
        <f>+C15-70000000</f>
        <v>0</v>
      </c>
      <c r="D16" s="694"/>
      <c r="E16" s="695"/>
      <c r="F16" s="695"/>
      <c r="G16" s="695"/>
      <c r="H16" s="696"/>
      <c r="I16" s="424"/>
      <c r="J16" s="424"/>
      <c r="K16" s="424"/>
    </row>
    <row r="17" spans="1:12" x14ac:dyDescent="0.25">
      <c r="D17" s="694"/>
      <c r="E17" s="695"/>
      <c r="F17" s="695"/>
      <c r="G17" s="695"/>
      <c r="H17" s="696"/>
      <c r="I17" s="424"/>
      <c r="J17" s="424"/>
      <c r="K17" s="424"/>
    </row>
    <row r="18" spans="1:12" ht="21" x14ac:dyDescent="0.35">
      <c r="A18" s="422" t="s">
        <v>446</v>
      </c>
      <c r="C18" s="428"/>
      <c r="D18" s="694"/>
      <c r="E18" s="695"/>
      <c r="F18" s="695"/>
      <c r="G18" s="695"/>
      <c r="H18" s="696"/>
      <c r="I18" s="424"/>
      <c r="J18" s="424"/>
      <c r="K18" s="424"/>
    </row>
    <row r="19" spans="1:12" x14ac:dyDescent="0.25">
      <c r="A19" s="421" t="s">
        <v>447</v>
      </c>
      <c r="B19" s="434">
        <v>0.5</v>
      </c>
      <c r="C19" s="435"/>
      <c r="D19" s="694"/>
      <c r="E19" s="695"/>
      <c r="F19" s="695"/>
      <c r="G19" s="695"/>
      <c r="H19" s="696"/>
      <c r="I19" s="424"/>
      <c r="J19" s="424"/>
      <c r="K19" s="424"/>
    </row>
    <row r="20" spans="1:12" x14ac:dyDescent="0.25">
      <c r="A20" s="421" t="s">
        <v>417</v>
      </c>
      <c r="B20" s="434">
        <v>0.3</v>
      </c>
      <c r="C20" s="436"/>
      <c r="D20" s="697"/>
      <c r="E20" s="698"/>
      <c r="F20" s="698"/>
      <c r="G20" s="698"/>
      <c r="H20" s="699"/>
      <c r="I20" s="424"/>
      <c r="J20" s="424"/>
      <c r="K20" s="424"/>
    </row>
    <row r="21" spans="1:12" x14ac:dyDescent="0.25">
      <c r="D21" s="424"/>
      <c r="E21" s="424"/>
      <c r="F21" s="424"/>
      <c r="G21" s="424"/>
      <c r="H21" s="424"/>
      <c r="I21" s="424"/>
      <c r="J21" s="424"/>
      <c r="K21" s="424"/>
    </row>
    <row r="22" spans="1:12" ht="21" x14ac:dyDescent="0.35">
      <c r="A22" s="422" t="s">
        <v>449</v>
      </c>
    </row>
    <row r="23" spans="1:12" x14ac:dyDescent="0.25">
      <c r="B23" s="437" t="s">
        <v>249</v>
      </c>
      <c r="C23" s="437" t="s">
        <v>250</v>
      </c>
      <c r="D23" s="437" t="s">
        <v>335</v>
      </c>
      <c r="E23" s="437" t="s">
        <v>376</v>
      </c>
      <c r="F23" s="437" t="s">
        <v>377</v>
      </c>
    </row>
    <row r="24" spans="1:12" x14ac:dyDescent="0.25">
      <c r="A24" s="421" t="s">
        <v>448</v>
      </c>
      <c r="B24" s="438">
        <v>0.2</v>
      </c>
      <c r="C24" s="438">
        <v>0.3</v>
      </c>
      <c r="D24" s="438">
        <v>0.4</v>
      </c>
      <c r="E24" s="438">
        <v>0.5</v>
      </c>
      <c r="F24" s="438">
        <v>0.6</v>
      </c>
      <c r="G24" s="439"/>
    </row>
    <row r="25" spans="1:12" x14ac:dyDescent="0.25">
      <c r="A25" s="421" t="s">
        <v>358</v>
      </c>
      <c r="B25" s="438">
        <v>1</v>
      </c>
      <c r="C25" s="438">
        <v>1.2</v>
      </c>
      <c r="D25" s="438">
        <v>1.5</v>
      </c>
      <c r="E25" s="440">
        <v>2</v>
      </c>
      <c r="F25" s="438">
        <v>3</v>
      </c>
      <c r="G25" s="439"/>
    </row>
    <row r="26" spans="1:12" x14ac:dyDescent="0.25">
      <c r="F26" s="428"/>
      <c r="I26" s="428"/>
      <c r="J26" s="428"/>
      <c r="K26" s="428"/>
      <c r="L26" s="428"/>
    </row>
    <row r="27" spans="1:12" ht="21" x14ac:dyDescent="0.35">
      <c r="A27" s="422" t="s">
        <v>450</v>
      </c>
      <c r="B27" s="428"/>
      <c r="C27" s="428"/>
      <c r="D27" s="428"/>
      <c r="E27" s="441"/>
      <c r="F27" s="442"/>
      <c r="I27" s="428"/>
      <c r="J27" s="428"/>
      <c r="K27" s="428"/>
      <c r="L27" s="443"/>
    </row>
    <row r="28" spans="1:12" x14ac:dyDescent="0.25">
      <c r="A28" s="444" t="s">
        <v>451</v>
      </c>
      <c r="B28" s="445">
        <v>0</v>
      </c>
      <c r="C28" s="445">
        <v>1000</v>
      </c>
      <c r="D28" s="445">
        <v>3000</v>
      </c>
      <c r="E28" s="445">
        <v>5000</v>
      </c>
      <c r="F28" s="445">
        <v>9000</v>
      </c>
      <c r="G28" s="445">
        <v>12000</v>
      </c>
      <c r="H28" s="445">
        <v>15000</v>
      </c>
      <c r="I28" s="446"/>
      <c r="J28" s="428"/>
      <c r="K28" s="428"/>
      <c r="L28" s="428"/>
    </row>
    <row r="29" spans="1:12" ht="15" customHeight="1" x14ac:dyDescent="0.25">
      <c r="A29" s="444"/>
      <c r="B29" s="445">
        <v>1000</v>
      </c>
      <c r="C29" s="445">
        <v>3000</v>
      </c>
      <c r="D29" s="445">
        <v>5000</v>
      </c>
      <c r="E29" s="445">
        <v>9000</v>
      </c>
      <c r="F29" s="445">
        <v>12000</v>
      </c>
      <c r="G29" s="445">
        <v>15000</v>
      </c>
      <c r="H29" s="445"/>
      <c r="I29" s="446"/>
      <c r="J29" s="428"/>
      <c r="K29" s="428"/>
      <c r="L29" s="428"/>
    </row>
    <row r="30" spans="1:12" x14ac:dyDescent="0.25">
      <c r="A30" s="447" t="s">
        <v>359</v>
      </c>
      <c r="B30" s="448">
        <v>125</v>
      </c>
      <c r="C30" s="448">
        <v>350</v>
      </c>
      <c r="D30" s="448">
        <v>500</v>
      </c>
      <c r="E30" s="448">
        <v>600</v>
      </c>
      <c r="F30" s="448">
        <v>850</v>
      </c>
      <c r="G30" s="448">
        <v>1000</v>
      </c>
      <c r="H30" s="448">
        <v>1050</v>
      </c>
      <c r="I30" s="449"/>
      <c r="J30" s="428"/>
      <c r="K30" s="428"/>
      <c r="L30" s="428"/>
    </row>
    <row r="31" spans="1:12" x14ac:dyDescent="0.25">
      <c r="A31" s="428" t="s">
        <v>353</v>
      </c>
      <c r="B31" s="450">
        <v>99.4</v>
      </c>
      <c r="C31" s="451"/>
      <c r="D31" s="451"/>
      <c r="E31" s="451"/>
      <c r="F31" s="451"/>
      <c r="G31" s="451"/>
      <c r="H31" s="451"/>
      <c r="I31" s="428"/>
      <c r="J31" s="428"/>
      <c r="K31" s="428"/>
      <c r="L31" s="428"/>
    </row>
    <row r="32" spans="1:12" s="455" customFormat="1" x14ac:dyDescent="0.25">
      <c r="A32" s="452" t="s">
        <v>567</v>
      </c>
      <c r="B32" s="448">
        <v>104.3</v>
      </c>
      <c r="C32" s="453"/>
      <c r="D32" s="454"/>
      <c r="E32" s="454"/>
      <c r="F32" s="454"/>
      <c r="G32" s="454"/>
      <c r="H32" s="454"/>
      <c r="I32" s="454"/>
      <c r="J32" s="454"/>
      <c r="K32" s="454"/>
      <c r="L32" s="454"/>
    </row>
    <row r="33" spans="1:12" x14ac:dyDescent="0.25">
      <c r="A33" s="428" t="s">
        <v>354</v>
      </c>
      <c r="B33" s="456">
        <f>+B30/$B$31*$B$32</f>
        <v>131.16197183098589</v>
      </c>
      <c r="C33" s="457">
        <f t="shared" ref="C33:H33" si="0">+C30/$B$31*$B$32</f>
        <v>367.25352112676052</v>
      </c>
      <c r="D33" s="457">
        <f t="shared" si="0"/>
        <v>524.64788732394356</v>
      </c>
      <c r="E33" s="457">
        <f t="shared" si="0"/>
        <v>629.5774647887323</v>
      </c>
      <c r="F33" s="457">
        <f t="shared" si="0"/>
        <v>891.90140845070414</v>
      </c>
      <c r="G33" s="457">
        <f t="shared" si="0"/>
        <v>1049.2957746478871</v>
      </c>
      <c r="H33" s="457">
        <f t="shared" si="0"/>
        <v>1101.7605633802816</v>
      </c>
      <c r="I33" s="428"/>
      <c r="J33" s="428"/>
      <c r="K33" s="428"/>
      <c r="L33" s="428"/>
    </row>
    <row r="35" spans="1:12" ht="21" x14ac:dyDescent="0.35">
      <c r="A35" s="422" t="s">
        <v>452</v>
      </c>
    </row>
    <row r="36" spans="1:12" x14ac:dyDescent="0.25">
      <c r="A36" s="421" t="s">
        <v>453</v>
      </c>
      <c r="B36" s="458">
        <v>0.27</v>
      </c>
    </row>
    <row r="38" spans="1:12" ht="21" x14ac:dyDescent="0.35">
      <c r="A38" s="422" t="s">
        <v>456</v>
      </c>
      <c r="G38" s="459"/>
      <c r="H38" s="460"/>
      <c r="L38" s="459"/>
    </row>
    <row r="39" spans="1:12" x14ac:dyDescent="0.25">
      <c r="A39" s="461"/>
      <c r="B39" s="462" t="s">
        <v>310</v>
      </c>
      <c r="C39" s="462" t="s">
        <v>513</v>
      </c>
      <c r="E39" s="463" t="s">
        <v>461</v>
      </c>
      <c r="F39" s="463"/>
      <c r="G39" s="464">
        <v>4.5</v>
      </c>
      <c r="H39" s="465">
        <v>0.75</v>
      </c>
      <c r="I39" s="685" t="s">
        <v>459</v>
      </c>
      <c r="J39" s="686"/>
      <c r="K39" s="466">
        <f>DT!G306+DT!L306</f>
        <v>0</v>
      </c>
    </row>
    <row r="40" spans="1:12" x14ac:dyDescent="0.25">
      <c r="A40" s="421" t="s">
        <v>458</v>
      </c>
      <c r="B40" s="467">
        <v>8</v>
      </c>
      <c r="C40" s="437">
        <f>+H40</f>
        <v>0.75</v>
      </c>
      <c r="E40" s="463" t="s">
        <v>360</v>
      </c>
      <c r="F40" s="463"/>
      <c r="G40" s="468">
        <f>G39*H46</f>
        <v>188359096.93172753</v>
      </c>
      <c r="H40" s="469">
        <f>(IF(G40&gt;K40,H39,H39/K40*G40))</f>
        <v>0.75</v>
      </c>
      <c r="I40" s="685" t="s">
        <v>460</v>
      </c>
      <c r="J40" s="686"/>
      <c r="K40" s="466">
        <f>K39*H39</f>
        <v>0</v>
      </c>
    </row>
    <row r="41" spans="1:12" x14ac:dyDescent="0.25">
      <c r="A41" s="421" t="s">
        <v>457</v>
      </c>
      <c r="B41" s="467">
        <v>1</v>
      </c>
      <c r="C41" s="437">
        <f>+H40</f>
        <v>0.75</v>
      </c>
      <c r="K41" s="470"/>
    </row>
    <row r="43" spans="1:12" ht="21" x14ac:dyDescent="0.35">
      <c r="A43" s="422" t="s">
        <v>464</v>
      </c>
      <c r="H43" s="471"/>
    </row>
    <row r="44" spans="1:12" x14ac:dyDescent="0.25">
      <c r="A44" s="421" t="s">
        <v>463</v>
      </c>
      <c r="B44" s="472">
        <v>48</v>
      </c>
      <c r="C44" s="473"/>
    </row>
    <row r="45" spans="1:12" x14ac:dyDescent="0.25">
      <c r="A45" s="421" t="s">
        <v>462</v>
      </c>
      <c r="B45" s="472">
        <v>8</v>
      </c>
      <c r="C45" s="447"/>
      <c r="E45" s="474"/>
      <c r="I45" s="685" t="str">
        <f>CONCATENATE("PCS selon ",B7)</f>
        <v>PCS selon Comptes 2023</v>
      </c>
      <c r="J45" s="686"/>
      <c r="K45" s="466">
        <f>+B11</f>
        <v>792931907</v>
      </c>
    </row>
    <row r="46" spans="1:12" x14ac:dyDescent="0.25">
      <c r="A46" s="421" t="s">
        <v>468</v>
      </c>
      <c r="B46" s="475">
        <v>93.882000000000005</v>
      </c>
      <c r="E46" s="685" t="str">
        <f>CONCATENATE("Valeur du point ",B4)</f>
        <v>Valeur du point Décompte 2023</v>
      </c>
      <c r="F46" s="687"/>
      <c r="G46" s="686"/>
      <c r="H46" s="466">
        <f>VPI!R306</f>
        <v>41857577.09593945</v>
      </c>
      <c r="I46" s="685" t="s">
        <v>470</v>
      </c>
      <c r="J46" s="686"/>
      <c r="K46" s="476">
        <v>773176130</v>
      </c>
    </row>
    <row r="47" spans="1:12" x14ac:dyDescent="0.25">
      <c r="A47" s="421" t="s">
        <v>375</v>
      </c>
      <c r="B47" s="477">
        <f>B46+K47</f>
        <v>93.882000000000005</v>
      </c>
      <c r="E47" s="685" t="s">
        <v>469</v>
      </c>
      <c r="F47" s="687"/>
      <c r="G47" s="686"/>
      <c r="H47" s="476">
        <v>40269073</v>
      </c>
      <c r="I47" s="685" t="s">
        <v>467</v>
      </c>
      <c r="J47" s="686"/>
      <c r="K47" s="463">
        <f>IF((K45/K46)&gt;(H46/H47),(K45-K46)/H46,0)</f>
        <v>0</v>
      </c>
    </row>
    <row r="48" spans="1:12" x14ac:dyDescent="0.25">
      <c r="E48" s="684"/>
      <c r="F48" s="684"/>
      <c r="G48" s="684"/>
    </row>
    <row r="49" spans="1:12" ht="21" x14ac:dyDescent="0.35">
      <c r="A49" s="422" t="s">
        <v>455</v>
      </c>
      <c r="B49" s="478" t="s">
        <v>466</v>
      </c>
      <c r="C49" s="479" t="s">
        <v>483</v>
      </c>
      <c r="D49" s="478" t="s">
        <v>465</v>
      </c>
    </row>
    <row r="50" spans="1:12" x14ac:dyDescent="0.25">
      <c r="A50" s="421" t="s">
        <v>547</v>
      </c>
      <c r="B50" s="476">
        <v>8272281.2544975141</v>
      </c>
      <c r="C50" s="480">
        <f>D50-B50</f>
        <v>-1621.8448818391189</v>
      </c>
      <c r="D50" s="466">
        <f>'Péréquation directe'!H312</f>
        <v>8270659.409615675</v>
      </c>
      <c r="L50" s="459"/>
    </row>
    <row r="51" spans="1:12" x14ac:dyDescent="0.25">
      <c r="A51" s="421" t="s">
        <v>454</v>
      </c>
      <c r="B51" s="476">
        <v>450000</v>
      </c>
      <c r="C51" s="481" t="s">
        <v>495</v>
      </c>
      <c r="D51" s="459"/>
      <c r="L51" s="459"/>
    </row>
    <row r="52" spans="1:12" x14ac:dyDescent="0.25">
      <c r="B52" s="482"/>
    </row>
    <row r="53" spans="1:12" ht="21" x14ac:dyDescent="0.35">
      <c r="A53" s="427" t="s">
        <v>406</v>
      </c>
      <c r="B53" s="428"/>
      <c r="C53" s="428"/>
      <c r="D53" s="483"/>
      <c r="F53" s="483"/>
      <c r="G53" s="484"/>
      <c r="H53" s="485"/>
    </row>
    <row r="54" spans="1:12" x14ac:dyDescent="0.25">
      <c r="A54" s="428" t="s">
        <v>471</v>
      </c>
      <c r="B54" s="466">
        <v>62118300</v>
      </c>
      <c r="C54" s="428"/>
      <c r="D54" s="483"/>
      <c r="F54" s="483"/>
      <c r="G54" s="484"/>
      <c r="H54" s="485"/>
    </row>
    <row r="55" spans="1:12" x14ac:dyDescent="0.25">
      <c r="A55" s="428" t="s">
        <v>472</v>
      </c>
      <c r="B55" s="486">
        <v>1.4999999999999999E-2</v>
      </c>
      <c r="C55" s="428"/>
      <c r="D55" s="483"/>
      <c r="F55" s="483"/>
      <c r="G55" s="484"/>
      <c r="H55" s="485"/>
    </row>
    <row r="56" spans="1:12" x14ac:dyDescent="0.25">
      <c r="A56" s="428" t="str">
        <f>CONCATENATE("Montant de la facture ",B8)</f>
        <v>Montant de la facture 2023</v>
      </c>
      <c r="B56" s="466">
        <f>ROUND((B54*(1+B55)^(B8-2013)),0)</f>
        <v>72090823</v>
      </c>
      <c r="C56" s="428"/>
      <c r="D56" s="483"/>
      <c r="E56" s="428"/>
      <c r="F56" s="483"/>
      <c r="G56" s="484"/>
      <c r="H56" s="485"/>
    </row>
    <row r="57" spans="1:12" x14ac:dyDescent="0.25">
      <c r="A57" s="428"/>
      <c r="B57" s="487"/>
      <c r="C57" s="428"/>
      <c r="D57" s="483"/>
      <c r="E57" s="428"/>
      <c r="F57" s="483"/>
      <c r="G57" s="484"/>
      <c r="H57" s="485"/>
    </row>
    <row r="58" spans="1:12" x14ac:dyDescent="0.25">
      <c r="F58" s="483"/>
      <c r="G58" s="484"/>
      <c r="H58" s="485"/>
    </row>
    <row r="59" spans="1:12" x14ac:dyDescent="0.25">
      <c r="F59" s="483"/>
    </row>
    <row r="60" spans="1:12" x14ac:dyDescent="0.25">
      <c r="A60" s="428"/>
      <c r="B60" s="428"/>
      <c r="F60" s="483"/>
    </row>
    <row r="61" spans="1:12" ht="21" x14ac:dyDescent="0.35">
      <c r="A61" s="427" t="s">
        <v>363</v>
      </c>
      <c r="F61" s="483"/>
    </row>
    <row r="62" spans="1:12" x14ac:dyDescent="0.25">
      <c r="A62" s="421" t="s">
        <v>332</v>
      </c>
      <c r="B62" s="421">
        <v>5621</v>
      </c>
      <c r="F62" s="483"/>
    </row>
    <row r="63" spans="1:12" x14ac:dyDescent="0.25">
      <c r="A63" s="421" t="s">
        <v>276</v>
      </c>
      <c r="B63" s="421">
        <v>5742</v>
      </c>
      <c r="F63" s="483"/>
    </row>
    <row r="64" spans="1:12" x14ac:dyDescent="0.25">
      <c r="A64" s="421" t="s">
        <v>224</v>
      </c>
      <c r="B64" s="421">
        <v>5401</v>
      </c>
      <c r="F64" s="483"/>
    </row>
    <row r="65" spans="1:2" x14ac:dyDescent="0.25">
      <c r="A65" s="421" t="s">
        <v>15</v>
      </c>
      <c r="B65" s="421">
        <v>5851</v>
      </c>
    </row>
    <row r="66" spans="1:2" x14ac:dyDescent="0.25">
      <c r="A66" s="421" t="s">
        <v>98</v>
      </c>
      <c r="B66" s="421">
        <v>5701</v>
      </c>
    </row>
    <row r="67" spans="1:2" x14ac:dyDescent="0.25">
      <c r="A67" s="421" t="s">
        <v>226</v>
      </c>
      <c r="B67" s="421">
        <v>5743</v>
      </c>
    </row>
    <row r="68" spans="1:2" x14ac:dyDescent="0.25">
      <c r="A68" s="421" t="s">
        <v>351</v>
      </c>
      <c r="B68" s="421">
        <v>5702</v>
      </c>
    </row>
    <row r="69" spans="1:2" x14ac:dyDescent="0.25">
      <c r="A69" s="421" t="s">
        <v>157</v>
      </c>
      <c r="B69" s="421">
        <v>5511</v>
      </c>
    </row>
    <row r="70" spans="1:2" x14ac:dyDescent="0.25">
      <c r="A70" s="421" t="s">
        <v>67</v>
      </c>
      <c r="B70" s="421">
        <v>5422</v>
      </c>
    </row>
    <row r="71" spans="1:2" x14ac:dyDescent="0.25">
      <c r="A71" s="421" t="s">
        <v>294</v>
      </c>
      <c r="B71" s="421">
        <v>5451</v>
      </c>
    </row>
    <row r="72" spans="1:2" x14ac:dyDescent="0.25">
      <c r="A72" s="421" t="s">
        <v>227</v>
      </c>
      <c r="B72" s="421">
        <v>5744</v>
      </c>
    </row>
    <row r="73" spans="1:2" x14ac:dyDescent="0.25">
      <c r="A73" s="421" t="s">
        <v>68</v>
      </c>
      <c r="B73" s="421">
        <v>5423</v>
      </c>
    </row>
    <row r="74" spans="1:2" x14ac:dyDescent="0.25">
      <c r="A74" s="421" t="s">
        <v>99</v>
      </c>
      <c r="B74" s="421">
        <v>5703</v>
      </c>
    </row>
    <row r="75" spans="1:2" x14ac:dyDescent="0.25">
      <c r="A75" s="421" t="s">
        <v>228</v>
      </c>
      <c r="B75" s="421">
        <v>5745</v>
      </c>
    </row>
    <row r="76" spans="1:2" x14ac:dyDescent="0.25">
      <c r="A76" s="421" t="s">
        <v>229</v>
      </c>
      <c r="B76" s="421">
        <v>5746</v>
      </c>
    </row>
    <row r="77" spans="1:2" x14ac:dyDescent="0.25">
      <c r="A77" s="421" t="s">
        <v>195</v>
      </c>
      <c r="B77" s="421">
        <v>5704</v>
      </c>
    </row>
    <row r="78" spans="1:2" x14ac:dyDescent="0.25">
      <c r="A78" s="421" t="s">
        <v>316</v>
      </c>
      <c r="B78" s="421">
        <v>5581</v>
      </c>
    </row>
    <row r="79" spans="1:2" x14ac:dyDescent="0.25">
      <c r="A79" s="421" t="s">
        <v>51</v>
      </c>
      <c r="B79" s="421">
        <v>5902</v>
      </c>
    </row>
    <row r="80" spans="1:2" x14ac:dyDescent="0.25">
      <c r="A80" s="421" t="s">
        <v>158</v>
      </c>
      <c r="B80" s="421">
        <v>5512</v>
      </c>
    </row>
    <row r="81" spans="1:2" x14ac:dyDescent="0.25">
      <c r="A81" s="421" t="s">
        <v>69</v>
      </c>
      <c r="B81" s="421">
        <v>5424</v>
      </c>
    </row>
    <row r="82" spans="1:2" x14ac:dyDescent="0.25">
      <c r="A82" s="421" t="s">
        <v>297</v>
      </c>
      <c r="B82" s="421">
        <v>5471</v>
      </c>
    </row>
    <row r="83" spans="1:2" x14ac:dyDescent="0.25">
      <c r="A83" s="421" t="s">
        <v>225</v>
      </c>
      <c r="B83" s="421">
        <v>5402</v>
      </c>
    </row>
    <row r="84" spans="1:2" x14ac:dyDescent="0.25">
      <c r="A84" s="421" t="s">
        <v>70</v>
      </c>
      <c r="B84" s="421">
        <v>5425</v>
      </c>
    </row>
    <row r="85" spans="1:2" x14ac:dyDescent="0.25">
      <c r="A85" s="421" t="s">
        <v>52</v>
      </c>
      <c r="B85" s="421">
        <v>5903</v>
      </c>
    </row>
    <row r="86" spans="1:2" x14ac:dyDescent="0.25">
      <c r="A86" s="421" t="s">
        <v>594</v>
      </c>
      <c r="B86" s="421">
        <v>5892</v>
      </c>
    </row>
    <row r="87" spans="1:2" x14ac:dyDescent="0.25">
      <c r="A87" s="421" t="s">
        <v>230</v>
      </c>
      <c r="B87" s="421">
        <v>5747</v>
      </c>
    </row>
    <row r="88" spans="1:2" x14ac:dyDescent="0.25">
      <c r="A88" s="421" t="s">
        <v>196</v>
      </c>
      <c r="B88" s="421">
        <v>5705</v>
      </c>
    </row>
    <row r="89" spans="1:2" x14ac:dyDescent="0.25">
      <c r="A89" s="421" t="s">
        <v>32</v>
      </c>
      <c r="B89" s="421">
        <v>5551</v>
      </c>
    </row>
    <row r="90" spans="1:2" x14ac:dyDescent="0.25">
      <c r="A90" s="421" t="s">
        <v>197</v>
      </c>
      <c r="B90" s="421">
        <v>5706</v>
      </c>
    </row>
    <row r="91" spans="1:2" x14ac:dyDescent="0.25">
      <c r="A91" s="421" t="s">
        <v>159</v>
      </c>
      <c r="B91" s="421">
        <v>5514</v>
      </c>
    </row>
    <row r="92" spans="1:2" x14ac:dyDescent="0.25">
      <c r="A92" s="421" t="s">
        <v>65</v>
      </c>
      <c r="B92" s="421">
        <v>5426</v>
      </c>
    </row>
    <row r="93" spans="1:2" x14ac:dyDescent="0.25">
      <c r="A93" s="421" t="s">
        <v>182</v>
      </c>
      <c r="B93" s="421">
        <v>5661</v>
      </c>
    </row>
    <row r="94" spans="1:2" x14ac:dyDescent="0.25">
      <c r="A94" s="421" t="s">
        <v>341</v>
      </c>
      <c r="B94" s="421">
        <v>5613</v>
      </c>
    </row>
    <row r="95" spans="1:2" x14ac:dyDescent="0.25">
      <c r="A95" s="421" t="s">
        <v>298</v>
      </c>
      <c r="B95" s="421">
        <v>5472</v>
      </c>
    </row>
    <row r="96" spans="1:2" x14ac:dyDescent="0.25">
      <c r="A96" s="421" t="s">
        <v>188</v>
      </c>
      <c r="B96" s="421">
        <v>5473</v>
      </c>
    </row>
    <row r="97" spans="1:2" x14ac:dyDescent="0.25">
      <c r="A97" s="421" t="s">
        <v>130</v>
      </c>
      <c r="B97" s="421">
        <v>5622</v>
      </c>
    </row>
    <row r="98" spans="1:2" x14ac:dyDescent="0.25">
      <c r="A98" s="421" t="s">
        <v>160</v>
      </c>
      <c r="B98" s="421">
        <v>5515</v>
      </c>
    </row>
    <row r="99" spans="1:2" x14ac:dyDescent="0.25">
      <c r="A99" s="421" t="s">
        <v>231</v>
      </c>
      <c r="B99" s="421">
        <v>5748</v>
      </c>
    </row>
    <row r="100" spans="1:2" x14ac:dyDescent="0.25">
      <c r="A100" s="421" t="s">
        <v>131</v>
      </c>
      <c r="B100" s="421">
        <v>5623</v>
      </c>
    </row>
    <row r="101" spans="1:2" x14ac:dyDescent="0.25">
      <c r="A101" s="421" t="s">
        <v>33</v>
      </c>
      <c r="B101" s="421">
        <v>5552</v>
      </c>
    </row>
    <row r="102" spans="1:2" x14ac:dyDescent="0.25">
      <c r="A102" s="421" t="s">
        <v>16</v>
      </c>
      <c r="B102" s="421">
        <v>5852</v>
      </c>
    </row>
    <row r="103" spans="1:2" x14ac:dyDescent="0.25">
      <c r="A103" s="421" t="s">
        <v>17</v>
      </c>
      <c r="B103" s="421">
        <v>5853</v>
      </c>
    </row>
    <row r="104" spans="1:2" x14ac:dyDescent="0.25">
      <c r="A104" s="421" t="s">
        <v>18</v>
      </c>
      <c r="B104" s="421">
        <v>5854</v>
      </c>
    </row>
    <row r="105" spans="1:2" x14ac:dyDescent="0.25">
      <c r="A105" s="421" t="s">
        <v>350</v>
      </c>
      <c r="B105" s="421">
        <v>5624</v>
      </c>
    </row>
    <row r="106" spans="1:2" x14ac:dyDescent="0.25">
      <c r="A106" s="421" t="s">
        <v>183</v>
      </c>
      <c r="B106" s="421">
        <v>5663</v>
      </c>
    </row>
    <row r="107" spans="1:2" x14ac:dyDescent="0.25">
      <c r="A107" s="421" t="s">
        <v>53</v>
      </c>
      <c r="B107" s="421">
        <v>5904</v>
      </c>
    </row>
    <row r="108" spans="1:2" x14ac:dyDescent="0.25">
      <c r="A108" s="421" t="s">
        <v>34</v>
      </c>
      <c r="B108" s="421">
        <v>5553</v>
      </c>
    </row>
    <row r="109" spans="1:2" x14ac:dyDescent="0.25">
      <c r="A109" s="421" t="s">
        <v>314</v>
      </c>
      <c r="B109" s="421">
        <v>5812</v>
      </c>
    </row>
    <row r="110" spans="1:2" x14ac:dyDescent="0.25">
      <c r="A110" s="421" t="s">
        <v>54</v>
      </c>
      <c r="B110" s="421">
        <v>5905</v>
      </c>
    </row>
    <row r="111" spans="1:2" x14ac:dyDescent="0.25">
      <c r="A111" s="421" t="s">
        <v>186</v>
      </c>
      <c r="B111" s="421">
        <v>5882</v>
      </c>
    </row>
    <row r="112" spans="1:2" x14ac:dyDescent="0.25">
      <c r="A112" s="421" t="s">
        <v>12</v>
      </c>
      <c r="B112" s="421">
        <v>5841</v>
      </c>
    </row>
    <row r="113" spans="1:2" x14ac:dyDescent="0.25">
      <c r="A113" s="421" t="s">
        <v>198</v>
      </c>
      <c r="B113" s="421">
        <v>5707</v>
      </c>
    </row>
    <row r="114" spans="1:2" x14ac:dyDescent="0.25">
      <c r="A114" s="421" t="s">
        <v>199</v>
      </c>
      <c r="B114" s="421">
        <v>5708</v>
      </c>
    </row>
    <row r="115" spans="1:2" x14ac:dyDescent="0.25">
      <c r="A115" s="421" t="s">
        <v>55</v>
      </c>
      <c r="B115" s="421">
        <v>5907</v>
      </c>
    </row>
    <row r="116" spans="1:2" x14ac:dyDescent="0.25">
      <c r="A116" s="421" t="s">
        <v>305</v>
      </c>
      <c r="B116" s="421">
        <v>5475</v>
      </c>
    </row>
    <row r="117" spans="1:2" x14ac:dyDescent="0.25">
      <c r="A117" s="421" t="s">
        <v>220</v>
      </c>
      <c r="B117" s="421">
        <v>5627</v>
      </c>
    </row>
    <row r="118" spans="1:2" x14ac:dyDescent="0.25">
      <c r="A118" s="421" t="s">
        <v>85</v>
      </c>
      <c r="B118" s="421">
        <v>5665</v>
      </c>
    </row>
    <row r="119" spans="1:2" x14ac:dyDescent="0.25">
      <c r="A119" s="421" t="s">
        <v>232</v>
      </c>
      <c r="B119" s="421">
        <v>5749</v>
      </c>
    </row>
    <row r="120" spans="1:2" x14ac:dyDescent="0.25">
      <c r="A120" s="421" t="s">
        <v>56</v>
      </c>
      <c r="B120" s="421">
        <v>5908</v>
      </c>
    </row>
    <row r="121" spans="1:2" x14ac:dyDescent="0.25">
      <c r="A121" s="421" t="s">
        <v>57</v>
      </c>
      <c r="B121" s="421">
        <v>5909</v>
      </c>
    </row>
    <row r="122" spans="1:2" x14ac:dyDescent="0.25">
      <c r="A122" s="421" t="s">
        <v>317</v>
      </c>
      <c r="B122" s="421">
        <v>5582</v>
      </c>
    </row>
    <row r="123" spans="1:2" x14ac:dyDescent="0.25">
      <c r="A123" s="421" t="s">
        <v>200</v>
      </c>
      <c r="B123" s="421">
        <v>5709</v>
      </c>
    </row>
    <row r="124" spans="1:2" x14ac:dyDescent="0.25">
      <c r="A124" s="421" t="s">
        <v>100</v>
      </c>
      <c r="B124" s="421">
        <v>5403</v>
      </c>
    </row>
    <row r="125" spans="1:2" x14ac:dyDescent="0.25">
      <c r="A125" s="421" t="s">
        <v>306</v>
      </c>
      <c r="B125" s="421">
        <v>5476</v>
      </c>
    </row>
    <row r="126" spans="1:2" x14ac:dyDescent="0.25">
      <c r="A126" s="421" t="s">
        <v>315</v>
      </c>
      <c r="B126" s="421">
        <v>5813</v>
      </c>
    </row>
    <row r="127" spans="1:2" x14ac:dyDescent="0.25">
      <c r="A127" s="421" t="s">
        <v>253</v>
      </c>
      <c r="B127" s="421">
        <v>5601</v>
      </c>
    </row>
    <row r="128" spans="1:2" x14ac:dyDescent="0.25">
      <c r="A128" s="421" t="s">
        <v>221</v>
      </c>
      <c r="B128" s="421">
        <v>5628</v>
      </c>
    </row>
    <row r="129" spans="1:2" x14ac:dyDescent="0.25">
      <c r="A129" s="421" t="s">
        <v>134</v>
      </c>
      <c r="B129" s="421">
        <v>5629</v>
      </c>
    </row>
    <row r="130" spans="1:2" x14ac:dyDescent="0.25">
      <c r="A130" s="421" t="s">
        <v>201</v>
      </c>
      <c r="B130" s="421">
        <v>5710</v>
      </c>
    </row>
    <row r="131" spans="1:2" x14ac:dyDescent="0.25">
      <c r="A131" s="421" t="s">
        <v>202</v>
      </c>
      <c r="B131" s="421">
        <v>5711</v>
      </c>
    </row>
    <row r="132" spans="1:2" x14ac:dyDescent="0.25">
      <c r="A132" s="421" t="s">
        <v>35</v>
      </c>
      <c r="B132" s="421">
        <v>5554</v>
      </c>
    </row>
    <row r="133" spans="1:2" x14ac:dyDescent="0.25">
      <c r="A133" s="421" t="s">
        <v>203</v>
      </c>
      <c r="B133" s="421">
        <v>5712</v>
      </c>
    </row>
    <row r="134" spans="1:2" x14ac:dyDescent="0.25">
      <c r="A134" s="421" t="s">
        <v>101</v>
      </c>
      <c r="B134" s="421">
        <v>5404</v>
      </c>
    </row>
    <row r="135" spans="1:2" x14ac:dyDescent="0.25">
      <c r="A135" s="421" t="s">
        <v>239</v>
      </c>
      <c r="B135" s="421">
        <v>5785</v>
      </c>
    </row>
    <row r="136" spans="1:2" x14ac:dyDescent="0.25">
      <c r="A136" s="421" t="s">
        <v>36</v>
      </c>
      <c r="B136" s="421">
        <v>5555</v>
      </c>
    </row>
    <row r="137" spans="1:2" x14ac:dyDescent="0.25">
      <c r="A137" s="421" t="s">
        <v>5</v>
      </c>
      <c r="B137" s="421">
        <v>5816</v>
      </c>
    </row>
    <row r="138" spans="1:2" x14ac:dyDescent="0.25">
      <c r="A138" s="421" t="s">
        <v>187</v>
      </c>
      <c r="B138" s="421">
        <v>5883</v>
      </c>
    </row>
    <row r="139" spans="1:2" x14ac:dyDescent="0.25">
      <c r="A139" s="421" t="s">
        <v>45</v>
      </c>
      <c r="B139" s="421">
        <v>5884</v>
      </c>
    </row>
    <row r="140" spans="1:2" x14ac:dyDescent="0.25">
      <c r="A140" s="421" t="s">
        <v>307</v>
      </c>
      <c r="B140" s="421">
        <v>5477</v>
      </c>
    </row>
    <row r="141" spans="1:2" x14ac:dyDescent="0.25">
      <c r="A141" s="421" t="s">
        <v>548</v>
      </c>
      <c r="B141" s="421">
        <v>5713</v>
      </c>
    </row>
    <row r="142" spans="1:2" x14ac:dyDescent="0.25">
      <c r="A142" s="421" t="s">
        <v>204</v>
      </c>
      <c r="B142" s="421">
        <v>5714</v>
      </c>
    </row>
    <row r="143" spans="1:2" x14ac:dyDescent="0.25">
      <c r="A143" s="421" t="s">
        <v>318</v>
      </c>
      <c r="B143" s="421">
        <v>5583</v>
      </c>
    </row>
    <row r="144" spans="1:2" x14ac:dyDescent="0.25">
      <c r="A144" s="421" t="s">
        <v>58</v>
      </c>
      <c r="B144" s="421">
        <v>5910</v>
      </c>
    </row>
    <row r="145" spans="1:2" x14ac:dyDescent="0.25">
      <c r="A145" s="421" t="s">
        <v>280</v>
      </c>
      <c r="B145" s="421">
        <v>5752</v>
      </c>
    </row>
    <row r="146" spans="1:2" x14ac:dyDescent="0.25">
      <c r="A146" s="421" t="s">
        <v>214</v>
      </c>
      <c r="B146" s="421">
        <v>5479</v>
      </c>
    </row>
    <row r="147" spans="1:2" x14ac:dyDescent="0.25">
      <c r="A147" s="421" t="s">
        <v>59</v>
      </c>
      <c r="B147" s="421">
        <v>5911</v>
      </c>
    </row>
    <row r="148" spans="1:2" x14ac:dyDescent="0.25">
      <c r="A148" s="421" t="s">
        <v>295</v>
      </c>
      <c r="B148" s="421">
        <v>5456</v>
      </c>
    </row>
    <row r="149" spans="1:2" x14ac:dyDescent="0.25">
      <c r="A149" s="421" t="s">
        <v>161</v>
      </c>
      <c r="B149" s="421">
        <v>5516</v>
      </c>
    </row>
    <row r="150" spans="1:2" x14ac:dyDescent="0.25">
      <c r="A150" s="421" t="s">
        <v>86</v>
      </c>
      <c r="B150" s="421">
        <v>5669</v>
      </c>
    </row>
    <row r="151" spans="1:2" x14ac:dyDescent="0.25">
      <c r="A151" s="421" t="s">
        <v>215</v>
      </c>
      <c r="B151" s="421">
        <v>5480</v>
      </c>
    </row>
    <row r="152" spans="1:2" x14ac:dyDescent="0.25">
      <c r="A152" s="421" t="s">
        <v>60</v>
      </c>
      <c r="B152" s="421">
        <v>5912</v>
      </c>
    </row>
    <row r="153" spans="1:2" x14ac:dyDescent="0.25">
      <c r="A153" s="421" t="s">
        <v>135</v>
      </c>
      <c r="B153" s="421">
        <v>5631</v>
      </c>
    </row>
    <row r="154" spans="1:2" x14ac:dyDescent="0.25">
      <c r="A154" s="421" t="s">
        <v>136</v>
      </c>
      <c r="B154" s="421">
        <v>5632</v>
      </c>
    </row>
    <row r="155" spans="1:2" x14ac:dyDescent="0.25">
      <c r="A155" s="421" t="s">
        <v>216</v>
      </c>
      <c r="B155" s="421">
        <v>5481</v>
      </c>
    </row>
    <row r="156" spans="1:2" x14ac:dyDescent="0.25">
      <c r="A156" s="421" t="s">
        <v>87</v>
      </c>
      <c r="B156" s="421">
        <v>5671</v>
      </c>
    </row>
    <row r="157" spans="1:2" x14ac:dyDescent="0.25">
      <c r="A157" s="421" t="s">
        <v>61</v>
      </c>
      <c r="B157" s="421">
        <v>5913</v>
      </c>
    </row>
    <row r="158" spans="1:2" x14ac:dyDescent="0.25">
      <c r="A158" s="421" t="s">
        <v>205</v>
      </c>
      <c r="B158" s="421">
        <v>5715</v>
      </c>
    </row>
    <row r="159" spans="1:2" x14ac:dyDescent="0.25">
      <c r="A159" s="421" t="s">
        <v>19</v>
      </c>
      <c r="B159" s="421">
        <v>5855</v>
      </c>
    </row>
    <row r="160" spans="1:2" x14ac:dyDescent="0.25">
      <c r="A160" s="421" t="s">
        <v>162</v>
      </c>
      <c r="B160" s="421">
        <v>5518</v>
      </c>
    </row>
    <row r="161" spans="1:2" x14ac:dyDescent="0.25">
      <c r="A161" s="421" t="s">
        <v>137</v>
      </c>
      <c r="B161" s="421">
        <v>5633</v>
      </c>
    </row>
    <row r="162" spans="1:2" x14ac:dyDescent="0.25">
      <c r="A162" s="421" t="s">
        <v>138</v>
      </c>
      <c r="B162" s="421">
        <v>5634</v>
      </c>
    </row>
    <row r="163" spans="1:2" x14ac:dyDescent="0.25">
      <c r="A163" s="421" t="s">
        <v>217</v>
      </c>
      <c r="B163" s="421">
        <v>5482</v>
      </c>
    </row>
    <row r="164" spans="1:2" x14ac:dyDescent="0.25">
      <c r="A164" s="421" t="s">
        <v>139</v>
      </c>
      <c r="B164" s="421">
        <v>5635</v>
      </c>
    </row>
    <row r="165" spans="1:2" x14ac:dyDescent="0.25">
      <c r="A165" s="421" t="s">
        <v>319</v>
      </c>
      <c r="B165" s="421">
        <v>5584</v>
      </c>
    </row>
    <row r="166" spans="1:2" x14ac:dyDescent="0.25">
      <c r="A166" s="421" t="s">
        <v>62</v>
      </c>
      <c r="B166" s="421">
        <v>5914</v>
      </c>
    </row>
    <row r="167" spans="1:2" x14ac:dyDescent="0.25">
      <c r="A167" s="421" t="s">
        <v>20</v>
      </c>
      <c r="B167" s="421">
        <v>5856</v>
      </c>
    </row>
    <row r="168" spans="1:2" x14ac:dyDescent="0.25">
      <c r="A168" s="421" t="s">
        <v>163</v>
      </c>
      <c r="B168" s="421">
        <v>5520</v>
      </c>
    </row>
    <row r="169" spans="1:2" x14ac:dyDescent="0.25">
      <c r="A169" s="421" t="s">
        <v>164</v>
      </c>
      <c r="B169" s="421">
        <v>5521</v>
      </c>
    </row>
    <row r="170" spans="1:2" x14ac:dyDescent="0.25">
      <c r="A170" s="421" t="s">
        <v>140</v>
      </c>
      <c r="B170" s="421">
        <v>5636</v>
      </c>
    </row>
    <row r="171" spans="1:2" x14ac:dyDescent="0.25">
      <c r="A171" s="421" t="s">
        <v>206</v>
      </c>
      <c r="B171" s="421">
        <v>5716</v>
      </c>
    </row>
    <row r="172" spans="1:2" x14ac:dyDescent="0.25">
      <c r="A172" s="421" t="s">
        <v>296</v>
      </c>
      <c r="B172" s="421">
        <v>5458</v>
      </c>
    </row>
    <row r="173" spans="1:2" x14ac:dyDescent="0.25">
      <c r="A173" s="421" t="s">
        <v>289</v>
      </c>
      <c r="B173" s="421">
        <v>5427</v>
      </c>
    </row>
    <row r="174" spans="1:2" x14ac:dyDescent="0.25">
      <c r="A174" s="421" t="s">
        <v>125</v>
      </c>
      <c r="B174" s="421">
        <v>5483</v>
      </c>
    </row>
    <row r="175" spans="1:2" x14ac:dyDescent="0.25">
      <c r="A175" s="421" t="s">
        <v>165</v>
      </c>
      <c r="B175" s="421">
        <v>5522</v>
      </c>
    </row>
    <row r="176" spans="1:2" x14ac:dyDescent="0.25">
      <c r="A176" s="421" t="s">
        <v>37</v>
      </c>
      <c r="B176" s="421">
        <v>5556</v>
      </c>
    </row>
    <row r="177" spans="1:2" x14ac:dyDescent="0.25">
      <c r="A177" s="421" t="s">
        <v>38</v>
      </c>
      <c r="B177" s="421">
        <v>5557</v>
      </c>
    </row>
    <row r="178" spans="1:2" x14ac:dyDescent="0.25">
      <c r="A178" s="421" t="s">
        <v>128</v>
      </c>
      <c r="B178" s="421">
        <v>5604</v>
      </c>
    </row>
    <row r="179" spans="1:2" x14ac:dyDescent="0.25">
      <c r="A179" s="421" t="s">
        <v>207</v>
      </c>
      <c r="B179" s="421">
        <v>5717</v>
      </c>
    </row>
    <row r="180" spans="1:2" x14ac:dyDescent="0.25">
      <c r="A180" s="421" t="s">
        <v>166</v>
      </c>
      <c r="B180" s="421">
        <v>5523</v>
      </c>
    </row>
    <row r="181" spans="1:2" x14ac:dyDescent="0.25">
      <c r="A181" s="421" t="s">
        <v>208</v>
      </c>
      <c r="B181" s="421">
        <v>5718</v>
      </c>
    </row>
    <row r="182" spans="1:2" x14ac:dyDescent="0.25">
      <c r="A182" s="421" t="s">
        <v>39</v>
      </c>
      <c r="B182" s="421">
        <v>5559</v>
      </c>
    </row>
    <row r="183" spans="1:2" x14ac:dyDescent="0.25">
      <c r="A183" s="421" t="s">
        <v>21</v>
      </c>
      <c r="B183" s="421">
        <v>5857</v>
      </c>
    </row>
    <row r="184" spans="1:2" x14ac:dyDescent="0.25">
      <c r="A184" s="421" t="s">
        <v>290</v>
      </c>
      <c r="B184" s="421">
        <v>5428</v>
      </c>
    </row>
    <row r="185" spans="1:2" x14ac:dyDescent="0.25">
      <c r="A185" s="421" t="s">
        <v>209</v>
      </c>
      <c r="B185" s="421">
        <v>5719</v>
      </c>
    </row>
    <row r="186" spans="1:2" x14ac:dyDescent="0.25">
      <c r="A186" s="421" t="s">
        <v>210</v>
      </c>
      <c r="B186" s="421">
        <v>5720</v>
      </c>
    </row>
    <row r="187" spans="1:2" x14ac:dyDescent="0.25">
      <c r="A187" s="421" t="s">
        <v>211</v>
      </c>
      <c r="B187" s="421">
        <v>5721</v>
      </c>
    </row>
    <row r="188" spans="1:2" x14ac:dyDescent="0.25">
      <c r="A188" s="421" t="s">
        <v>126</v>
      </c>
      <c r="B188" s="421">
        <v>5484</v>
      </c>
    </row>
    <row r="189" spans="1:2" x14ac:dyDescent="0.25">
      <c r="A189" s="421" t="s">
        <v>344</v>
      </c>
      <c r="B189" s="421">
        <v>5541</v>
      </c>
    </row>
    <row r="190" spans="1:2" x14ac:dyDescent="0.25">
      <c r="A190" s="421" t="s">
        <v>127</v>
      </c>
      <c r="B190" s="421">
        <v>5485</v>
      </c>
    </row>
    <row r="191" spans="1:2" x14ac:dyDescent="0.25">
      <c r="A191" s="421" t="s">
        <v>6</v>
      </c>
      <c r="B191" s="421">
        <v>5817</v>
      </c>
    </row>
    <row r="192" spans="1:2" x14ac:dyDescent="0.25">
      <c r="A192" s="421" t="s">
        <v>40</v>
      </c>
      <c r="B192" s="421">
        <v>5560</v>
      </c>
    </row>
    <row r="193" spans="1:2" x14ac:dyDescent="0.25">
      <c r="A193" s="421" t="s">
        <v>41</v>
      </c>
      <c r="B193" s="421">
        <v>5561</v>
      </c>
    </row>
    <row r="194" spans="1:2" x14ac:dyDescent="0.25">
      <c r="A194" s="421" t="s">
        <v>212</v>
      </c>
      <c r="B194" s="421">
        <v>5722</v>
      </c>
    </row>
    <row r="195" spans="1:2" x14ac:dyDescent="0.25">
      <c r="A195" s="421" t="s">
        <v>102</v>
      </c>
      <c r="B195" s="421">
        <v>5405</v>
      </c>
    </row>
    <row r="196" spans="1:2" x14ac:dyDescent="0.25">
      <c r="A196" s="421" t="s">
        <v>393</v>
      </c>
      <c r="B196" s="421">
        <v>5656</v>
      </c>
    </row>
    <row r="197" spans="1:2" x14ac:dyDescent="0.25">
      <c r="A197" s="421" t="s">
        <v>7</v>
      </c>
      <c r="B197" s="421">
        <v>5819</v>
      </c>
    </row>
    <row r="198" spans="1:2" x14ac:dyDescent="0.25">
      <c r="A198" s="421" t="s">
        <v>88</v>
      </c>
      <c r="B198" s="421">
        <v>5673</v>
      </c>
    </row>
    <row r="199" spans="1:2" x14ac:dyDescent="0.25">
      <c r="A199" s="421" t="s">
        <v>46</v>
      </c>
      <c r="B199" s="421">
        <v>5885</v>
      </c>
    </row>
    <row r="200" spans="1:2" x14ac:dyDescent="0.25">
      <c r="A200" s="421" t="s">
        <v>346</v>
      </c>
      <c r="B200" s="421">
        <v>5804</v>
      </c>
    </row>
    <row r="201" spans="1:2" x14ac:dyDescent="0.25">
      <c r="A201" s="421" t="s">
        <v>371</v>
      </c>
      <c r="B201" s="421">
        <v>5806</v>
      </c>
    </row>
    <row r="202" spans="1:2" x14ac:dyDescent="0.25">
      <c r="A202" s="421" t="s">
        <v>320</v>
      </c>
      <c r="B202" s="421">
        <v>5585</v>
      </c>
    </row>
    <row r="203" spans="1:2" x14ac:dyDescent="0.25">
      <c r="A203" s="421" t="s">
        <v>281</v>
      </c>
      <c r="B203" s="421">
        <v>5754</v>
      </c>
    </row>
    <row r="204" spans="1:2" x14ac:dyDescent="0.25">
      <c r="A204" s="421" t="s">
        <v>189</v>
      </c>
      <c r="B204" s="421">
        <v>5474</v>
      </c>
    </row>
    <row r="205" spans="1:2" x14ac:dyDescent="0.25">
      <c r="A205" s="421" t="s">
        <v>192</v>
      </c>
      <c r="B205" s="421">
        <v>5758</v>
      </c>
    </row>
    <row r="206" spans="1:2" x14ac:dyDescent="0.25">
      <c r="A206" s="421" t="s">
        <v>268</v>
      </c>
      <c r="B206" s="421">
        <v>5726</v>
      </c>
    </row>
    <row r="207" spans="1:2" x14ac:dyDescent="0.25">
      <c r="A207" s="421" t="s">
        <v>153</v>
      </c>
      <c r="B207" s="421">
        <v>5498</v>
      </c>
    </row>
    <row r="208" spans="1:2" x14ac:dyDescent="0.25">
      <c r="A208" s="421" t="s">
        <v>48</v>
      </c>
      <c r="B208" s="421">
        <v>5889</v>
      </c>
    </row>
    <row r="209" spans="1:2" x14ac:dyDescent="0.25">
      <c r="A209" s="421" t="s">
        <v>28</v>
      </c>
      <c r="B209" s="421">
        <v>5871</v>
      </c>
    </row>
    <row r="210" spans="1:2" x14ac:dyDescent="0.25">
      <c r="A210" s="421" t="s">
        <v>275</v>
      </c>
      <c r="B210" s="421">
        <v>5741</v>
      </c>
    </row>
    <row r="211" spans="1:2" x14ac:dyDescent="0.25">
      <c r="A211" s="421" t="s">
        <v>108</v>
      </c>
      <c r="B211" s="421">
        <v>5586</v>
      </c>
    </row>
    <row r="212" spans="1:2" x14ac:dyDescent="0.25">
      <c r="A212" s="421" t="s">
        <v>103</v>
      </c>
      <c r="B212" s="421">
        <v>5406</v>
      </c>
    </row>
    <row r="213" spans="1:2" x14ac:dyDescent="0.25">
      <c r="A213" s="421" t="s">
        <v>141</v>
      </c>
      <c r="B213" s="421">
        <v>5637</v>
      </c>
    </row>
    <row r="214" spans="1:2" x14ac:dyDescent="0.25">
      <c r="A214" s="421" t="s">
        <v>184</v>
      </c>
      <c r="B214" s="421">
        <v>5872</v>
      </c>
    </row>
    <row r="215" spans="1:2" x14ac:dyDescent="0.25">
      <c r="A215" s="421" t="s">
        <v>185</v>
      </c>
      <c r="B215" s="421">
        <v>5873</v>
      </c>
    </row>
    <row r="216" spans="1:2" x14ac:dyDescent="0.25">
      <c r="A216" s="421" t="s">
        <v>109</v>
      </c>
      <c r="B216" s="421">
        <v>5587</v>
      </c>
    </row>
    <row r="217" spans="1:2" x14ac:dyDescent="0.25">
      <c r="A217" s="421" t="s">
        <v>273</v>
      </c>
      <c r="B217" s="421">
        <v>5731</v>
      </c>
    </row>
    <row r="218" spans="1:2" x14ac:dyDescent="0.25">
      <c r="A218" s="421" t="s">
        <v>233</v>
      </c>
      <c r="B218" s="421">
        <v>5750</v>
      </c>
    </row>
    <row r="219" spans="1:2" x14ac:dyDescent="0.25">
      <c r="A219" s="421" t="s">
        <v>104</v>
      </c>
      <c r="B219" s="421">
        <v>5407</v>
      </c>
    </row>
    <row r="220" spans="1:2" x14ac:dyDescent="0.25">
      <c r="A220" s="421" t="s">
        <v>282</v>
      </c>
      <c r="B220" s="421">
        <v>5755</v>
      </c>
    </row>
    <row r="221" spans="1:2" x14ac:dyDescent="0.25">
      <c r="A221" s="421" t="s">
        <v>0</v>
      </c>
      <c r="B221" s="421">
        <v>5486</v>
      </c>
    </row>
    <row r="222" spans="1:2" x14ac:dyDescent="0.25">
      <c r="A222" s="421" t="s">
        <v>142</v>
      </c>
      <c r="B222" s="421">
        <v>5638</v>
      </c>
    </row>
    <row r="223" spans="1:2" x14ac:dyDescent="0.25">
      <c r="A223" s="421" t="s">
        <v>301</v>
      </c>
      <c r="B223" s="421">
        <v>5429</v>
      </c>
    </row>
    <row r="224" spans="1:2" x14ac:dyDescent="0.25">
      <c r="A224" s="421" t="s">
        <v>89</v>
      </c>
      <c r="B224" s="421">
        <v>5674</v>
      </c>
    </row>
    <row r="225" spans="1:2" x14ac:dyDescent="0.25">
      <c r="A225" s="421" t="s">
        <v>90</v>
      </c>
      <c r="B225" s="421">
        <v>5675</v>
      </c>
    </row>
    <row r="226" spans="1:2" x14ac:dyDescent="0.25">
      <c r="A226" s="421" t="s">
        <v>22</v>
      </c>
      <c r="B226" s="421">
        <v>5858</v>
      </c>
    </row>
    <row r="227" spans="1:2" x14ac:dyDescent="0.25">
      <c r="A227" s="421" t="s">
        <v>143</v>
      </c>
      <c r="B227" s="421">
        <v>5639</v>
      </c>
    </row>
    <row r="228" spans="1:2" x14ac:dyDescent="0.25">
      <c r="A228" s="421" t="s">
        <v>1</v>
      </c>
      <c r="B228" s="421">
        <v>5487</v>
      </c>
    </row>
    <row r="229" spans="1:2" x14ac:dyDescent="0.25">
      <c r="A229" s="421" t="s">
        <v>144</v>
      </c>
      <c r="B229" s="421">
        <v>5640</v>
      </c>
    </row>
    <row r="230" spans="1:2" x14ac:dyDescent="0.25">
      <c r="A230" s="421" t="s">
        <v>129</v>
      </c>
      <c r="B230" s="421">
        <v>5606</v>
      </c>
    </row>
    <row r="231" spans="1:2" x14ac:dyDescent="0.25">
      <c r="A231" s="421" t="s">
        <v>240</v>
      </c>
      <c r="B231" s="421">
        <v>5790</v>
      </c>
    </row>
    <row r="232" spans="1:2" x14ac:dyDescent="0.25">
      <c r="A232" s="421" t="s">
        <v>302</v>
      </c>
      <c r="B232" s="421">
        <v>5430</v>
      </c>
    </row>
    <row r="233" spans="1:2" x14ac:dyDescent="0.25">
      <c r="A233" s="421" t="s">
        <v>321</v>
      </c>
      <c r="B233" s="421">
        <v>5919</v>
      </c>
    </row>
    <row r="234" spans="1:2" x14ac:dyDescent="0.25">
      <c r="A234" s="421" t="s">
        <v>42</v>
      </c>
      <c r="B234" s="421">
        <v>5562</v>
      </c>
    </row>
    <row r="235" spans="1:2" x14ac:dyDescent="0.25">
      <c r="A235" s="421" t="s">
        <v>2</v>
      </c>
      <c r="B235" s="421">
        <v>5488</v>
      </c>
    </row>
    <row r="236" spans="1:2" x14ac:dyDescent="0.25">
      <c r="A236" s="421" t="s">
        <v>3</v>
      </c>
      <c r="B236" s="421">
        <v>5489</v>
      </c>
    </row>
    <row r="237" spans="1:2" x14ac:dyDescent="0.25">
      <c r="A237" s="421" t="s">
        <v>213</v>
      </c>
      <c r="B237" s="421">
        <v>5723</v>
      </c>
    </row>
    <row r="238" spans="1:2" x14ac:dyDescent="0.25">
      <c r="A238" s="421" t="s">
        <v>8</v>
      </c>
      <c r="B238" s="421">
        <v>5821</v>
      </c>
    </row>
    <row r="239" spans="1:2" x14ac:dyDescent="0.25">
      <c r="A239" s="421" t="s">
        <v>4</v>
      </c>
      <c r="B239" s="421">
        <v>5490</v>
      </c>
    </row>
    <row r="240" spans="1:2" x14ac:dyDescent="0.25">
      <c r="A240" s="421" t="s">
        <v>303</v>
      </c>
      <c r="B240" s="421">
        <v>5431</v>
      </c>
    </row>
    <row r="241" spans="1:2" x14ac:dyDescent="0.25">
      <c r="A241" s="421" t="s">
        <v>322</v>
      </c>
      <c r="B241" s="421">
        <v>5921</v>
      </c>
    </row>
    <row r="242" spans="1:2" x14ac:dyDescent="0.25">
      <c r="A242" s="421" t="s">
        <v>234</v>
      </c>
      <c r="B242" s="421">
        <v>5922</v>
      </c>
    </row>
    <row r="243" spans="1:2" x14ac:dyDescent="0.25">
      <c r="A243" s="421" t="s">
        <v>352</v>
      </c>
      <c r="B243" s="421">
        <v>5693</v>
      </c>
    </row>
    <row r="244" spans="1:2" x14ac:dyDescent="0.25">
      <c r="A244" s="421" t="s">
        <v>283</v>
      </c>
      <c r="B244" s="421">
        <v>5756</v>
      </c>
    </row>
    <row r="245" spans="1:2" x14ac:dyDescent="0.25">
      <c r="A245" s="421" t="s">
        <v>345</v>
      </c>
      <c r="B245" s="421">
        <v>5540</v>
      </c>
    </row>
    <row r="246" spans="1:2" x14ac:dyDescent="0.25">
      <c r="A246" s="421" t="s">
        <v>147</v>
      </c>
      <c r="B246" s="421">
        <v>5491</v>
      </c>
    </row>
    <row r="247" spans="1:2" x14ac:dyDescent="0.25">
      <c r="A247" s="421" t="s">
        <v>241</v>
      </c>
      <c r="B247" s="421">
        <v>5792</v>
      </c>
    </row>
    <row r="248" spans="1:2" x14ac:dyDescent="0.25">
      <c r="A248" s="421" t="s">
        <v>47</v>
      </c>
      <c r="B248" s="421">
        <v>5886</v>
      </c>
    </row>
    <row r="249" spans="1:2" x14ac:dyDescent="0.25">
      <c r="A249" s="421" t="s">
        <v>148</v>
      </c>
      <c r="B249" s="421">
        <v>5492</v>
      </c>
    </row>
    <row r="250" spans="1:2" x14ac:dyDescent="0.25">
      <c r="A250" s="421" t="s">
        <v>23</v>
      </c>
      <c r="B250" s="421">
        <v>5859</v>
      </c>
    </row>
    <row r="251" spans="1:2" x14ac:dyDescent="0.25">
      <c r="A251" s="421" t="s">
        <v>145</v>
      </c>
      <c r="B251" s="421">
        <v>5642</v>
      </c>
    </row>
    <row r="252" spans="1:2" x14ac:dyDescent="0.25">
      <c r="A252" s="421" t="s">
        <v>167</v>
      </c>
      <c r="B252" s="421">
        <v>5527</v>
      </c>
    </row>
    <row r="253" spans="1:2" x14ac:dyDescent="0.25">
      <c r="A253" s="421" t="s">
        <v>91</v>
      </c>
      <c r="B253" s="421">
        <v>5678</v>
      </c>
    </row>
    <row r="254" spans="1:2" x14ac:dyDescent="0.25">
      <c r="A254" s="421" t="s">
        <v>244</v>
      </c>
      <c r="B254" s="421">
        <v>5563</v>
      </c>
    </row>
    <row r="255" spans="1:2" x14ac:dyDescent="0.25">
      <c r="A255" s="421" t="s">
        <v>245</v>
      </c>
      <c r="B255" s="421">
        <v>5564</v>
      </c>
    </row>
    <row r="256" spans="1:2" x14ac:dyDescent="0.25">
      <c r="A256" s="421" t="s">
        <v>105</v>
      </c>
      <c r="B256" s="421">
        <v>5408</v>
      </c>
    </row>
    <row r="257" spans="1:2" x14ac:dyDescent="0.25">
      <c r="A257" s="421" t="s">
        <v>63</v>
      </c>
      <c r="B257" s="421">
        <v>5724</v>
      </c>
    </row>
    <row r="258" spans="1:2" x14ac:dyDescent="0.25">
      <c r="A258" s="421" t="s">
        <v>92</v>
      </c>
      <c r="B258" s="421">
        <v>5680</v>
      </c>
    </row>
    <row r="259" spans="1:2" x14ac:dyDescent="0.25">
      <c r="A259" s="421" t="s">
        <v>106</v>
      </c>
      <c r="B259" s="421">
        <v>5409</v>
      </c>
    </row>
    <row r="260" spans="1:2" x14ac:dyDescent="0.25">
      <c r="A260" s="421" t="s">
        <v>246</v>
      </c>
      <c r="B260" s="421">
        <v>5565</v>
      </c>
    </row>
    <row r="261" spans="1:2" x14ac:dyDescent="0.25">
      <c r="A261" s="421" t="s">
        <v>235</v>
      </c>
      <c r="B261" s="421">
        <v>5923</v>
      </c>
    </row>
    <row r="262" spans="1:2" x14ac:dyDescent="0.25">
      <c r="A262" s="421" t="s">
        <v>284</v>
      </c>
      <c r="B262" s="421">
        <v>5757</v>
      </c>
    </row>
    <row r="263" spans="1:2" x14ac:dyDescent="0.25">
      <c r="A263" s="421" t="s">
        <v>236</v>
      </c>
      <c r="B263" s="421">
        <v>5924</v>
      </c>
    </row>
    <row r="264" spans="1:2" x14ac:dyDescent="0.25">
      <c r="A264" s="421" t="s">
        <v>116</v>
      </c>
      <c r="B264" s="421">
        <v>5410</v>
      </c>
    </row>
    <row r="265" spans="1:2" x14ac:dyDescent="0.25">
      <c r="A265" s="421" t="s">
        <v>117</v>
      </c>
      <c r="B265" s="421">
        <v>5411</v>
      </c>
    </row>
    <row r="266" spans="1:2" x14ac:dyDescent="0.25">
      <c r="A266" s="421" t="s">
        <v>149</v>
      </c>
      <c r="B266" s="421">
        <v>5493</v>
      </c>
    </row>
    <row r="267" spans="1:2" x14ac:dyDescent="0.25">
      <c r="A267" s="421" t="s">
        <v>348</v>
      </c>
      <c r="B267" s="421">
        <v>5805</v>
      </c>
    </row>
    <row r="268" spans="1:2" x14ac:dyDescent="0.25">
      <c r="A268" s="421" t="s">
        <v>326</v>
      </c>
      <c r="B268" s="421">
        <v>5925</v>
      </c>
    </row>
    <row r="269" spans="1:2" x14ac:dyDescent="0.25">
      <c r="A269" s="421" t="s">
        <v>168</v>
      </c>
      <c r="B269" s="421">
        <v>5529</v>
      </c>
    </row>
    <row r="270" spans="1:2" x14ac:dyDescent="0.25">
      <c r="A270" s="421" t="s">
        <v>169</v>
      </c>
      <c r="B270" s="421">
        <v>5530</v>
      </c>
    </row>
    <row r="271" spans="1:2" x14ac:dyDescent="0.25">
      <c r="A271" s="421" t="s">
        <v>110</v>
      </c>
      <c r="B271" s="421">
        <v>5588</v>
      </c>
    </row>
    <row r="272" spans="1:2" x14ac:dyDescent="0.25">
      <c r="A272" s="421" t="s">
        <v>9</v>
      </c>
      <c r="B272" s="421">
        <v>5822</v>
      </c>
    </row>
    <row r="273" spans="1:2" x14ac:dyDescent="0.25">
      <c r="A273" s="421" t="s">
        <v>150</v>
      </c>
      <c r="B273" s="421">
        <v>5495</v>
      </c>
    </row>
    <row r="274" spans="1:2" x14ac:dyDescent="0.25">
      <c r="A274" s="421" t="s">
        <v>151</v>
      </c>
      <c r="B274" s="421">
        <v>5496</v>
      </c>
    </row>
    <row r="275" spans="1:2" x14ac:dyDescent="0.25">
      <c r="A275" s="421" t="s">
        <v>170</v>
      </c>
      <c r="B275" s="421">
        <v>5531</v>
      </c>
    </row>
    <row r="276" spans="1:2" x14ac:dyDescent="0.25">
      <c r="A276" s="421" t="s">
        <v>24</v>
      </c>
      <c r="B276" s="421">
        <v>5860</v>
      </c>
    </row>
    <row r="277" spans="1:2" x14ac:dyDescent="0.25">
      <c r="A277" s="421" t="s">
        <v>171</v>
      </c>
      <c r="B277" s="421">
        <v>5533</v>
      </c>
    </row>
    <row r="278" spans="1:2" x14ac:dyDescent="0.25">
      <c r="A278" s="421" t="s">
        <v>152</v>
      </c>
      <c r="B278" s="421">
        <v>5497</v>
      </c>
    </row>
    <row r="279" spans="1:2" x14ac:dyDescent="0.25">
      <c r="A279" s="421" t="s">
        <v>327</v>
      </c>
      <c r="B279" s="421">
        <v>5926</v>
      </c>
    </row>
    <row r="280" spans="1:2" x14ac:dyDescent="0.25">
      <c r="A280" s="421" t="s">
        <v>64</v>
      </c>
      <c r="B280" s="421">
        <v>5725</v>
      </c>
    </row>
    <row r="281" spans="1:2" x14ac:dyDescent="0.25">
      <c r="A281" s="421" t="s">
        <v>193</v>
      </c>
      <c r="B281" s="421">
        <v>5759</v>
      </c>
    </row>
    <row r="282" spans="1:2" x14ac:dyDescent="0.25">
      <c r="A282" s="421" t="s">
        <v>146</v>
      </c>
      <c r="B282" s="421">
        <v>5643</v>
      </c>
    </row>
    <row r="283" spans="1:2" x14ac:dyDescent="0.25">
      <c r="A283" s="421" t="s">
        <v>93</v>
      </c>
      <c r="B283" s="421">
        <v>5683</v>
      </c>
    </row>
    <row r="284" spans="1:2" x14ac:dyDescent="0.25">
      <c r="A284" s="421" t="s">
        <v>111</v>
      </c>
      <c r="B284" s="421">
        <v>5589</v>
      </c>
    </row>
    <row r="285" spans="1:2" x14ac:dyDescent="0.25">
      <c r="A285" s="421" t="s">
        <v>247</v>
      </c>
      <c r="B285" s="421">
        <v>5566</v>
      </c>
    </row>
    <row r="286" spans="1:2" x14ac:dyDescent="0.25">
      <c r="A286" s="421" t="s">
        <v>255</v>
      </c>
      <c r="B286" s="421">
        <v>5607</v>
      </c>
    </row>
    <row r="287" spans="1:2" x14ac:dyDescent="0.25">
      <c r="A287" s="421" t="s">
        <v>112</v>
      </c>
      <c r="B287" s="421">
        <v>5590</v>
      </c>
    </row>
    <row r="288" spans="1:2" x14ac:dyDescent="0.25">
      <c r="A288" s="421" t="s">
        <v>194</v>
      </c>
      <c r="B288" s="421">
        <v>5760</v>
      </c>
    </row>
    <row r="289" spans="1:2" x14ac:dyDescent="0.25">
      <c r="A289" s="421" t="s">
        <v>323</v>
      </c>
      <c r="B289" s="421">
        <v>5591</v>
      </c>
    </row>
    <row r="290" spans="1:2" x14ac:dyDescent="0.25">
      <c r="A290" s="421" t="s">
        <v>118</v>
      </c>
      <c r="B290" s="421">
        <v>5412</v>
      </c>
    </row>
    <row r="291" spans="1:2" x14ac:dyDescent="0.25">
      <c r="A291" s="421" t="s">
        <v>114</v>
      </c>
      <c r="B291" s="421">
        <v>5609</v>
      </c>
    </row>
    <row r="292" spans="1:2" x14ac:dyDescent="0.25">
      <c r="A292" s="421" t="s">
        <v>119</v>
      </c>
      <c r="B292" s="421">
        <v>5413</v>
      </c>
    </row>
    <row r="293" spans="1:2" x14ac:dyDescent="0.25">
      <c r="A293" s="421" t="s">
        <v>25</v>
      </c>
      <c r="B293" s="421">
        <v>5861</v>
      </c>
    </row>
    <row r="294" spans="1:2" x14ac:dyDescent="0.25">
      <c r="A294" s="421" t="s">
        <v>121</v>
      </c>
      <c r="B294" s="421">
        <v>5761</v>
      </c>
    </row>
    <row r="295" spans="1:2" x14ac:dyDescent="0.25">
      <c r="A295" s="421" t="s">
        <v>191</v>
      </c>
      <c r="B295" s="421">
        <v>5592</v>
      </c>
    </row>
    <row r="296" spans="1:2" x14ac:dyDescent="0.25">
      <c r="A296" s="421" t="s">
        <v>262</v>
      </c>
      <c r="B296" s="421">
        <v>5645</v>
      </c>
    </row>
    <row r="297" spans="1:2" x14ac:dyDescent="0.25">
      <c r="A297" s="421" t="s">
        <v>242</v>
      </c>
      <c r="B297" s="421">
        <v>5798</v>
      </c>
    </row>
    <row r="298" spans="1:2" x14ac:dyDescent="0.25">
      <c r="A298" s="421" t="s">
        <v>94</v>
      </c>
      <c r="B298" s="421">
        <v>5684</v>
      </c>
    </row>
    <row r="299" spans="1:2" x14ac:dyDescent="0.25">
      <c r="A299" s="421" t="s">
        <v>13</v>
      </c>
      <c r="B299" s="421">
        <v>5842</v>
      </c>
    </row>
    <row r="300" spans="1:2" x14ac:dyDescent="0.25">
      <c r="A300" s="421" t="s">
        <v>14</v>
      </c>
      <c r="B300" s="421">
        <v>5843</v>
      </c>
    </row>
    <row r="301" spans="1:2" x14ac:dyDescent="0.25">
      <c r="A301" s="421" t="s">
        <v>328</v>
      </c>
      <c r="B301" s="421">
        <v>5928</v>
      </c>
    </row>
    <row r="302" spans="1:2" x14ac:dyDescent="0.25">
      <c r="A302" s="421" t="s">
        <v>172</v>
      </c>
      <c r="B302" s="421">
        <v>5534</v>
      </c>
    </row>
    <row r="303" spans="1:2" x14ac:dyDescent="0.25">
      <c r="A303" s="421" t="s">
        <v>29</v>
      </c>
      <c r="B303" s="421">
        <v>5535</v>
      </c>
    </row>
    <row r="304" spans="1:2" x14ac:dyDescent="0.25">
      <c r="A304" s="421" t="s">
        <v>269</v>
      </c>
      <c r="B304" s="421">
        <v>5727</v>
      </c>
    </row>
    <row r="305" spans="1:2" x14ac:dyDescent="0.25">
      <c r="A305" s="421" t="s">
        <v>107</v>
      </c>
      <c r="B305" s="421">
        <v>5568</v>
      </c>
    </row>
    <row r="306" spans="1:2" x14ac:dyDescent="0.25">
      <c r="A306" s="421" t="s">
        <v>304</v>
      </c>
      <c r="B306" s="421">
        <v>5434</v>
      </c>
    </row>
    <row r="307" spans="1:2" x14ac:dyDescent="0.25">
      <c r="A307" s="421" t="s">
        <v>291</v>
      </c>
      <c r="B307" s="421">
        <v>5435</v>
      </c>
    </row>
    <row r="308" spans="1:2" x14ac:dyDescent="0.25">
      <c r="A308" s="421" t="s">
        <v>292</v>
      </c>
      <c r="B308" s="421">
        <v>5436</v>
      </c>
    </row>
    <row r="309" spans="1:2" x14ac:dyDescent="0.25">
      <c r="A309" s="421" t="s">
        <v>263</v>
      </c>
      <c r="B309" s="421">
        <v>5646</v>
      </c>
    </row>
    <row r="310" spans="1:2" x14ac:dyDescent="0.25">
      <c r="A310" s="421" t="s">
        <v>264</v>
      </c>
      <c r="B310" s="421">
        <v>5648</v>
      </c>
    </row>
    <row r="311" spans="1:2" x14ac:dyDescent="0.25">
      <c r="A311" s="421" t="s">
        <v>293</v>
      </c>
      <c r="B311" s="421">
        <v>5437</v>
      </c>
    </row>
    <row r="312" spans="1:2" x14ac:dyDescent="0.25">
      <c r="A312" s="421" t="s">
        <v>252</v>
      </c>
      <c r="B312" s="421">
        <v>5611</v>
      </c>
    </row>
    <row r="313" spans="1:2" x14ac:dyDescent="0.25">
      <c r="A313" s="421" t="s">
        <v>154</v>
      </c>
      <c r="B313" s="421">
        <v>5499</v>
      </c>
    </row>
    <row r="314" spans="1:2" x14ac:dyDescent="0.25">
      <c r="A314" s="421" t="s">
        <v>122</v>
      </c>
      <c r="B314" s="421">
        <v>5762</v>
      </c>
    </row>
    <row r="315" spans="1:2" x14ac:dyDescent="0.25">
      <c r="A315" s="421" t="s">
        <v>243</v>
      </c>
      <c r="B315" s="421">
        <v>5799</v>
      </c>
    </row>
    <row r="316" spans="1:2" x14ac:dyDescent="0.25">
      <c r="A316" s="421" t="s">
        <v>270</v>
      </c>
      <c r="B316" s="421">
        <v>5728</v>
      </c>
    </row>
    <row r="317" spans="1:2" x14ac:dyDescent="0.25">
      <c r="A317" s="421" t="s">
        <v>115</v>
      </c>
      <c r="B317" s="421">
        <v>5610</v>
      </c>
    </row>
    <row r="318" spans="1:2" x14ac:dyDescent="0.25">
      <c r="A318" s="421" t="s">
        <v>329</v>
      </c>
      <c r="B318" s="421">
        <v>5929</v>
      </c>
    </row>
    <row r="319" spans="1:2" x14ac:dyDescent="0.25">
      <c r="A319" s="421" t="s">
        <v>155</v>
      </c>
      <c r="B319" s="421">
        <v>5501</v>
      </c>
    </row>
    <row r="320" spans="1:2" x14ac:dyDescent="0.25">
      <c r="A320" s="421" t="s">
        <v>330</v>
      </c>
      <c r="B320" s="421">
        <v>5930</v>
      </c>
    </row>
    <row r="321" spans="1:2" x14ac:dyDescent="0.25">
      <c r="A321" s="421" t="s">
        <v>95</v>
      </c>
      <c r="B321" s="421">
        <v>5688</v>
      </c>
    </row>
    <row r="322" spans="1:2" x14ac:dyDescent="0.25">
      <c r="A322" s="421" t="s">
        <v>271</v>
      </c>
      <c r="B322" s="421">
        <v>5729</v>
      </c>
    </row>
    <row r="323" spans="1:2" x14ac:dyDescent="0.25">
      <c r="A323" s="421" t="s">
        <v>26</v>
      </c>
      <c r="B323" s="421">
        <v>5862</v>
      </c>
    </row>
    <row r="324" spans="1:2" x14ac:dyDescent="0.25">
      <c r="A324" s="421" t="s">
        <v>342</v>
      </c>
      <c r="B324" s="421">
        <v>5571</v>
      </c>
    </row>
    <row r="325" spans="1:2" x14ac:dyDescent="0.25">
      <c r="A325" s="421" t="s">
        <v>265</v>
      </c>
      <c r="B325" s="421">
        <v>5649</v>
      </c>
    </row>
    <row r="326" spans="1:2" x14ac:dyDescent="0.25">
      <c r="A326" s="421" t="s">
        <v>272</v>
      </c>
      <c r="B326" s="421">
        <v>5730</v>
      </c>
    </row>
    <row r="327" spans="1:2" x14ac:dyDescent="0.25">
      <c r="A327" s="421" t="s">
        <v>10</v>
      </c>
      <c r="B327" s="421">
        <v>5827</v>
      </c>
    </row>
    <row r="328" spans="1:2" x14ac:dyDescent="0.25">
      <c r="A328" s="421" t="s">
        <v>331</v>
      </c>
      <c r="B328" s="421">
        <v>5931</v>
      </c>
    </row>
    <row r="329" spans="1:2" x14ac:dyDescent="0.25">
      <c r="A329" s="421" t="s">
        <v>370</v>
      </c>
      <c r="B329" s="421">
        <v>5828</v>
      </c>
    </row>
    <row r="330" spans="1:2" x14ac:dyDescent="0.25">
      <c r="A330" s="421" t="s">
        <v>237</v>
      </c>
      <c r="B330" s="421">
        <v>5932</v>
      </c>
    </row>
    <row r="331" spans="1:2" x14ac:dyDescent="0.25">
      <c r="A331" s="421" t="s">
        <v>347</v>
      </c>
      <c r="B331" s="421">
        <v>5831</v>
      </c>
    </row>
    <row r="332" spans="1:2" x14ac:dyDescent="0.25">
      <c r="A332" s="421" t="s">
        <v>324</v>
      </c>
      <c r="B332" s="421">
        <v>5933</v>
      </c>
    </row>
    <row r="333" spans="1:2" x14ac:dyDescent="0.25">
      <c r="A333" s="421" t="s">
        <v>123</v>
      </c>
      <c r="B333" s="421">
        <v>5763</v>
      </c>
    </row>
    <row r="334" spans="1:2" x14ac:dyDescent="0.25">
      <c r="A334" s="421" t="s">
        <v>325</v>
      </c>
      <c r="B334" s="421">
        <v>5934</v>
      </c>
    </row>
    <row r="335" spans="1:2" x14ac:dyDescent="0.25">
      <c r="A335" s="421" t="s">
        <v>285</v>
      </c>
      <c r="B335" s="421">
        <v>5764</v>
      </c>
    </row>
    <row r="336" spans="1:2" x14ac:dyDescent="0.25">
      <c r="A336" s="421" t="s">
        <v>286</v>
      </c>
      <c r="B336" s="421">
        <v>5765</v>
      </c>
    </row>
    <row r="337" spans="1:2" x14ac:dyDescent="0.25">
      <c r="A337" s="421" t="s">
        <v>266</v>
      </c>
      <c r="B337" s="421">
        <v>5650</v>
      </c>
    </row>
    <row r="338" spans="1:2" x14ac:dyDescent="0.25">
      <c r="A338" s="421" t="s">
        <v>49</v>
      </c>
      <c r="B338" s="421">
        <v>5890</v>
      </c>
    </row>
    <row r="339" spans="1:2" x14ac:dyDescent="0.25">
      <c r="A339" s="421" t="s">
        <v>50</v>
      </c>
      <c r="B339" s="421">
        <v>5891</v>
      </c>
    </row>
    <row r="340" spans="1:2" x14ac:dyDescent="0.25">
      <c r="A340" s="421" t="s">
        <v>274</v>
      </c>
      <c r="B340" s="421">
        <v>5732</v>
      </c>
    </row>
    <row r="341" spans="1:2" x14ac:dyDescent="0.25">
      <c r="A341" s="421" t="s">
        <v>254</v>
      </c>
      <c r="B341" s="421">
        <v>5935</v>
      </c>
    </row>
    <row r="342" spans="1:2" x14ac:dyDescent="0.25">
      <c r="A342" s="421" t="s">
        <v>96</v>
      </c>
      <c r="B342" s="421">
        <v>5690</v>
      </c>
    </row>
    <row r="343" spans="1:2" x14ac:dyDescent="0.25">
      <c r="A343" s="421" t="s">
        <v>30</v>
      </c>
      <c r="B343" s="421">
        <v>5537</v>
      </c>
    </row>
    <row r="344" spans="1:2" x14ac:dyDescent="0.25">
      <c r="A344" s="421" t="s">
        <v>267</v>
      </c>
      <c r="B344" s="421">
        <v>5651</v>
      </c>
    </row>
    <row r="345" spans="1:2" x14ac:dyDescent="0.25">
      <c r="A345" s="421" t="s">
        <v>178</v>
      </c>
      <c r="B345" s="421">
        <v>5652</v>
      </c>
    </row>
    <row r="346" spans="1:2" x14ac:dyDescent="0.25">
      <c r="A346" s="421" t="s">
        <v>11</v>
      </c>
      <c r="B346" s="421">
        <v>5830</v>
      </c>
    </row>
    <row r="347" spans="1:2" x14ac:dyDescent="0.25">
      <c r="A347" s="421" t="s">
        <v>120</v>
      </c>
      <c r="B347" s="421">
        <v>5414</v>
      </c>
    </row>
    <row r="348" spans="1:2" x14ac:dyDescent="0.25">
      <c r="A348" s="421" t="s">
        <v>27</v>
      </c>
      <c r="B348" s="421">
        <v>5863</v>
      </c>
    </row>
    <row r="349" spans="1:2" x14ac:dyDescent="0.25">
      <c r="A349" s="421" t="s">
        <v>31</v>
      </c>
      <c r="B349" s="421">
        <v>5539</v>
      </c>
    </row>
    <row r="350" spans="1:2" x14ac:dyDescent="0.25">
      <c r="A350" s="421" t="s">
        <v>97</v>
      </c>
      <c r="B350" s="421">
        <v>5692</v>
      </c>
    </row>
    <row r="351" spans="1:2" x14ac:dyDescent="0.25">
      <c r="A351" s="421" t="s">
        <v>156</v>
      </c>
      <c r="B351" s="421">
        <v>5503</v>
      </c>
    </row>
    <row r="352" spans="1:2" x14ac:dyDescent="0.25">
      <c r="A352" s="421" t="s">
        <v>179</v>
      </c>
      <c r="B352" s="421">
        <v>5653</v>
      </c>
    </row>
    <row r="353" spans="1:2" x14ac:dyDescent="0.25">
      <c r="A353" s="421" t="s">
        <v>238</v>
      </c>
      <c r="B353" s="421">
        <v>5937</v>
      </c>
    </row>
    <row r="354" spans="1:2" x14ac:dyDescent="0.25">
      <c r="A354" s="421" t="s">
        <v>287</v>
      </c>
      <c r="B354" s="421">
        <v>5766</v>
      </c>
    </row>
    <row r="355" spans="1:2" x14ac:dyDescent="0.25">
      <c r="A355" s="421" t="s">
        <v>313</v>
      </c>
      <c r="B355" s="421">
        <v>5803</v>
      </c>
    </row>
    <row r="356" spans="1:2" x14ac:dyDescent="0.25">
      <c r="A356" s="421" t="s">
        <v>180</v>
      </c>
      <c r="B356" s="421">
        <v>5654</v>
      </c>
    </row>
    <row r="357" spans="1:2" x14ac:dyDescent="0.25">
      <c r="A357" s="421" t="s">
        <v>343</v>
      </c>
      <c r="B357" s="421">
        <v>5464</v>
      </c>
    </row>
    <row r="358" spans="1:2" x14ac:dyDescent="0.25">
      <c r="A358" s="421" t="s">
        <v>181</v>
      </c>
      <c r="B358" s="421">
        <v>5655</v>
      </c>
    </row>
    <row r="359" spans="1:2" x14ac:dyDescent="0.25">
      <c r="A359" s="421" t="s">
        <v>133</v>
      </c>
      <c r="B359" s="421">
        <v>5938</v>
      </c>
    </row>
    <row r="360" spans="1:2" x14ac:dyDescent="0.25">
      <c r="A360" s="421" t="s">
        <v>132</v>
      </c>
      <c r="B360" s="421">
        <v>5939</v>
      </c>
    </row>
    <row r="361" spans="1:2" x14ac:dyDescent="0.25">
      <c r="A361" s="421" t="s">
        <v>66</v>
      </c>
      <c r="B361" s="421">
        <v>5415</v>
      </c>
    </row>
    <row r="371" spans="2:2" x14ac:dyDescent="0.25">
      <c r="B371" s="428"/>
    </row>
    <row r="372" spans="2:2" x14ac:dyDescent="0.25">
      <c r="B372" s="428"/>
    </row>
    <row r="373" spans="2:2" x14ac:dyDescent="0.25">
      <c r="B373" s="428"/>
    </row>
    <row r="374" spans="2:2" x14ac:dyDescent="0.25">
      <c r="B374" s="428"/>
    </row>
    <row r="375" spans="2:2" x14ac:dyDescent="0.25">
      <c r="B375" s="428"/>
    </row>
    <row r="376" spans="2:2" x14ac:dyDescent="0.25">
      <c r="B376" s="428"/>
    </row>
    <row r="377" spans="2:2" x14ac:dyDescent="0.25">
      <c r="B377" s="428"/>
    </row>
    <row r="378" spans="2:2" x14ac:dyDescent="0.25">
      <c r="B378" s="428"/>
    </row>
    <row r="379" spans="2:2" x14ac:dyDescent="0.25">
      <c r="B379" s="428"/>
    </row>
    <row r="380" spans="2:2" x14ac:dyDescent="0.25">
      <c r="B380" s="428"/>
    </row>
    <row r="381" spans="2:2" x14ac:dyDescent="0.25">
      <c r="B381" s="428"/>
    </row>
    <row r="382" spans="2:2" x14ac:dyDescent="0.25">
      <c r="B382" s="428"/>
    </row>
    <row r="383" spans="2:2" x14ac:dyDescent="0.25">
      <c r="B383" s="428"/>
    </row>
    <row r="384" spans="2:2" x14ac:dyDescent="0.25">
      <c r="B384" s="428"/>
    </row>
    <row r="385" spans="2:2" x14ac:dyDescent="0.25">
      <c r="B385" s="428"/>
    </row>
    <row r="386" spans="2:2" x14ac:dyDescent="0.25">
      <c r="B386" s="428"/>
    </row>
    <row r="387" spans="2:2" x14ac:dyDescent="0.25">
      <c r="B387" s="428"/>
    </row>
    <row r="388" spans="2:2" x14ac:dyDescent="0.25">
      <c r="B388" s="428"/>
    </row>
    <row r="389" spans="2:2" x14ac:dyDescent="0.25">
      <c r="B389" s="428"/>
    </row>
    <row r="390" spans="2:2" x14ac:dyDescent="0.25">
      <c r="B390" s="428"/>
    </row>
    <row r="391" spans="2:2" x14ac:dyDescent="0.25">
      <c r="B391" s="428"/>
    </row>
    <row r="392" spans="2:2" x14ac:dyDescent="0.25">
      <c r="B392" s="428"/>
    </row>
    <row r="393" spans="2:2" x14ac:dyDescent="0.25">
      <c r="B393" s="428"/>
    </row>
    <row r="394" spans="2:2" x14ac:dyDescent="0.25">
      <c r="B394" s="428"/>
    </row>
    <row r="395" spans="2:2" x14ac:dyDescent="0.25">
      <c r="B395" s="428"/>
    </row>
    <row r="396" spans="2:2" x14ac:dyDescent="0.25">
      <c r="B396" s="428"/>
    </row>
    <row r="397" spans="2:2" x14ac:dyDescent="0.25">
      <c r="B397" s="428"/>
    </row>
    <row r="398" spans="2:2" x14ac:dyDescent="0.25">
      <c r="B398" s="428"/>
    </row>
    <row r="399" spans="2:2" x14ac:dyDescent="0.25">
      <c r="B399" s="428"/>
    </row>
    <row r="400" spans="2:2" x14ac:dyDescent="0.25">
      <c r="B400" s="428"/>
    </row>
    <row r="401" spans="2:2" x14ac:dyDescent="0.25">
      <c r="B401" s="428"/>
    </row>
    <row r="402" spans="2:2" x14ac:dyDescent="0.25">
      <c r="B402" s="428"/>
    </row>
    <row r="403" spans="2:2" x14ac:dyDescent="0.25">
      <c r="B403" s="428"/>
    </row>
    <row r="404" spans="2:2" x14ac:dyDescent="0.25">
      <c r="B404" s="428"/>
    </row>
    <row r="405" spans="2:2" x14ac:dyDescent="0.25">
      <c r="B405" s="428"/>
    </row>
    <row r="406" spans="2:2" x14ac:dyDescent="0.25">
      <c r="B406" s="428"/>
    </row>
    <row r="407" spans="2:2" x14ac:dyDescent="0.25">
      <c r="B407" s="428"/>
    </row>
    <row r="408" spans="2:2" x14ac:dyDescent="0.25">
      <c r="B408" s="428"/>
    </row>
    <row r="409" spans="2:2" x14ac:dyDescent="0.25">
      <c r="B409" s="428"/>
    </row>
    <row r="410" spans="2:2" x14ac:dyDescent="0.25">
      <c r="B410" s="428"/>
    </row>
    <row r="411" spans="2:2" x14ac:dyDescent="0.25">
      <c r="B411" s="428"/>
    </row>
    <row r="412" spans="2:2" x14ac:dyDescent="0.25">
      <c r="B412" s="428"/>
    </row>
    <row r="413" spans="2:2" x14ac:dyDescent="0.25">
      <c r="B413" s="428"/>
    </row>
    <row r="414" spans="2:2" x14ac:dyDescent="0.25">
      <c r="B414" s="428"/>
    </row>
    <row r="415" spans="2:2" x14ac:dyDescent="0.25">
      <c r="B415" s="428"/>
    </row>
    <row r="416" spans="2:2" x14ac:dyDescent="0.25">
      <c r="B416" s="428"/>
    </row>
    <row r="417" spans="2:2" x14ac:dyDescent="0.25">
      <c r="B417" s="428"/>
    </row>
    <row r="418" spans="2:2" x14ac:dyDescent="0.25">
      <c r="B418" s="428"/>
    </row>
    <row r="419" spans="2:2" x14ac:dyDescent="0.25">
      <c r="B419" s="428"/>
    </row>
    <row r="420" spans="2:2" x14ac:dyDescent="0.25">
      <c r="B420" s="428"/>
    </row>
    <row r="421" spans="2:2" x14ac:dyDescent="0.25">
      <c r="B421" s="428"/>
    </row>
    <row r="422" spans="2:2" x14ac:dyDescent="0.25">
      <c r="B422" s="428"/>
    </row>
    <row r="423" spans="2:2" x14ac:dyDescent="0.25">
      <c r="B423" s="428"/>
    </row>
    <row r="424" spans="2:2" x14ac:dyDescent="0.25">
      <c r="B424" s="428"/>
    </row>
    <row r="425" spans="2:2" x14ac:dyDescent="0.25">
      <c r="B425" s="428"/>
    </row>
    <row r="426" spans="2:2" x14ac:dyDescent="0.25">
      <c r="B426" s="428"/>
    </row>
    <row r="427" spans="2:2" x14ac:dyDescent="0.25">
      <c r="B427" s="428"/>
    </row>
    <row r="428" spans="2:2" x14ac:dyDescent="0.25">
      <c r="B428" s="428"/>
    </row>
    <row r="429" spans="2:2" x14ac:dyDescent="0.25">
      <c r="B429" s="428"/>
    </row>
    <row r="430" spans="2:2" x14ac:dyDescent="0.25">
      <c r="B430" s="428"/>
    </row>
    <row r="431" spans="2:2" x14ac:dyDescent="0.25">
      <c r="B431" s="428"/>
    </row>
    <row r="432" spans="2:2" x14ac:dyDescent="0.25">
      <c r="B432" s="428"/>
    </row>
    <row r="433" spans="2:2" x14ac:dyDescent="0.25">
      <c r="B433" s="428"/>
    </row>
    <row r="434" spans="2:2" x14ac:dyDescent="0.25">
      <c r="B434" s="428"/>
    </row>
    <row r="435" spans="2:2" x14ac:dyDescent="0.25">
      <c r="B435" s="428"/>
    </row>
    <row r="436" spans="2:2" x14ac:dyDescent="0.25">
      <c r="B436" s="428"/>
    </row>
    <row r="437" spans="2:2" x14ac:dyDescent="0.25">
      <c r="B437" s="428"/>
    </row>
    <row r="438" spans="2:2" x14ac:dyDescent="0.25">
      <c r="B438" s="428"/>
    </row>
    <row r="439" spans="2:2" x14ac:dyDescent="0.25">
      <c r="B439" s="428"/>
    </row>
    <row r="440" spans="2:2" x14ac:dyDescent="0.25">
      <c r="B440" s="428"/>
    </row>
    <row r="441" spans="2:2" x14ac:dyDescent="0.25">
      <c r="B441" s="428"/>
    </row>
    <row r="442" spans="2:2" x14ac:dyDescent="0.25">
      <c r="B442" s="428"/>
    </row>
    <row r="443" spans="2:2" x14ac:dyDescent="0.25">
      <c r="B443" s="428"/>
    </row>
    <row r="444" spans="2:2" x14ac:dyDescent="0.25">
      <c r="B444" s="428"/>
    </row>
    <row r="445" spans="2:2" x14ac:dyDescent="0.25">
      <c r="B445" s="428"/>
    </row>
    <row r="446" spans="2:2" x14ac:dyDescent="0.25">
      <c r="B446" s="428"/>
    </row>
    <row r="447" spans="2:2" x14ac:dyDescent="0.25">
      <c r="B447" s="428"/>
    </row>
    <row r="448" spans="2:2" x14ac:dyDescent="0.25">
      <c r="B448" s="428"/>
    </row>
    <row r="449" spans="2:2" x14ac:dyDescent="0.25">
      <c r="B449" s="428"/>
    </row>
    <row r="450" spans="2:2" x14ac:dyDescent="0.25">
      <c r="B450" s="428"/>
    </row>
    <row r="451" spans="2:2" x14ac:dyDescent="0.25">
      <c r="B451" s="428"/>
    </row>
    <row r="452" spans="2:2" x14ac:dyDescent="0.25">
      <c r="B452" s="428"/>
    </row>
    <row r="453" spans="2:2" x14ac:dyDescent="0.25">
      <c r="B453" s="428"/>
    </row>
    <row r="454" spans="2:2" x14ac:dyDescent="0.25">
      <c r="B454" s="428"/>
    </row>
    <row r="455" spans="2:2" x14ac:dyDescent="0.25">
      <c r="B455" s="428"/>
    </row>
    <row r="456" spans="2:2" x14ac:dyDescent="0.25">
      <c r="B456" s="428"/>
    </row>
    <row r="457" spans="2:2" x14ac:dyDescent="0.25">
      <c r="B457" s="428"/>
    </row>
    <row r="458" spans="2:2" x14ac:dyDescent="0.25">
      <c r="B458" s="428"/>
    </row>
    <row r="459" spans="2:2" x14ac:dyDescent="0.25">
      <c r="B459" s="428"/>
    </row>
    <row r="460" spans="2:2" x14ac:dyDescent="0.25">
      <c r="B460" s="428"/>
    </row>
    <row r="461" spans="2:2" x14ac:dyDescent="0.25">
      <c r="B461" s="428"/>
    </row>
    <row r="462" spans="2:2" x14ac:dyDescent="0.25">
      <c r="B462" s="428"/>
    </row>
    <row r="463" spans="2:2" x14ac:dyDescent="0.25">
      <c r="B463" s="428"/>
    </row>
    <row r="464" spans="2:2" x14ac:dyDescent="0.25">
      <c r="B464" s="428"/>
    </row>
    <row r="465" spans="2:2" x14ac:dyDescent="0.25">
      <c r="B465" s="428"/>
    </row>
    <row r="466" spans="2:2" x14ac:dyDescent="0.25">
      <c r="B466" s="428"/>
    </row>
    <row r="467" spans="2:2" x14ac:dyDescent="0.25">
      <c r="B467" s="428"/>
    </row>
    <row r="468" spans="2:2" x14ac:dyDescent="0.25">
      <c r="B468" s="428"/>
    </row>
    <row r="469" spans="2:2" x14ac:dyDescent="0.25">
      <c r="B469" s="428"/>
    </row>
    <row r="470" spans="2:2" x14ac:dyDescent="0.25">
      <c r="B470" s="428"/>
    </row>
    <row r="471" spans="2:2" x14ac:dyDescent="0.25">
      <c r="B471" s="428"/>
    </row>
    <row r="472" spans="2:2" x14ac:dyDescent="0.25">
      <c r="B472" s="428"/>
    </row>
    <row r="473" spans="2:2" x14ac:dyDescent="0.25">
      <c r="B473" s="428"/>
    </row>
    <row r="474" spans="2:2" x14ac:dyDescent="0.25">
      <c r="B474" s="428"/>
    </row>
    <row r="475" spans="2:2" x14ac:dyDescent="0.25">
      <c r="B475" s="428"/>
    </row>
    <row r="476" spans="2:2" x14ac:dyDescent="0.25">
      <c r="B476" s="428"/>
    </row>
    <row r="477" spans="2:2" x14ac:dyDescent="0.25">
      <c r="B477" s="428"/>
    </row>
    <row r="478" spans="2:2" x14ac:dyDescent="0.25">
      <c r="B478" s="428"/>
    </row>
    <row r="479" spans="2:2" x14ac:dyDescent="0.25">
      <c r="B479" s="428"/>
    </row>
    <row r="480" spans="2:2" x14ac:dyDescent="0.25">
      <c r="B480" s="428"/>
    </row>
    <row r="481" spans="2:2" x14ac:dyDescent="0.25">
      <c r="B481" s="428"/>
    </row>
    <row r="482" spans="2:2" x14ac:dyDescent="0.25">
      <c r="B482" s="428"/>
    </row>
    <row r="483" spans="2:2" x14ac:dyDescent="0.25">
      <c r="B483" s="428"/>
    </row>
    <row r="484" spans="2:2" x14ac:dyDescent="0.25">
      <c r="B484" s="428"/>
    </row>
    <row r="485" spans="2:2" x14ac:dyDescent="0.25">
      <c r="B485" s="428"/>
    </row>
    <row r="486" spans="2:2" x14ac:dyDescent="0.25">
      <c r="B486" s="428"/>
    </row>
    <row r="487" spans="2:2" x14ac:dyDescent="0.25">
      <c r="B487" s="428"/>
    </row>
    <row r="488" spans="2:2" x14ac:dyDescent="0.25">
      <c r="B488" s="428"/>
    </row>
    <row r="489" spans="2:2" x14ac:dyDescent="0.25">
      <c r="B489" s="428"/>
    </row>
    <row r="490" spans="2:2" x14ac:dyDescent="0.25">
      <c r="B490" s="428"/>
    </row>
    <row r="491" spans="2:2" x14ac:dyDescent="0.25">
      <c r="B491" s="428"/>
    </row>
    <row r="492" spans="2:2" x14ac:dyDescent="0.25">
      <c r="B492" s="428"/>
    </row>
    <row r="493" spans="2:2" x14ac:dyDescent="0.25">
      <c r="B493" s="428"/>
    </row>
    <row r="494" spans="2:2" x14ac:dyDescent="0.25">
      <c r="B494" s="428"/>
    </row>
    <row r="495" spans="2:2" x14ac:dyDescent="0.25">
      <c r="B495" s="428"/>
    </row>
    <row r="496" spans="2:2" x14ac:dyDescent="0.25">
      <c r="B496" s="428"/>
    </row>
    <row r="497" spans="2:2" x14ac:dyDescent="0.25">
      <c r="B497" s="428"/>
    </row>
    <row r="498" spans="2:2" x14ac:dyDescent="0.25">
      <c r="B498" s="428"/>
    </row>
    <row r="499" spans="2:2" x14ac:dyDescent="0.25">
      <c r="B499" s="428"/>
    </row>
    <row r="500" spans="2:2" x14ac:dyDescent="0.25">
      <c r="B500" s="428"/>
    </row>
    <row r="501" spans="2:2" x14ac:dyDescent="0.25">
      <c r="B501" s="428"/>
    </row>
    <row r="502" spans="2:2" x14ac:dyDescent="0.25">
      <c r="B502" s="428"/>
    </row>
    <row r="503" spans="2:2" x14ac:dyDescent="0.25">
      <c r="B503" s="428"/>
    </row>
    <row r="504" spans="2:2" x14ac:dyDescent="0.25">
      <c r="B504" s="428"/>
    </row>
    <row r="505" spans="2:2" x14ac:dyDescent="0.25">
      <c r="B505" s="428"/>
    </row>
    <row r="506" spans="2:2" x14ac:dyDescent="0.25">
      <c r="B506" s="428"/>
    </row>
    <row r="507" spans="2:2" x14ac:dyDescent="0.25">
      <c r="B507" s="428"/>
    </row>
    <row r="508" spans="2:2" x14ac:dyDescent="0.25">
      <c r="B508" s="428"/>
    </row>
    <row r="509" spans="2:2" x14ac:dyDescent="0.25">
      <c r="B509" s="428"/>
    </row>
    <row r="510" spans="2:2" x14ac:dyDescent="0.25">
      <c r="B510" s="428"/>
    </row>
    <row r="511" spans="2:2" x14ac:dyDescent="0.25">
      <c r="B511" s="428"/>
    </row>
    <row r="512" spans="2:2" x14ac:dyDescent="0.25">
      <c r="B512" s="428"/>
    </row>
    <row r="513" spans="2:2" x14ac:dyDescent="0.25">
      <c r="B513" s="428"/>
    </row>
    <row r="514" spans="2:2" x14ac:dyDescent="0.25">
      <c r="B514" s="428"/>
    </row>
    <row r="515" spans="2:2" x14ac:dyDescent="0.25">
      <c r="B515" s="428"/>
    </row>
    <row r="516" spans="2:2" x14ac:dyDescent="0.25">
      <c r="B516" s="428"/>
    </row>
    <row r="517" spans="2:2" x14ac:dyDescent="0.25">
      <c r="B517" s="428"/>
    </row>
    <row r="518" spans="2:2" x14ac:dyDescent="0.25">
      <c r="B518" s="428"/>
    </row>
    <row r="519" spans="2:2" x14ac:dyDescent="0.25">
      <c r="B519" s="428"/>
    </row>
    <row r="520" spans="2:2" x14ac:dyDescent="0.25">
      <c r="B520" s="428"/>
    </row>
    <row r="521" spans="2:2" x14ac:dyDescent="0.25">
      <c r="B521" s="428"/>
    </row>
    <row r="522" spans="2:2" x14ac:dyDescent="0.25">
      <c r="B522" s="428"/>
    </row>
    <row r="523" spans="2:2" x14ac:dyDescent="0.25">
      <c r="B523" s="428"/>
    </row>
    <row r="524" spans="2:2" x14ac:dyDescent="0.25">
      <c r="B524" s="428"/>
    </row>
    <row r="525" spans="2:2" x14ac:dyDescent="0.25">
      <c r="B525" s="428"/>
    </row>
    <row r="526" spans="2:2" x14ac:dyDescent="0.25">
      <c r="B526" s="428"/>
    </row>
    <row r="527" spans="2:2" x14ac:dyDescent="0.25">
      <c r="B527" s="428"/>
    </row>
    <row r="528" spans="2:2" x14ac:dyDescent="0.25">
      <c r="B528" s="428"/>
    </row>
    <row r="529" spans="2:2" x14ac:dyDescent="0.25">
      <c r="B529" s="428"/>
    </row>
    <row r="530" spans="2:2" x14ac:dyDescent="0.25">
      <c r="B530" s="428"/>
    </row>
    <row r="531" spans="2:2" x14ac:dyDescent="0.25">
      <c r="B531" s="428"/>
    </row>
    <row r="532" spans="2:2" x14ac:dyDescent="0.25">
      <c r="B532" s="428"/>
    </row>
    <row r="533" spans="2:2" x14ac:dyDescent="0.25">
      <c r="B533" s="428"/>
    </row>
    <row r="534" spans="2:2" x14ac:dyDescent="0.25">
      <c r="B534" s="428"/>
    </row>
    <row r="535" spans="2:2" x14ac:dyDescent="0.25">
      <c r="B535" s="428"/>
    </row>
    <row r="536" spans="2:2" x14ac:dyDescent="0.25">
      <c r="B536" s="428"/>
    </row>
    <row r="537" spans="2:2" x14ac:dyDescent="0.25">
      <c r="B537" s="428"/>
    </row>
  </sheetData>
  <sheetProtection sheet="1" objects="1" scenarios="1"/>
  <sortState xmlns:xlrd2="http://schemas.microsoft.com/office/spreadsheetml/2017/richdata2" ref="A62:B361">
    <sortCondition ref="A62:A361"/>
  </sortState>
  <mergeCells count="10">
    <mergeCell ref="C12:C14"/>
    <mergeCell ref="D4:H20"/>
    <mergeCell ref="I39:J39"/>
    <mergeCell ref="I40:J40"/>
    <mergeCell ref="E46:G46"/>
    <mergeCell ref="E48:G48"/>
    <mergeCell ref="I46:J46"/>
    <mergeCell ref="I47:J47"/>
    <mergeCell ref="E47:G47"/>
    <mergeCell ref="I45:J45"/>
  </mergeCells>
  <phoneticPr fontId="21" type="noConversion"/>
  <conditionalFormatting sqref="C50">
    <cfRule type="cellIs" dxfId="14" priority="2" operator="between">
      <formula>0.0001</formula>
      <formula>-0.0001</formula>
    </cfRule>
  </conditionalFormatting>
  <conditionalFormatting sqref="C16">
    <cfRule type="cellIs" dxfId="13" priority="1" operator="between">
      <formula>0.0001</formula>
      <formula>-0.0001</formula>
    </cfRule>
  </conditionalFormatting>
  <hyperlinks>
    <hyperlink ref="B1" location="'Table des matières'!A1" display="← Précédent" xr:uid="{D2BA6053-0976-40F7-8227-05DFF461E239}"/>
    <hyperlink ref="C1" location="'Table des matières'!A1" display="Table des matières" xr:uid="{8B4C0576-AED6-4CBB-9B94-F0C9D36FE0A6}"/>
    <hyperlink ref="D1" location="Recherche!A1" display="Suivant →" xr:uid="{6A41D26C-1E16-43C0-9824-7CBF963FF2DC}"/>
  </hyperlinks>
  <printOptions horizontalCentered="1"/>
  <pageMargins left="0" right="0" top="0" bottom="0"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3" tint="0.59999389629810485"/>
    <pageSetUpPr fitToPage="1"/>
  </sheetPr>
  <dimension ref="A1:L68"/>
  <sheetViews>
    <sheetView workbookViewId="0">
      <selection activeCell="C4" sqref="C4"/>
    </sheetView>
  </sheetViews>
  <sheetFormatPr baseColWidth="10" defaultColWidth="10.875" defaultRowHeight="15" x14ac:dyDescent="0.25"/>
  <cols>
    <col min="1" max="1" width="3.375" style="87" customWidth="1"/>
    <col min="2" max="2" width="17.125" style="87" customWidth="1"/>
    <col min="3" max="4" width="12.75" style="87" customWidth="1"/>
    <col min="5" max="6" width="12.75" style="89" customWidth="1"/>
    <col min="7" max="7" width="11.75" style="649" bestFit="1" customWidth="1"/>
    <col min="8" max="8" width="11.75" style="87" bestFit="1" customWidth="1"/>
    <col min="9" max="9" width="11.5" style="87" customWidth="1"/>
    <col min="10" max="16384" width="10.875" style="87"/>
  </cols>
  <sheetData>
    <row r="1" spans="1:9" ht="26.25" x14ac:dyDescent="0.4">
      <c r="A1" s="201" t="s">
        <v>519</v>
      </c>
      <c r="B1" s="201"/>
      <c r="E1" s="418" t="s">
        <v>402</v>
      </c>
      <c r="F1" s="419" t="s">
        <v>394</v>
      </c>
      <c r="G1" s="647" t="s">
        <v>403</v>
      </c>
    </row>
    <row r="3" spans="1:9" s="90" customFormat="1" ht="26.25" x14ac:dyDescent="0.4">
      <c r="B3" s="93"/>
      <c r="C3" s="701" t="s">
        <v>272</v>
      </c>
      <c r="D3" s="701"/>
      <c r="E3" s="701"/>
      <c r="F3" s="91"/>
      <c r="G3" s="648"/>
    </row>
    <row r="6" spans="1:9" ht="18.75" x14ac:dyDescent="0.3">
      <c r="B6" s="700" t="str">
        <f>Paramètres!B4</f>
        <v>Décompte 2023</v>
      </c>
      <c r="C6" s="700"/>
      <c r="D6" s="700"/>
      <c r="E6" s="700"/>
      <c r="F6" s="700"/>
    </row>
    <row r="7" spans="1:9" s="116" customFormat="1" ht="18.75" x14ac:dyDescent="0.3">
      <c r="B7" s="700" t="str">
        <f>IF(C3=0,"",C3)</f>
        <v>Trélex</v>
      </c>
      <c r="C7" s="700"/>
      <c r="D7" s="700"/>
      <c r="E7" s="700"/>
      <c r="F7" s="700"/>
      <c r="G7" s="164"/>
    </row>
    <row r="8" spans="1:9" s="116" customFormat="1" ht="18" customHeight="1" x14ac:dyDescent="0.2">
      <c r="B8" s="653" t="str">
        <f>IFERROR(CONCATENATE("Population : ",TEXT(VLOOKUP($B$7,Synthèse!B5:D304,3,FALSE),"#'##0")),"saisir commune")</f>
        <v>Population : 1'447</v>
      </c>
      <c r="C8" s="114"/>
      <c r="D8" s="114"/>
      <c r="E8" s="115"/>
      <c r="F8" s="654" t="str">
        <f>IFERROR(CONCATENATE("N° OFS : ",VLOOKUP($B$7,Paramètres!A62:B361,2,FALSE)),"")</f>
        <v>N° OFS : 5730</v>
      </c>
      <c r="G8" s="164"/>
    </row>
    <row r="9" spans="1:9" s="116" customFormat="1" ht="15" customHeight="1" x14ac:dyDescent="0.2">
      <c r="B9" s="653" t="str">
        <f>IFERROR(CONCATENATE("Taux : ",VLOOKUP($B$7,Synthèse!B5:C304,2,FALSE)),"")</f>
        <v>Taux : 55.5</v>
      </c>
      <c r="C9" s="114"/>
      <c r="D9" s="114"/>
      <c r="E9" s="115"/>
      <c r="F9" s="139" t="str">
        <f>IFERROR(CONCATENATE("Valeur du point d'impôt péréquatif : ",TEXT(ROUND(VLOOKUP(B7,Ecrêtage!B6:M314,2,FALSE),0),"#'##0")),"")</f>
        <v>Valeur du point d'impôt péréquatif : 146'463</v>
      </c>
      <c r="G9" s="164"/>
    </row>
    <row r="10" spans="1:9" s="116" customFormat="1" ht="15" customHeight="1" x14ac:dyDescent="0.2">
      <c r="B10" s="114"/>
      <c r="C10" s="114"/>
      <c r="D10" s="114"/>
      <c r="E10" s="115"/>
      <c r="F10" s="139"/>
      <c r="G10" s="164"/>
      <c r="H10" s="141"/>
      <c r="I10" s="141"/>
    </row>
    <row r="11" spans="1:9" ht="15" customHeight="1" x14ac:dyDescent="0.35">
      <c r="B11" s="111" t="s">
        <v>411</v>
      </c>
      <c r="C11" s="66"/>
      <c r="D11" s="66"/>
      <c r="E11" s="92"/>
      <c r="F11" s="92"/>
    </row>
    <row r="12" spans="1:9" s="116" customFormat="1" ht="6" customHeight="1" x14ac:dyDescent="0.2">
      <c r="B12" s="114"/>
      <c r="C12" s="114"/>
      <c r="D12" s="114"/>
      <c r="E12" s="519"/>
      <c r="F12" s="638"/>
      <c r="G12" s="164"/>
    </row>
    <row r="13" spans="1:9" s="116" customFormat="1" ht="12.75" x14ac:dyDescent="0.2">
      <c r="B13" s="118" t="s">
        <v>349</v>
      </c>
      <c r="C13" s="114"/>
      <c r="D13" s="114"/>
      <c r="E13" s="519"/>
      <c r="F13" s="638"/>
      <c r="G13" s="164"/>
    </row>
    <row r="14" spans="1:9" s="116" customFormat="1" ht="12.75" x14ac:dyDescent="0.2">
      <c r="B14" s="114" t="s">
        <v>523</v>
      </c>
      <c r="C14" s="114"/>
      <c r="D14" s="114"/>
      <c r="E14" s="520">
        <f>IFERROR(VLOOKUP(C3,PCS!B12:E311,4,FALSE)*PCS!$E$11,"")</f>
        <v>242990.875</v>
      </c>
      <c r="F14" s="638"/>
      <c r="G14" s="164"/>
    </row>
    <row r="15" spans="1:9" s="116" customFormat="1" ht="12.75" x14ac:dyDescent="0.2">
      <c r="B15" s="114" t="s">
        <v>417</v>
      </c>
      <c r="C15" s="114"/>
      <c r="D15" s="114"/>
      <c r="E15" s="520">
        <f>IFERROR(VLOOKUP(C3,PCS!B12:D311,3,FALSE)*PCS!$D$11,"")</f>
        <v>5481.4350000000004</v>
      </c>
      <c r="F15" s="638">
        <f>IFERROR(E14+E15,"saisir commune")</f>
        <v>248472.31</v>
      </c>
      <c r="G15" s="164"/>
    </row>
    <row r="16" spans="1:9" s="116" customFormat="1" ht="6" customHeight="1" x14ac:dyDescent="0.2">
      <c r="B16" s="114"/>
      <c r="C16" s="114"/>
      <c r="D16" s="114"/>
      <c r="E16" s="519"/>
      <c r="F16" s="638"/>
      <c r="G16" s="164"/>
    </row>
    <row r="17" spans="2:8" s="116" customFormat="1" ht="12.75" x14ac:dyDescent="0.2">
      <c r="B17" s="118" t="s">
        <v>362</v>
      </c>
      <c r="C17" s="114"/>
      <c r="D17" s="114"/>
      <c r="E17" s="519"/>
      <c r="F17" s="638"/>
      <c r="G17" s="164"/>
    </row>
    <row r="18" spans="2:8" s="116" customFormat="1" ht="12.75" x14ac:dyDescent="0.2">
      <c r="B18" s="114" t="str">
        <f>IFERROR(CONCATENATE("Ecrêtage en points d'impôt: ",ROUND(VLOOKUP($C$3,Ecrêtage!B:L,11,FALSE),2)),"")</f>
        <v>Ecrêtage en points d'impôt: 17.47</v>
      </c>
      <c r="C18" s="114"/>
      <c r="D18" s="117"/>
      <c r="E18" s="519"/>
      <c r="F18" s="638">
        <f>IFERROR(VLOOKUP($B$7,Ecrêtage!B:M,12,FALSE),"")</f>
        <v>1403095.7667621267</v>
      </c>
      <c r="G18" s="164"/>
    </row>
    <row r="19" spans="2:8" s="116" customFormat="1" ht="6" customHeight="1" x14ac:dyDescent="0.2">
      <c r="B19" s="114"/>
      <c r="C19" s="114"/>
      <c r="D19" s="114"/>
      <c r="E19" s="519"/>
      <c r="F19" s="638"/>
      <c r="G19" s="164"/>
    </row>
    <row r="20" spans="2:8" s="116" customFormat="1" ht="12.75" x14ac:dyDescent="0.2">
      <c r="B20" s="118" t="s">
        <v>514</v>
      </c>
      <c r="C20" s="114"/>
      <c r="D20" s="114"/>
      <c r="E20" s="519"/>
      <c r="F20" s="638"/>
      <c r="G20" s="164"/>
    </row>
    <row r="21" spans="2:8" s="116" customFormat="1" ht="12.75" x14ac:dyDescent="0.2">
      <c r="B21" s="114" t="str">
        <f>CONCATENATE("Solde en points d'impôt: ",ROUND(PCS!H11,2))</f>
        <v>Solde en points d'impôt: 11.47</v>
      </c>
      <c r="C21" s="114"/>
      <c r="D21" s="114"/>
      <c r="E21" s="519"/>
      <c r="F21" s="638"/>
      <c r="G21" s="164"/>
    </row>
    <row r="22" spans="2:8" s="116" customFormat="1" ht="12.75" x14ac:dyDescent="0.2">
      <c r="B22" s="114" t="s">
        <v>366</v>
      </c>
      <c r="C22" s="114"/>
      <c r="D22" s="114"/>
      <c r="E22" s="519"/>
      <c r="F22" s="638">
        <f>IFERROR(VLOOKUP($C$3,PCS!B:H,7,FALSE),"")</f>
        <v>1679710.872656899</v>
      </c>
      <c r="G22" s="164"/>
    </row>
    <row r="23" spans="2:8" s="116" customFormat="1" ht="6" customHeight="1" x14ac:dyDescent="0.2">
      <c r="B23" s="114"/>
      <c r="C23" s="114"/>
      <c r="D23" s="114"/>
      <c r="E23" s="519"/>
      <c r="F23" s="639"/>
      <c r="G23" s="164"/>
    </row>
    <row r="24" spans="2:8" s="116" customFormat="1" ht="12.75" x14ac:dyDescent="0.2">
      <c r="B24" s="118" t="s">
        <v>379</v>
      </c>
      <c r="C24" s="114"/>
      <c r="D24" s="114"/>
      <c r="E24" s="519"/>
      <c r="F24" s="640">
        <f>IFERROR(F15+F18+F22,"saisir commune")</f>
        <v>3331278.9494190258</v>
      </c>
      <c r="G24" s="164"/>
      <c r="H24" s="163"/>
    </row>
    <row r="25" spans="2:8" s="116" customFormat="1" ht="6" customHeight="1" x14ac:dyDescent="0.2">
      <c r="B25" s="114"/>
      <c r="C25" s="114"/>
      <c r="D25" s="114"/>
      <c r="E25" s="519"/>
      <c r="F25" s="638"/>
      <c r="G25" s="164"/>
    </row>
    <row r="26" spans="2:8" ht="18" x14ac:dyDescent="0.35">
      <c r="B26" s="111" t="s">
        <v>369</v>
      </c>
      <c r="C26" s="66"/>
      <c r="D26" s="66"/>
      <c r="E26" s="521"/>
      <c r="F26" s="641"/>
    </row>
    <row r="27" spans="2:8" s="116" customFormat="1" ht="6" customHeight="1" x14ac:dyDescent="0.2">
      <c r="B27" s="114"/>
      <c r="C27" s="114"/>
      <c r="D27" s="114"/>
      <c r="E27" s="519"/>
      <c r="F27" s="638"/>
      <c r="G27" s="164"/>
    </row>
    <row r="28" spans="2:8" s="116" customFormat="1" ht="12.75" x14ac:dyDescent="0.2">
      <c r="B28" s="118" t="s">
        <v>498</v>
      </c>
      <c r="C28" s="114"/>
      <c r="D28" s="114"/>
      <c r="E28" s="519"/>
      <c r="F28" s="638">
        <f>IFERROR(VLOOKUP($B$7,'Péréquation directe'!B:K,4,FALSE),"")</f>
        <v>-295324.29577464785</v>
      </c>
      <c r="G28" s="164"/>
      <c r="H28" s="410"/>
    </row>
    <row r="29" spans="2:8" s="116" customFormat="1" ht="6" customHeight="1" x14ac:dyDescent="0.2">
      <c r="B29" s="114"/>
      <c r="C29" s="114"/>
      <c r="D29" s="114"/>
      <c r="E29" s="519"/>
      <c r="F29" s="638"/>
      <c r="G29" s="164"/>
    </row>
    <row r="30" spans="2:8" s="116" customFormat="1" ht="12.75" x14ac:dyDescent="0.2">
      <c r="B30" s="118" t="s">
        <v>499</v>
      </c>
      <c r="C30" s="114"/>
      <c r="D30" s="114"/>
      <c r="E30" s="519"/>
      <c r="F30" s="638">
        <f>IFERROR(VLOOKUP(B7,'Péréquation directe'!B:K,5,FALSE),"")</f>
        <v>0</v>
      </c>
      <c r="G30" s="164"/>
    </row>
    <row r="31" spans="2:8" s="116" customFormat="1" ht="6" customHeight="1" x14ac:dyDescent="0.2">
      <c r="B31" s="114"/>
      <c r="C31" s="114"/>
      <c r="D31" s="114"/>
      <c r="E31" s="519"/>
      <c r="F31" s="638"/>
      <c r="G31" s="164"/>
    </row>
    <row r="32" spans="2:8" s="116" customFormat="1" ht="12.75" x14ac:dyDescent="0.2">
      <c r="B32" s="118" t="s">
        <v>500</v>
      </c>
      <c r="C32" s="114"/>
      <c r="D32" s="114"/>
      <c r="E32" s="519"/>
      <c r="F32" s="638"/>
      <c r="G32" s="164"/>
    </row>
    <row r="33" spans="2:12" s="116" customFormat="1" ht="12.75" x14ac:dyDescent="0.2">
      <c r="B33" s="183" t="s">
        <v>383</v>
      </c>
      <c r="C33" s="182"/>
      <c r="D33" s="182"/>
      <c r="E33" s="522">
        <f>IFERROR(VLOOKUP(B7,DT!B:M,7,FALSE),"")</f>
        <v>0</v>
      </c>
      <c r="F33" s="642"/>
      <c r="G33" s="164"/>
    </row>
    <row r="34" spans="2:12" s="116" customFormat="1" ht="12.75" x14ac:dyDescent="0.2">
      <c r="B34" s="183" t="s">
        <v>384</v>
      </c>
      <c r="C34" s="182"/>
      <c r="D34" s="182"/>
      <c r="E34" s="522">
        <f>IFERROR(VLOOKUP(B7,DT!B:M,12,FALSE),"")</f>
        <v>0</v>
      </c>
      <c r="F34" s="638">
        <f>IFERROR(E33+E34,"saisir commune")</f>
        <v>0</v>
      </c>
      <c r="G34" s="164"/>
    </row>
    <row r="35" spans="2:12" s="116" customFormat="1" ht="6" customHeight="1" x14ac:dyDescent="0.2">
      <c r="B35" s="182"/>
      <c r="C35" s="182"/>
      <c r="D35" s="182"/>
      <c r="E35" s="523"/>
      <c r="F35" s="642"/>
      <c r="G35" s="164"/>
    </row>
    <row r="36" spans="2:12" s="116" customFormat="1" ht="12.75" x14ac:dyDescent="0.2">
      <c r="B36" s="118" t="s">
        <v>428</v>
      </c>
      <c r="C36" s="114"/>
      <c r="D36" s="114"/>
      <c r="E36" s="519"/>
      <c r="F36" s="638"/>
      <c r="G36" s="164"/>
    </row>
    <row r="37" spans="2:12" s="116" customFormat="1" ht="12.75" customHeight="1" x14ac:dyDescent="0.2">
      <c r="B37" s="114" t="s">
        <v>372</v>
      </c>
      <c r="C37" s="114"/>
      <c r="D37" s="114"/>
      <c r="E37" s="520">
        <f>IFERROR(VLOOKUP(B7,Effort!B:K,10,FALSE),"")</f>
        <v>0</v>
      </c>
      <c r="F37" s="638"/>
      <c r="G37" s="164"/>
      <c r="L37" s="179"/>
    </row>
    <row r="38" spans="2:12" s="116" customFormat="1" ht="12.75" customHeight="1" x14ac:dyDescent="0.2">
      <c r="B38" s="114" t="s">
        <v>364</v>
      </c>
      <c r="C38" s="114"/>
      <c r="D38" s="114"/>
      <c r="E38" s="520">
        <f>IFERROR(VLOOKUP(B7,Aide!B:I,8,FALSE),"")</f>
        <v>0</v>
      </c>
      <c r="F38" s="638"/>
      <c r="G38" s="164"/>
      <c r="L38" s="179"/>
    </row>
    <row r="39" spans="2:12" s="116" customFormat="1" ht="12.75" customHeight="1" x14ac:dyDescent="0.2">
      <c r="B39" s="114" t="s">
        <v>365</v>
      </c>
      <c r="C39" s="114"/>
      <c r="D39" s="114"/>
      <c r="E39" s="520">
        <f>IFERROR(VLOOKUP(B7,Taux!B:K,10,FALSE),"")</f>
        <v>0</v>
      </c>
      <c r="F39" s="638">
        <f>IFERROR(E37+E38+E39,"saisir commune")</f>
        <v>0</v>
      </c>
      <c r="G39" s="164"/>
      <c r="L39" s="179"/>
    </row>
    <row r="40" spans="2:12" s="116" customFormat="1" ht="6" customHeight="1" x14ac:dyDescent="0.2">
      <c r="B40" s="114"/>
      <c r="C40" s="114"/>
      <c r="D40" s="114"/>
      <c r="E40" s="519"/>
      <c r="F40" s="638"/>
      <c r="G40" s="164"/>
      <c r="L40" s="179"/>
    </row>
    <row r="41" spans="2:12" s="116" customFormat="1" ht="12.75" customHeight="1" x14ac:dyDescent="0.2">
      <c r="B41" s="118" t="s">
        <v>494</v>
      </c>
      <c r="C41" s="114"/>
      <c r="D41" s="114"/>
      <c r="E41" s="519"/>
      <c r="F41" s="638">
        <f>IFERROR(VLOOKUP(B7,'Péréquation directe'!B:J,9,FALSE),"saisir commune")</f>
        <v>2827767.692996548</v>
      </c>
      <c r="G41" s="164"/>
      <c r="L41" s="179"/>
    </row>
    <row r="42" spans="2:12" s="116" customFormat="1" ht="6" customHeight="1" x14ac:dyDescent="0.2">
      <c r="B42" s="114"/>
      <c r="C42" s="114"/>
      <c r="D42" s="114"/>
      <c r="E42" s="519"/>
      <c r="F42" s="639"/>
      <c r="G42" s="164"/>
      <c r="L42" s="179"/>
    </row>
    <row r="43" spans="2:12" s="116" customFormat="1" ht="12.75" x14ac:dyDescent="0.2">
      <c r="B43" s="118" t="s">
        <v>520</v>
      </c>
      <c r="C43" s="114"/>
      <c r="D43" s="114"/>
      <c r="E43" s="519"/>
      <c r="F43" s="640">
        <f>IFERROR(F34+F39+F30+F28+F41,"saisir commune")</f>
        <v>2532443.3972219001</v>
      </c>
      <c r="G43" s="164"/>
      <c r="H43" s="164"/>
    </row>
    <row r="44" spans="2:12" s="116" customFormat="1" ht="6" customHeight="1" x14ac:dyDescent="0.2">
      <c r="B44" s="114"/>
      <c r="C44" s="114"/>
      <c r="D44" s="114"/>
      <c r="E44" s="519"/>
      <c r="F44" s="638"/>
      <c r="G44" s="164"/>
    </row>
    <row r="45" spans="2:12" ht="18" x14ac:dyDescent="0.35">
      <c r="B45" s="111" t="s">
        <v>516</v>
      </c>
      <c r="C45" s="66"/>
      <c r="D45" s="66"/>
      <c r="E45" s="521"/>
      <c r="F45" s="641"/>
      <c r="G45" s="164"/>
      <c r="H45" s="116"/>
      <c r="I45" s="116"/>
      <c r="J45" s="116"/>
      <c r="K45" s="116"/>
    </row>
    <row r="46" spans="2:12" s="116" customFormat="1" ht="6" customHeight="1" x14ac:dyDescent="0.2">
      <c r="B46" s="114"/>
      <c r="C46" s="114"/>
      <c r="D46" s="114"/>
      <c r="E46" s="519"/>
      <c r="F46" s="638"/>
      <c r="G46" s="164"/>
    </row>
    <row r="47" spans="2:12" s="116" customFormat="1" ht="12.75" x14ac:dyDescent="0.2">
      <c r="B47" s="114" t="s">
        <v>515</v>
      </c>
      <c r="C47" s="114"/>
      <c r="D47" s="114"/>
      <c r="E47" s="520">
        <f>IFERROR(VLOOKUP(B7,Police!B:I,8,FALSE),"")</f>
        <v>132011.78800134215</v>
      </c>
      <c r="F47" s="638"/>
      <c r="G47" s="164"/>
    </row>
    <row r="48" spans="2:12" s="116" customFormat="1" ht="12.75" x14ac:dyDescent="0.2">
      <c r="B48" s="114" t="s">
        <v>517</v>
      </c>
      <c r="C48" s="114"/>
      <c r="D48" s="114"/>
      <c r="E48" s="520">
        <f>IFERROR(VLOOKUP(B7,Police!B:K,10,FALSE),"")</f>
        <v>164990.91556612373</v>
      </c>
      <c r="F48" s="638">
        <f>IFERROR(E47+E48,"saisir commune")</f>
        <v>297002.70356746588</v>
      </c>
      <c r="G48" s="164"/>
    </row>
    <row r="49" spans="2:8" s="116" customFormat="1" ht="12.75" x14ac:dyDescent="0.2">
      <c r="B49" s="114"/>
      <c r="C49" s="114"/>
      <c r="D49" s="114"/>
      <c r="E49" s="519"/>
      <c r="F49" s="639"/>
      <c r="G49" s="164"/>
    </row>
    <row r="50" spans="2:8" s="116" customFormat="1" ht="12.75" x14ac:dyDescent="0.2">
      <c r="B50" s="118" t="s">
        <v>518</v>
      </c>
      <c r="C50" s="114"/>
      <c r="D50" s="114"/>
      <c r="E50" s="519"/>
      <c r="F50" s="640">
        <f>F48</f>
        <v>297002.70356746588</v>
      </c>
      <c r="G50" s="164"/>
    </row>
    <row r="51" spans="2:8" s="116" customFormat="1" ht="6" customHeight="1" x14ac:dyDescent="0.2">
      <c r="B51" s="114"/>
      <c r="C51" s="114"/>
      <c r="D51" s="114"/>
      <c r="E51" s="519"/>
      <c r="F51" s="638"/>
      <c r="G51" s="164"/>
    </row>
    <row r="52" spans="2:8" ht="18" x14ac:dyDescent="0.35">
      <c r="B52" s="111" t="s">
        <v>412</v>
      </c>
      <c r="C52" s="66"/>
      <c r="D52" s="66"/>
      <c r="E52" s="521"/>
      <c r="F52" s="641"/>
    </row>
    <row r="53" spans="2:8" ht="6" customHeight="1" x14ac:dyDescent="0.25">
      <c r="B53" s="114"/>
      <c r="C53" s="114"/>
      <c r="D53" s="114"/>
      <c r="E53" s="524"/>
      <c r="F53" s="643"/>
    </row>
    <row r="54" spans="2:8" x14ac:dyDescent="0.25">
      <c r="B54" s="118" t="s">
        <v>373</v>
      </c>
      <c r="C54" s="114"/>
      <c r="D54" s="114"/>
      <c r="E54" s="524"/>
      <c r="F54" s="640">
        <f>IFERROR(+F24+F43+F50,"saisir commune")</f>
        <v>6160725.0502083916</v>
      </c>
      <c r="H54" s="621"/>
    </row>
    <row r="55" spans="2:8" ht="6" customHeight="1" x14ac:dyDescent="0.25">
      <c r="B55" s="114"/>
      <c r="C55" s="114"/>
      <c r="D55" s="114"/>
      <c r="E55" s="524"/>
      <c r="F55" s="524"/>
    </row>
    <row r="56" spans="2:8" ht="18" x14ac:dyDescent="0.35">
      <c r="B56" s="111" t="s">
        <v>374</v>
      </c>
      <c r="C56" s="66"/>
      <c r="D56" s="66"/>
      <c r="E56" s="516"/>
      <c r="F56" s="516"/>
      <c r="H56" s="650"/>
    </row>
    <row r="57" spans="2:8" ht="6" customHeight="1" x14ac:dyDescent="0.25">
      <c r="B57" s="114"/>
      <c r="C57" s="114"/>
      <c r="D57" s="114"/>
      <c r="E57" s="515"/>
      <c r="F57" s="515"/>
    </row>
    <row r="58" spans="2:8" ht="38.25" x14ac:dyDescent="0.25">
      <c r="B58" s="114"/>
      <c r="C58" s="184" t="s">
        <v>385</v>
      </c>
      <c r="D58" s="185" t="s">
        <v>391</v>
      </c>
      <c r="E58" s="517" t="s">
        <v>277</v>
      </c>
      <c r="F58" s="518" t="s">
        <v>521</v>
      </c>
    </row>
    <row r="59" spans="2:8" x14ac:dyDescent="0.25">
      <c r="B59" s="186" t="s">
        <v>386</v>
      </c>
      <c r="C59" s="525">
        <f>IFERROR(D59+E59+F59,"saisir commune")</f>
        <v>5752438.4700479489</v>
      </c>
      <c r="D59" s="526">
        <f>IFERROR(VLOOKUP($C$3,'Décompte vs acomptes'!B:K,2,FALSE),"")</f>
        <v>3348076.5163261089</v>
      </c>
      <c r="E59" s="526">
        <f>IFERROR(VLOOKUP($C$3,'Décompte vs acomptes'!B:K,5,FALSE),"")</f>
        <v>2123765.2851780467</v>
      </c>
      <c r="F59" s="527">
        <f>IFERROR(VLOOKUP($C$3,'Décompte vs acomptes'!B:K,8,FALSE),"")</f>
        <v>280596.66854379355</v>
      </c>
    </row>
    <row r="60" spans="2:8" x14ac:dyDescent="0.25">
      <c r="B60" s="186" t="s">
        <v>390</v>
      </c>
      <c r="C60" s="528">
        <f>IFERROR(D60+E60+F60,"saisir commune")</f>
        <v>6160725.0502083916</v>
      </c>
      <c r="D60" s="529">
        <f>IFERROR(VLOOKUP($C$3,'Décompte vs acomptes'!B:K,3,FALSE),"")</f>
        <v>3331278.9494190258</v>
      </c>
      <c r="E60" s="529">
        <f>IFERROR(VLOOKUP($C$3,'Décompte vs acomptes'!B:K,6,FALSE),"")</f>
        <v>2532443.3972219001</v>
      </c>
      <c r="F60" s="530">
        <f>IFERROR(VLOOKUP($C$3,'Décompte vs acomptes'!B:K,9,FALSE),"")</f>
        <v>297002.70356746588</v>
      </c>
    </row>
    <row r="61" spans="2:8" x14ac:dyDescent="0.25">
      <c r="B61" s="186" t="s">
        <v>522</v>
      </c>
      <c r="C61" s="525">
        <f>IFERROR(D61+E61+F61,"saisir commune")</f>
        <v>408286.58016044257</v>
      </c>
      <c r="D61" s="525">
        <f>IFERROR(VLOOKUP($C$3,'Décompte vs acomptes'!B:K,4,FALSE),"")</f>
        <v>-16797.56690708315</v>
      </c>
      <c r="E61" s="525">
        <f>IFERROR(VLOOKUP($C$3,'Décompte vs acomptes'!B:K,7,FALSE),"")</f>
        <v>408678.11204385338</v>
      </c>
      <c r="F61" s="525">
        <f>IFERROR(VLOOKUP($C$3,'Décompte vs acomptes'!B:K,10,FALSE),"")</f>
        <v>16406.035023672332</v>
      </c>
    </row>
    <row r="62" spans="2:8" x14ac:dyDescent="0.25">
      <c r="B62" s="156"/>
      <c r="C62" s="187" t="s">
        <v>387</v>
      </c>
      <c r="D62" s="156"/>
      <c r="E62" s="5"/>
      <c r="F62" s="5"/>
    </row>
    <row r="63" spans="2:8" x14ac:dyDescent="0.25">
      <c r="B63" s="702" t="s">
        <v>598</v>
      </c>
      <c r="C63" s="702"/>
      <c r="D63" s="702"/>
      <c r="E63" s="702"/>
      <c r="F63" s="702"/>
    </row>
    <row r="64" spans="2:8" x14ac:dyDescent="0.25">
      <c r="B64" s="702"/>
      <c r="C64" s="702"/>
      <c r="D64" s="702"/>
      <c r="E64" s="702"/>
      <c r="F64" s="702"/>
    </row>
    <row r="65" spans="2:6" x14ac:dyDescent="0.25">
      <c r="B65" s="702"/>
      <c r="C65" s="702"/>
      <c r="D65" s="702"/>
      <c r="E65" s="702"/>
      <c r="F65" s="702"/>
    </row>
    <row r="66" spans="2:6" ht="18.75" customHeight="1" x14ac:dyDescent="0.25">
      <c r="B66" s="702"/>
      <c r="C66" s="702"/>
      <c r="D66" s="702"/>
      <c r="E66" s="702"/>
      <c r="F66" s="702"/>
    </row>
    <row r="67" spans="2:6" x14ac:dyDescent="0.25">
      <c r="B67" s="702"/>
      <c r="C67" s="702"/>
      <c r="D67" s="702"/>
      <c r="E67" s="702"/>
      <c r="F67" s="702"/>
    </row>
    <row r="68" spans="2:6" x14ac:dyDescent="0.25">
      <c r="B68" s="702"/>
      <c r="C68" s="702"/>
      <c r="D68" s="702"/>
      <c r="E68" s="702"/>
      <c r="F68" s="702"/>
    </row>
  </sheetData>
  <protectedRanges>
    <protectedRange sqref="C3:E3" name="Plage1"/>
  </protectedRanges>
  <mergeCells count="4">
    <mergeCell ref="B6:F6"/>
    <mergeCell ref="B7:F7"/>
    <mergeCell ref="C3:E3"/>
    <mergeCell ref="B63:F68"/>
  </mergeCells>
  <hyperlinks>
    <hyperlink ref="E1" location="Paramètres!A1" display="← Précédent" xr:uid="{FE03BD52-2E50-449D-8467-C07D988C1344}"/>
    <hyperlink ref="F1" location="'Table des matières'!A1" display="Table des matières" xr:uid="{C79CD07B-15C7-47C2-BE7A-8F6831A4869A}"/>
    <hyperlink ref="G1" location="Données!A1" display="Suivant →" xr:uid="{1F267B1B-6376-4952-A290-5D9EB64616B0}"/>
  </hyperlinks>
  <printOptions horizontalCentered="1" verticalCentered="1"/>
  <pageMargins left="0.70866141732283472" right="0.70866141732283472" top="0.35433070866141736" bottom="0.35433070866141736" header="0.31496062992125984" footer="0.31496062992125984"/>
  <pageSetup paperSize="9" scale="9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311B9C-B1F5-4E57-8162-0ECA1A164850}">
          <x14:formula1>
            <xm:f>Paramètres!$A$62:$A$361</xm:f>
          </x14:formula1>
          <xm:sqref>C3:E3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3" tint="0.59999389629810485"/>
  </sheetPr>
  <dimension ref="A1:AX327"/>
  <sheetViews>
    <sheetView zoomScaleNormal="100" workbookViewId="0">
      <pane xSplit="2" ySplit="5" topLeftCell="C24" activePane="bottomRight" state="frozen"/>
      <selection pane="topRight" activeCell="C1" sqref="C1"/>
      <selection pane="bottomLeft" activeCell="A6" sqref="A6"/>
      <selection pane="bottomRight" activeCell="C6" sqref="C6"/>
    </sheetView>
  </sheetViews>
  <sheetFormatPr baseColWidth="10" defaultColWidth="8.625" defaultRowHeight="15" x14ac:dyDescent="0.25"/>
  <cols>
    <col min="1" max="1" width="8.5" style="575" customWidth="1"/>
    <col min="2" max="2" width="21.875" style="490" bestFit="1" customWidth="1"/>
    <col min="3" max="3" width="14.375" style="571" bestFit="1" customWidth="1"/>
    <col min="4" max="4" width="13" style="490" bestFit="1" customWidth="1"/>
    <col min="5" max="5" width="11.25" style="490" bestFit="1" customWidth="1"/>
    <col min="6" max="6" width="10.125" style="490" bestFit="1" customWidth="1"/>
    <col min="7" max="7" width="13.125" style="490" bestFit="1" customWidth="1"/>
    <col min="8" max="11" width="12.25" style="490" bestFit="1" customWidth="1"/>
    <col min="12" max="12" width="13.125" style="490" bestFit="1" customWidth="1"/>
    <col min="13" max="13" width="15.625" style="490" bestFit="1" customWidth="1"/>
    <col min="14" max="14" width="12.375" style="536" bestFit="1" customWidth="1"/>
    <col min="15" max="16" width="13.125" style="536" bestFit="1" customWidth="1"/>
    <col min="17" max="17" width="12.75" style="536" bestFit="1" customWidth="1"/>
    <col min="18" max="18" width="12.375" style="536" bestFit="1" customWidth="1"/>
    <col min="19" max="19" width="13.875" style="536" bestFit="1" customWidth="1"/>
    <col min="20" max="20" width="15.625" style="490" bestFit="1" customWidth="1"/>
    <col min="21" max="21" width="13.25" style="490" bestFit="1" customWidth="1"/>
    <col min="22" max="22" width="12" style="490" customWidth="1"/>
    <col min="23" max="23" width="13.625" style="490" bestFit="1" customWidth="1"/>
    <col min="24" max="24" width="9" style="490" bestFit="1" customWidth="1"/>
    <col min="25" max="25" width="11.25" style="490" bestFit="1" customWidth="1"/>
    <col min="26" max="26" width="11.125" style="536" bestFit="1" customWidth="1"/>
    <col min="27" max="27" width="3.625" style="490" customWidth="1"/>
    <col min="28" max="28" width="12.25" style="490" bestFit="1" customWidth="1"/>
    <col min="29" max="29" width="6.5" style="490" bestFit="1" customWidth="1"/>
    <col min="30" max="30" width="13" style="490" bestFit="1" customWidth="1"/>
    <col min="31" max="31" width="6.5" style="490" bestFit="1" customWidth="1"/>
    <col min="32" max="32" width="13.125" style="490" customWidth="1"/>
    <col min="33" max="34" width="11.5" style="490" customWidth="1"/>
    <col min="35" max="35" width="3.625" style="490" customWidth="1"/>
    <col min="36" max="36" width="9.25" style="490" customWidth="1"/>
    <col min="37" max="37" width="5.5" style="490" bestFit="1" customWidth="1"/>
    <col min="38" max="38" width="12.125" style="490" bestFit="1" customWidth="1"/>
    <col min="39" max="39" width="6.375" style="490" bestFit="1" customWidth="1"/>
    <col min="40" max="40" width="12.25" style="490" bestFit="1" customWidth="1"/>
    <col min="41" max="41" width="3.75" style="490" customWidth="1"/>
    <col min="42" max="42" width="16" style="490" customWidth="1"/>
    <col min="43" max="43" width="3.75" style="490" customWidth="1"/>
    <col min="44" max="44" width="10.125" style="490" customWidth="1"/>
    <col min="45" max="16384" width="8.625" style="490"/>
  </cols>
  <sheetData>
    <row r="1" spans="1:44" ht="26.25" x14ac:dyDescent="0.4">
      <c r="A1" s="531" t="str">
        <f>CONCATENATE("Données (",Paramètres!B5,")")</f>
        <v>Données (2023)</v>
      </c>
      <c r="B1" s="532"/>
      <c r="C1" s="533" t="s">
        <v>402</v>
      </c>
      <c r="D1" s="534" t="s">
        <v>394</v>
      </c>
      <c r="E1" s="535" t="s">
        <v>403</v>
      </c>
      <c r="F1" s="532"/>
      <c r="G1" s="532"/>
      <c r="H1" s="532"/>
      <c r="I1" s="532"/>
      <c r="J1" s="532"/>
      <c r="S1" s="537"/>
      <c r="V1" s="504"/>
      <c r="W1" s="490">
        <v>7300</v>
      </c>
      <c r="X1" s="538"/>
    </row>
    <row r="2" spans="1:44" ht="15.75" x14ac:dyDescent="0.25">
      <c r="A2" s="539" t="str">
        <f>Paramètres!B4</f>
        <v>Décompte 2023</v>
      </c>
      <c r="C2" s="540"/>
      <c r="D2" s="540"/>
      <c r="E2" s="540"/>
      <c r="F2" s="540"/>
      <c r="G2" s="540"/>
      <c r="H2" s="540"/>
      <c r="I2" s="540"/>
      <c r="J2" s="540"/>
      <c r="K2" s="540"/>
      <c r="L2" s="540"/>
      <c r="M2" s="540"/>
      <c r="N2" s="541"/>
      <c r="O2" s="541"/>
      <c r="P2" s="541"/>
      <c r="Q2" s="541"/>
      <c r="R2" s="541"/>
      <c r="S2" s="541"/>
      <c r="T2" s="540"/>
      <c r="U2" s="540"/>
      <c r="V2" s="540"/>
      <c r="W2" s="540">
        <f>+W1/X22</f>
        <v>100</v>
      </c>
      <c r="X2" s="540"/>
      <c r="Y2" s="540"/>
      <c r="Z2" s="540"/>
      <c r="AA2" s="540"/>
      <c r="AB2" s="540"/>
      <c r="AC2" s="540"/>
      <c r="AD2" s="540"/>
      <c r="AE2" s="540"/>
      <c r="AF2" s="540"/>
      <c r="AG2" s="540"/>
      <c r="AH2" s="540"/>
    </row>
    <row r="3" spans="1:44" x14ac:dyDescent="0.25">
      <c r="A3" s="542"/>
      <c r="B3" s="532"/>
      <c r="C3" s="543"/>
      <c r="D3" s="532"/>
      <c r="E3" s="532"/>
      <c r="F3" s="532"/>
      <c r="G3" s="532"/>
      <c r="H3" s="532"/>
      <c r="I3" s="532"/>
      <c r="J3" s="532"/>
      <c r="L3" s="544"/>
      <c r="S3" s="537"/>
      <c r="X3" s="538"/>
      <c r="AB3" s="707" t="s">
        <v>532</v>
      </c>
      <c r="AC3" s="708"/>
      <c r="AD3" s="708"/>
      <c r="AE3" s="708"/>
      <c r="AF3" s="709"/>
      <c r="AJ3" s="707" t="s">
        <v>457</v>
      </c>
      <c r="AK3" s="708"/>
      <c r="AL3" s="708"/>
      <c r="AM3" s="708"/>
      <c r="AN3" s="709"/>
    </row>
    <row r="4" spans="1:44" s="550" customFormat="1" ht="74.25" customHeight="1" x14ac:dyDescent="0.2">
      <c r="A4" s="713" t="s">
        <v>44</v>
      </c>
      <c r="B4" s="715" t="s">
        <v>392</v>
      </c>
      <c r="C4" s="545" t="s">
        <v>441</v>
      </c>
      <c r="D4" s="545" t="s">
        <v>442</v>
      </c>
      <c r="E4" s="546" t="s">
        <v>222</v>
      </c>
      <c r="F4" s="546" t="s">
        <v>223</v>
      </c>
      <c r="G4" s="651" t="s">
        <v>443</v>
      </c>
      <c r="H4" s="546" t="s">
        <v>444</v>
      </c>
      <c r="I4" s="546" t="s">
        <v>525</v>
      </c>
      <c r="J4" s="546" t="s">
        <v>413</v>
      </c>
      <c r="K4" s="546" t="s">
        <v>445</v>
      </c>
      <c r="L4" s="546" t="s">
        <v>312</v>
      </c>
      <c r="M4" s="546" t="s">
        <v>173</v>
      </c>
      <c r="N4" s="547" t="s">
        <v>174</v>
      </c>
      <c r="O4" s="547" t="s">
        <v>175</v>
      </c>
      <c r="P4" s="547" t="s">
        <v>176</v>
      </c>
      <c r="Q4" s="717" t="s">
        <v>336</v>
      </c>
      <c r="R4" s="547" t="s">
        <v>177</v>
      </c>
      <c r="S4" s="717" t="s">
        <v>414</v>
      </c>
      <c r="T4" s="546" t="s">
        <v>124</v>
      </c>
      <c r="U4" s="719" t="s">
        <v>218</v>
      </c>
      <c r="V4" s="719" t="s">
        <v>524</v>
      </c>
      <c r="W4" s="719" t="s">
        <v>219</v>
      </c>
      <c r="X4" s="545" t="s">
        <v>71</v>
      </c>
      <c r="Y4" s="719" t="s">
        <v>368</v>
      </c>
      <c r="Z4" s="548" t="s">
        <v>355</v>
      </c>
      <c r="AA4" s="549"/>
      <c r="AB4" s="710" t="s">
        <v>381</v>
      </c>
      <c r="AC4" s="711"/>
      <c r="AD4" s="710" t="s">
        <v>380</v>
      </c>
      <c r="AE4" s="711"/>
      <c r="AF4" s="705" t="s">
        <v>434</v>
      </c>
      <c r="AG4" s="705" t="s">
        <v>278</v>
      </c>
      <c r="AH4" s="705" t="s">
        <v>279</v>
      </c>
      <c r="AJ4" s="710" t="s">
        <v>382</v>
      </c>
      <c r="AK4" s="711"/>
      <c r="AL4" s="710" t="s">
        <v>380</v>
      </c>
      <c r="AM4" s="711"/>
      <c r="AN4" s="705" t="s">
        <v>426</v>
      </c>
      <c r="AP4" s="551" t="s">
        <v>489</v>
      </c>
      <c r="AR4" s="703" t="s">
        <v>435</v>
      </c>
    </row>
    <row r="5" spans="1:44" s="532" customFormat="1" x14ac:dyDescent="0.25">
      <c r="A5" s="714"/>
      <c r="B5" s="716"/>
      <c r="C5" s="552" t="s">
        <v>337</v>
      </c>
      <c r="D5" s="553" t="s">
        <v>338</v>
      </c>
      <c r="E5" s="554" t="s">
        <v>72</v>
      </c>
      <c r="F5" s="554" t="s">
        <v>73</v>
      </c>
      <c r="G5" s="554" t="s">
        <v>339</v>
      </c>
      <c r="H5" s="554" t="s">
        <v>340</v>
      </c>
      <c r="I5" s="554" t="s">
        <v>74</v>
      </c>
      <c r="J5" s="554" t="s">
        <v>75</v>
      </c>
      <c r="K5" s="554" t="s">
        <v>76</v>
      </c>
      <c r="L5" s="554" t="s">
        <v>77</v>
      </c>
      <c r="M5" s="554" t="s">
        <v>78</v>
      </c>
      <c r="N5" s="555" t="s">
        <v>79</v>
      </c>
      <c r="O5" s="555" t="s">
        <v>80</v>
      </c>
      <c r="P5" s="555" t="s">
        <v>81</v>
      </c>
      <c r="Q5" s="718"/>
      <c r="R5" s="555" t="s">
        <v>82</v>
      </c>
      <c r="S5" s="718"/>
      <c r="T5" s="554" t="s">
        <v>83</v>
      </c>
      <c r="U5" s="721"/>
      <c r="V5" s="721"/>
      <c r="W5" s="720"/>
      <c r="X5" s="556">
        <v>2023</v>
      </c>
      <c r="Y5" s="720"/>
      <c r="Z5" s="557">
        <v>43829</v>
      </c>
      <c r="AA5" s="549"/>
      <c r="AB5" s="558" t="s">
        <v>356</v>
      </c>
      <c r="AC5" s="558" t="s">
        <v>357</v>
      </c>
      <c r="AD5" s="558" t="s">
        <v>356</v>
      </c>
      <c r="AE5" s="558" t="s">
        <v>357</v>
      </c>
      <c r="AF5" s="712"/>
      <c r="AG5" s="712"/>
      <c r="AH5" s="706"/>
      <c r="AJ5" s="558" t="s">
        <v>356</v>
      </c>
      <c r="AK5" s="558" t="s">
        <v>357</v>
      </c>
      <c r="AL5" s="558" t="s">
        <v>356</v>
      </c>
      <c r="AM5" s="558" t="s">
        <v>357</v>
      </c>
      <c r="AN5" s="706"/>
      <c r="AP5" s="551" t="s">
        <v>477</v>
      </c>
      <c r="AR5" s="704"/>
    </row>
    <row r="6" spans="1:44" x14ac:dyDescent="0.25">
      <c r="A6" s="559">
        <v>5401</v>
      </c>
      <c r="B6" s="560" t="s">
        <v>224</v>
      </c>
      <c r="C6" s="488">
        <v>13168582.390000001</v>
      </c>
      <c r="D6" s="488">
        <v>1940197.04</v>
      </c>
      <c r="E6" s="488"/>
      <c r="F6" s="489"/>
      <c r="G6" s="488">
        <v>1191716.2</v>
      </c>
      <c r="H6" s="488">
        <v>232994.2</v>
      </c>
      <c r="I6" s="488">
        <v>27519.06</v>
      </c>
      <c r="J6" s="488">
        <v>656151.53</v>
      </c>
      <c r="K6" s="488">
        <v>283986</v>
      </c>
      <c r="L6" s="488">
        <v>2439296.6</v>
      </c>
      <c r="M6" s="367">
        <f t="shared" ref="M6:M65" si="0">SUM(C6:L6)</f>
        <v>19940443.02</v>
      </c>
      <c r="N6" s="492">
        <v>1603512.35</v>
      </c>
      <c r="O6" s="492">
        <v>89095.4</v>
      </c>
      <c r="P6" s="492">
        <v>964920.35</v>
      </c>
      <c r="Q6" s="492">
        <v>99047.35</v>
      </c>
      <c r="R6" s="492">
        <v>480046.15</v>
      </c>
      <c r="S6" s="488">
        <v>134327.16</v>
      </c>
      <c r="T6" s="367">
        <f t="shared" ref="T6:T65" si="1">SUM(M6:S6)</f>
        <v>23311391.780000001</v>
      </c>
      <c r="U6" s="490">
        <v>-360258.82</v>
      </c>
      <c r="V6" s="493"/>
      <c r="W6" s="493">
        <v>-10939.25</v>
      </c>
      <c r="X6" s="494">
        <v>66</v>
      </c>
      <c r="Y6" s="618">
        <v>1.2</v>
      </c>
      <c r="Z6" s="495">
        <v>11437</v>
      </c>
      <c r="AA6" s="561"/>
      <c r="AB6" s="503"/>
      <c r="AC6" s="330">
        <f>AB6/VPI!R6</f>
        <v>0</v>
      </c>
      <c r="AD6" s="332">
        <f>AF6-AB6</f>
        <v>0</v>
      </c>
      <c r="AE6" s="330">
        <f>AD6/VPI!R6</f>
        <v>0</v>
      </c>
      <c r="AF6" s="505"/>
      <c r="AG6" s="505"/>
      <c r="AH6" s="503"/>
      <c r="AI6" s="562"/>
      <c r="AJ6" s="507"/>
      <c r="AK6" s="330">
        <f>AJ6/VPI!R6</f>
        <v>0</v>
      </c>
      <c r="AL6" s="332">
        <f>AN6-AJ6</f>
        <v>0</v>
      </c>
      <c r="AM6" s="330">
        <f>AL6/VPI!R6</f>
        <v>0</v>
      </c>
      <c r="AN6" s="495"/>
      <c r="AO6" s="562"/>
      <c r="AP6" s="510">
        <v>-3.7084350213933859</v>
      </c>
      <c r="AR6" s="563">
        <v>1</v>
      </c>
    </row>
    <row r="7" spans="1:44" x14ac:dyDescent="0.25">
      <c r="A7" s="559">
        <v>5402</v>
      </c>
      <c r="B7" s="560" t="s">
        <v>225</v>
      </c>
      <c r="C7" s="488">
        <v>10067308.130000001</v>
      </c>
      <c r="D7" s="488">
        <v>1533140.93</v>
      </c>
      <c r="E7" s="488"/>
      <c r="F7" s="489"/>
      <c r="G7" s="488">
        <v>816816.55</v>
      </c>
      <c r="H7" s="488">
        <v>140121.45000000001</v>
      </c>
      <c r="I7" s="488">
        <v>27795.9</v>
      </c>
      <c r="J7" s="488">
        <v>440843.7</v>
      </c>
      <c r="K7" s="488">
        <v>149719.25</v>
      </c>
      <c r="L7" s="488">
        <v>1820137.05</v>
      </c>
      <c r="M7" s="367">
        <f t="shared" si="0"/>
        <v>14995882.960000001</v>
      </c>
      <c r="N7" s="492">
        <v>395860.15</v>
      </c>
      <c r="O7" s="492">
        <v>923116.8</v>
      </c>
      <c r="P7" s="492">
        <v>562438.80000000005</v>
      </c>
      <c r="Q7" s="492">
        <v>50002.46</v>
      </c>
      <c r="R7" s="492">
        <v>370708.15</v>
      </c>
      <c r="S7" s="488">
        <v>90223.79</v>
      </c>
      <c r="T7" s="367">
        <f t="shared" si="1"/>
        <v>17388233.109999999</v>
      </c>
      <c r="U7" s="490">
        <v>-377046.8</v>
      </c>
      <c r="V7" s="492"/>
      <c r="W7" s="492">
        <v>-3467.38</v>
      </c>
      <c r="X7" s="496">
        <v>71</v>
      </c>
      <c r="Y7" s="497">
        <v>1.25</v>
      </c>
      <c r="Z7" s="498">
        <v>8508</v>
      </c>
      <c r="AA7" s="561"/>
      <c r="AB7" s="503"/>
      <c r="AC7" s="330">
        <f>AB7/VPI!R7</f>
        <v>0</v>
      </c>
      <c r="AD7" s="332">
        <f t="shared" ref="AD7:AD70" si="2">AF7-AB7</f>
        <v>0</v>
      </c>
      <c r="AE7" s="330">
        <f>AD7/VPI!R7</f>
        <v>0</v>
      </c>
      <c r="AF7" s="503"/>
      <c r="AG7" s="503"/>
      <c r="AH7" s="503"/>
      <c r="AI7" s="562"/>
      <c r="AJ7" s="498"/>
      <c r="AK7" s="330">
        <f>AJ7/VPI!R7</f>
        <v>0</v>
      </c>
      <c r="AL7" s="332">
        <f t="shared" ref="AL7:AL70" si="3">AN7-AJ7</f>
        <v>0</v>
      </c>
      <c r="AM7" s="330">
        <f>AL7/VPI!R7</f>
        <v>0</v>
      </c>
      <c r="AN7" s="498"/>
      <c r="AO7" s="562"/>
      <c r="AP7" s="511">
        <v>-10.522280815883002</v>
      </c>
      <c r="AR7" s="564">
        <v>1</v>
      </c>
    </row>
    <row r="8" spans="1:44" x14ac:dyDescent="0.25">
      <c r="A8" s="559">
        <v>5403</v>
      </c>
      <c r="B8" s="560" t="s">
        <v>100</v>
      </c>
      <c r="C8" s="488">
        <v>609394.49</v>
      </c>
      <c r="D8" s="488">
        <v>90959.4</v>
      </c>
      <c r="E8" s="488"/>
      <c r="F8" s="489"/>
      <c r="G8" s="488">
        <v>12524.5</v>
      </c>
      <c r="H8" s="488">
        <v>1320.3</v>
      </c>
      <c r="I8" s="488"/>
      <c r="J8" s="488">
        <v>30927.59</v>
      </c>
      <c r="K8" s="488">
        <v>8151.1</v>
      </c>
      <c r="L8" s="488">
        <v>91253.2</v>
      </c>
      <c r="M8" s="367">
        <f t="shared" si="0"/>
        <v>844530.58</v>
      </c>
      <c r="N8" s="492">
        <v>6657.3</v>
      </c>
      <c r="O8" s="492">
        <v>11797.7</v>
      </c>
      <c r="P8" s="492">
        <v>17655</v>
      </c>
      <c r="Q8" s="492">
        <v>61669.24</v>
      </c>
      <c r="R8" s="492">
        <v>8952.9</v>
      </c>
      <c r="S8" s="488">
        <v>1305.3399999999999</v>
      </c>
      <c r="T8" s="367">
        <f t="shared" si="1"/>
        <v>952568.05999999994</v>
      </c>
      <c r="U8" s="490">
        <v>-50761.43</v>
      </c>
      <c r="V8" s="492"/>
      <c r="W8" s="492">
        <v>0</v>
      </c>
      <c r="X8" s="496">
        <v>65</v>
      </c>
      <c r="Y8" s="497">
        <v>1</v>
      </c>
      <c r="Z8" s="498">
        <v>519</v>
      </c>
      <c r="AA8" s="561"/>
      <c r="AB8" s="503"/>
      <c r="AC8" s="330">
        <f>AB8/VPI!R8</f>
        <v>0</v>
      </c>
      <c r="AD8" s="332">
        <f t="shared" si="2"/>
        <v>0</v>
      </c>
      <c r="AE8" s="330">
        <f>AD8/VPI!R8</f>
        <v>0</v>
      </c>
      <c r="AF8" s="503"/>
      <c r="AG8" s="503"/>
      <c r="AH8" s="503"/>
      <c r="AI8" s="562"/>
      <c r="AJ8" s="498"/>
      <c r="AK8" s="330">
        <f>AJ8/VPI!R8</f>
        <v>0</v>
      </c>
      <c r="AL8" s="332">
        <f t="shared" si="3"/>
        <v>0</v>
      </c>
      <c r="AM8" s="330">
        <f>AL8/VPI!R8</f>
        <v>0</v>
      </c>
      <c r="AN8" s="498"/>
      <c r="AO8" s="562"/>
      <c r="AP8" s="511">
        <v>10.662710227814005</v>
      </c>
      <c r="AR8" s="564">
        <v>0</v>
      </c>
    </row>
    <row r="9" spans="1:44" x14ac:dyDescent="0.25">
      <c r="A9" s="559">
        <v>5404</v>
      </c>
      <c r="B9" s="560" t="s">
        <v>101</v>
      </c>
      <c r="C9" s="488">
        <v>556492.56999999995</v>
      </c>
      <c r="D9" s="488">
        <v>129759.88</v>
      </c>
      <c r="E9" s="488"/>
      <c r="F9" s="489"/>
      <c r="G9" s="488">
        <v>147.19999999999999</v>
      </c>
      <c r="H9" s="488">
        <v>11687.4</v>
      </c>
      <c r="I9" s="488"/>
      <c r="J9" s="488">
        <v>7551.17</v>
      </c>
      <c r="K9" s="488">
        <v>1959.55</v>
      </c>
      <c r="L9" s="488">
        <v>139444.65</v>
      </c>
      <c r="M9" s="367">
        <f t="shared" si="0"/>
        <v>847042.42</v>
      </c>
      <c r="N9" s="492">
        <v>18878.900000000001</v>
      </c>
      <c r="O9" s="492">
        <v>67230.8</v>
      </c>
      <c r="P9" s="492">
        <v>38747.300000000003</v>
      </c>
      <c r="Q9" s="492">
        <v>3731.41</v>
      </c>
      <c r="R9" s="492">
        <v>37140.949999999997</v>
      </c>
      <c r="S9" s="488">
        <v>1115.81</v>
      </c>
      <c r="T9" s="367">
        <f t="shared" si="1"/>
        <v>1013887.5900000002</v>
      </c>
      <c r="U9" s="490">
        <v>-16026.78</v>
      </c>
      <c r="V9" s="492"/>
      <c r="W9" s="492">
        <v>-778.25</v>
      </c>
      <c r="X9" s="496">
        <v>74</v>
      </c>
      <c r="Y9" s="497">
        <v>1.5</v>
      </c>
      <c r="Z9" s="498">
        <v>464</v>
      </c>
      <c r="AA9" s="561"/>
      <c r="AB9" s="503"/>
      <c r="AC9" s="330">
        <f>AB9/VPI!R9</f>
        <v>0</v>
      </c>
      <c r="AD9" s="332">
        <f t="shared" si="2"/>
        <v>0</v>
      </c>
      <c r="AE9" s="330">
        <f>AD9/VPI!R9</f>
        <v>0</v>
      </c>
      <c r="AF9" s="503"/>
      <c r="AG9" s="503"/>
      <c r="AH9" s="503"/>
      <c r="AI9" s="562"/>
      <c r="AJ9" s="498"/>
      <c r="AK9" s="330">
        <f>AJ9/VPI!R9</f>
        <v>0</v>
      </c>
      <c r="AL9" s="332">
        <f t="shared" si="3"/>
        <v>0</v>
      </c>
      <c r="AM9" s="330">
        <f>AL9/VPI!R9</f>
        <v>0</v>
      </c>
      <c r="AN9" s="498"/>
      <c r="AO9" s="562"/>
      <c r="AP9" s="511">
        <v>7.7741990489343502</v>
      </c>
      <c r="AR9" s="564">
        <v>0</v>
      </c>
    </row>
    <row r="10" spans="1:44" x14ac:dyDescent="0.25">
      <c r="A10" s="559">
        <v>5405</v>
      </c>
      <c r="B10" s="560" t="s">
        <v>102</v>
      </c>
      <c r="C10" s="488">
        <v>3200796.91</v>
      </c>
      <c r="D10" s="488">
        <v>1492501.39</v>
      </c>
      <c r="E10" s="488"/>
      <c r="F10" s="489"/>
      <c r="G10" s="488">
        <v>38896.699999999997</v>
      </c>
      <c r="H10" s="488">
        <v>14496.65</v>
      </c>
      <c r="I10" s="488">
        <v>249890.35</v>
      </c>
      <c r="J10" s="488">
        <v>92231.75</v>
      </c>
      <c r="K10" s="488">
        <v>12014.55</v>
      </c>
      <c r="L10" s="514">
        <v>1261727.3500000001</v>
      </c>
      <c r="M10" s="367">
        <f t="shared" si="0"/>
        <v>6362555.6500000004</v>
      </c>
      <c r="N10" s="492">
        <v>3804.75</v>
      </c>
      <c r="O10" s="492">
        <v>60334.55</v>
      </c>
      <c r="P10" s="492">
        <v>586962.19999999995</v>
      </c>
      <c r="Q10" s="492">
        <v>5879.92</v>
      </c>
      <c r="R10" s="492">
        <v>560604.9</v>
      </c>
      <c r="S10" s="488">
        <v>5034.13</v>
      </c>
      <c r="T10" s="367">
        <f t="shared" si="1"/>
        <v>7585176.1000000006</v>
      </c>
      <c r="U10" s="490">
        <v>-122650.43</v>
      </c>
      <c r="V10" s="492"/>
      <c r="W10" s="492">
        <v>-9033.14</v>
      </c>
      <c r="X10" s="496">
        <v>73.5</v>
      </c>
      <c r="Y10" s="497">
        <v>1.5</v>
      </c>
      <c r="Z10" s="498">
        <v>1520</v>
      </c>
      <c r="AA10" s="561"/>
      <c r="AB10" s="503"/>
      <c r="AC10" s="330">
        <f>AB10/VPI!R10</f>
        <v>0</v>
      </c>
      <c r="AD10" s="332">
        <f t="shared" si="2"/>
        <v>0</v>
      </c>
      <c r="AE10" s="330">
        <f>AD10/VPI!R10</f>
        <v>0</v>
      </c>
      <c r="AF10" s="503"/>
      <c r="AG10" s="503"/>
      <c r="AH10" s="503"/>
      <c r="AI10" s="562"/>
      <c r="AJ10" s="498"/>
      <c r="AK10" s="330">
        <f>AJ10/VPI!R10</f>
        <v>0</v>
      </c>
      <c r="AL10" s="332">
        <f t="shared" si="3"/>
        <v>0</v>
      </c>
      <c r="AM10" s="330">
        <f>AL10/VPI!R10</f>
        <v>0</v>
      </c>
      <c r="AN10" s="498"/>
      <c r="AO10" s="562"/>
      <c r="AP10" s="511">
        <v>28.293388782445465</v>
      </c>
      <c r="AR10" s="564">
        <v>0</v>
      </c>
    </row>
    <row r="11" spans="1:44" x14ac:dyDescent="0.25">
      <c r="A11" s="559">
        <v>5406</v>
      </c>
      <c r="B11" s="560" t="s">
        <v>103</v>
      </c>
      <c r="C11" s="488">
        <v>1135424.48</v>
      </c>
      <c r="D11" s="488">
        <v>194507.67</v>
      </c>
      <c r="E11" s="488"/>
      <c r="F11" s="489"/>
      <c r="G11" s="488">
        <v>180379.1</v>
      </c>
      <c r="H11" s="488">
        <v>3400.95</v>
      </c>
      <c r="I11" s="488"/>
      <c r="J11" s="488">
        <v>45771.12</v>
      </c>
      <c r="K11" s="488">
        <v>10035</v>
      </c>
      <c r="L11" s="488">
        <v>211641.60000000001</v>
      </c>
      <c r="M11" s="367">
        <f t="shared" si="0"/>
        <v>1781159.9200000002</v>
      </c>
      <c r="N11" s="492">
        <v>16718.2</v>
      </c>
      <c r="O11" s="492">
        <v>128250</v>
      </c>
      <c r="P11" s="492">
        <v>43682</v>
      </c>
      <c r="Q11" s="492">
        <v>3259.95</v>
      </c>
      <c r="R11" s="492">
        <v>131444.35</v>
      </c>
      <c r="S11" s="488">
        <v>17327.490000000002</v>
      </c>
      <c r="T11" s="367">
        <f t="shared" si="1"/>
        <v>2121841.91</v>
      </c>
      <c r="U11" s="490">
        <v>-24221.62</v>
      </c>
      <c r="V11" s="492"/>
      <c r="W11" s="492">
        <v>-221.9</v>
      </c>
      <c r="X11" s="496">
        <v>71.5</v>
      </c>
      <c r="Y11" s="497">
        <v>1.3</v>
      </c>
      <c r="Z11" s="498">
        <v>1022</v>
      </c>
      <c r="AA11" s="561"/>
      <c r="AB11" s="503"/>
      <c r="AC11" s="330">
        <f>AB11/VPI!R11</f>
        <v>0</v>
      </c>
      <c r="AD11" s="332">
        <f t="shared" si="2"/>
        <v>0</v>
      </c>
      <c r="AE11" s="330">
        <f>AD11/VPI!R11</f>
        <v>0</v>
      </c>
      <c r="AF11" s="503"/>
      <c r="AG11" s="503"/>
      <c r="AH11" s="503"/>
      <c r="AI11" s="562"/>
      <c r="AJ11" s="498"/>
      <c r="AK11" s="330">
        <f>AJ11/VPI!R11</f>
        <v>0</v>
      </c>
      <c r="AL11" s="332">
        <f t="shared" si="3"/>
        <v>0</v>
      </c>
      <c r="AM11" s="330">
        <f>AL11/VPI!R11</f>
        <v>0</v>
      </c>
      <c r="AN11" s="498"/>
      <c r="AO11" s="562"/>
      <c r="AP11" s="511">
        <v>1.6465373952121412</v>
      </c>
      <c r="AR11" s="564">
        <v>0</v>
      </c>
    </row>
    <row r="12" spans="1:44" x14ac:dyDescent="0.25">
      <c r="A12" s="559">
        <v>5407</v>
      </c>
      <c r="B12" s="560" t="s">
        <v>104</v>
      </c>
      <c r="C12" s="488">
        <v>4763206.71</v>
      </c>
      <c r="D12" s="488">
        <v>1172363.44</v>
      </c>
      <c r="E12" s="488"/>
      <c r="F12" s="489"/>
      <c r="G12" s="488">
        <v>172355.8</v>
      </c>
      <c r="H12" s="488">
        <v>100018.4</v>
      </c>
      <c r="I12" s="488">
        <v>187522.6</v>
      </c>
      <c r="J12" s="488">
        <v>464228.15</v>
      </c>
      <c r="K12" s="488">
        <v>29975.3</v>
      </c>
      <c r="L12" s="488">
        <v>1289131.95</v>
      </c>
      <c r="M12" s="367">
        <f t="shared" si="0"/>
        <v>8178802.3500000006</v>
      </c>
      <c r="N12" s="492">
        <v>87649.75</v>
      </c>
      <c r="O12" s="492">
        <v>129881.2</v>
      </c>
      <c r="P12" s="492">
        <v>537788.55000000005</v>
      </c>
      <c r="Q12" s="492">
        <v>22628.61</v>
      </c>
      <c r="R12" s="492">
        <v>499042.15</v>
      </c>
      <c r="S12" s="488">
        <v>25680.48</v>
      </c>
      <c r="T12" s="367">
        <f t="shared" si="1"/>
        <v>9481473.0900000017</v>
      </c>
      <c r="U12" s="490">
        <v>-182520.01</v>
      </c>
      <c r="V12" s="492"/>
      <c r="W12" s="492">
        <v>-2553.98</v>
      </c>
      <c r="X12" s="496">
        <v>78</v>
      </c>
      <c r="Y12" s="497">
        <v>1.5</v>
      </c>
      <c r="Z12" s="498">
        <v>3729</v>
      </c>
      <c r="AA12" s="561"/>
      <c r="AB12" s="503"/>
      <c r="AC12" s="330">
        <f>AB12/VPI!R12</f>
        <v>0</v>
      </c>
      <c r="AD12" s="332">
        <f t="shared" si="2"/>
        <v>0</v>
      </c>
      <c r="AE12" s="330">
        <f>AD12/VPI!R12</f>
        <v>0</v>
      </c>
      <c r="AF12" s="503"/>
      <c r="AG12" s="503"/>
      <c r="AH12" s="503"/>
      <c r="AI12" s="562"/>
      <c r="AJ12" s="498"/>
      <c r="AK12" s="330">
        <f>AJ12/VPI!R12</f>
        <v>0</v>
      </c>
      <c r="AL12" s="332">
        <f t="shared" si="3"/>
        <v>0</v>
      </c>
      <c r="AM12" s="330">
        <f>AL12/VPI!R12</f>
        <v>0</v>
      </c>
      <c r="AN12" s="498"/>
      <c r="AO12" s="562"/>
      <c r="AP12" s="511">
        <v>-7.7586161772711018</v>
      </c>
      <c r="AR12" s="564">
        <v>0</v>
      </c>
    </row>
    <row r="13" spans="1:44" x14ac:dyDescent="0.25">
      <c r="A13" s="559">
        <v>5408</v>
      </c>
      <c r="B13" s="560" t="s">
        <v>105</v>
      </c>
      <c r="C13" s="488">
        <v>2005502.33</v>
      </c>
      <c r="D13" s="488">
        <v>281291.64</v>
      </c>
      <c r="E13" s="488"/>
      <c r="F13" s="489"/>
      <c r="G13" s="488">
        <v>281471.59999999998</v>
      </c>
      <c r="H13" s="488">
        <v>22710.6</v>
      </c>
      <c r="I13" s="488"/>
      <c r="J13" s="488">
        <v>35679.96</v>
      </c>
      <c r="K13" s="488">
        <v>28688.2</v>
      </c>
      <c r="L13" s="488">
        <v>533779.9</v>
      </c>
      <c r="M13" s="367">
        <f t="shared" si="0"/>
        <v>3189124.2300000004</v>
      </c>
      <c r="N13" s="492">
        <v>220901.65</v>
      </c>
      <c r="O13" s="492"/>
      <c r="P13" s="492">
        <v>299930.05</v>
      </c>
      <c r="Q13" s="492">
        <v>-8918.59</v>
      </c>
      <c r="R13" s="492">
        <v>121692.1</v>
      </c>
      <c r="S13" s="488">
        <v>28679.46</v>
      </c>
      <c r="T13" s="367">
        <f t="shared" si="1"/>
        <v>3851408.9000000004</v>
      </c>
      <c r="U13" s="490">
        <v>-13713.27</v>
      </c>
      <c r="V13" s="492"/>
      <c r="W13" s="492">
        <v>-3971</v>
      </c>
      <c r="X13" s="496">
        <v>75</v>
      </c>
      <c r="Y13" s="497">
        <v>1.5</v>
      </c>
      <c r="Z13" s="498">
        <v>1180</v>
      </c>
      <c r="AA13" s="561"/>
      <c r="AB13" s="503"/>
      <c r="AC13" s="330">
        <f>AB13/VPI!R13</f>
        <v>0</v>
      </c>
      <c r="AD13" s="332">
        <f t="shared" si="2"/>
        <v>0</v>
      </c>
      <c r="AE13" s="330">
        <f>AD13/VPI!R13</f>
        <v>0</v>
      </c>
      <c r="AF13" s="503"/>
      <c r="AG13" s="503"/>
      <c r="AH13" s="503"/>
      <c r="AI13" s="562"/>
      <c r="AJ13" s="498"/>
      <c r="AK13" s="330">
        <f>AJ13/VPI!R13</f>
        <v>0</v>
      </c>
      <c r="AL13" s="332">
        <f t="shared" si="3"/>
        <v>0</v>
      </c>
      <c r="AM13" s="330">
        <f>AL13/VPI!R13</f>
        <v>0</v>
      </c>
      <c r="AN13" s="498"/>
      <c r="AO13" s="562"/>
      <c r="AP13" s="511">
        <v>18.379807012226646</v>
      </c>
      <c r="AR13" s="564">
        <v>0</v>
      </c>
    </row>
    <row r="14" spans="1:44" x14ac:dyDescent="0.25">
      <c r="A14" s="559">
        <v>5409</v>
      </c>
      <c r="B14" s="560" t="s">
        <v>106</v>
      </c>
      <c r="C14" s="488">
        <v>14470618.76</v>
      </c>
      <c r="D14" s="488">
        <v>6428773.6100000003</v>
      </c>
      <c r="E14" s="488"/>
      <c r="F14" s="489"/>
      <c r="G14" s="488">
        <v>916114</v>
      </c>
      <c r="H14" s="488">
        <v>115716.75</v>
      </c>
      <c r="I14" s="488">
        <v>2553058.69</v>
      </c>
      <c r="J14" s="488">
        <v>823094.46</v>
      </c>
      <c r="K14" s="488">
        <v>136159.25</v>
      </c>
      <c r="L14" s="488">
        <v>4387021.4000000004</v>
      </c>
      <c r="M14" s="367">
        <f t="shared" si="0"/>
        <v>29830556.920000002</v>
      </c>
      <c r="N14" s="492">
        <v>105393.95</v>
      </c>
      <c r="O14" s="492">
        <v>602445.69999999995</v>
      </c>
      <c r="P14" s="492">
        <v>2505646.9500000002</v>
      </c>
      <c r="Q14" s="492">
        <v>136902.81</v>
      </c>
      <c r="R14" s="492">
        <v>1835836.75</v>
      </c>
      <c r="S14" s="488">
        <v>97284.96</v>
      </c>
      <c r="T14" s="367">
        <f t="shared" si="1"/>
        <v>35114068.039999999</v>
      </c>
      <c r="U14" s="490">
        <v>-318558.65000000002</v>
      </c>
      <c r="V14" s="492"/>
      <c r="W14" s="492">
        <v>-56297.45</v>
      </c>
      <c r="X14" s="496">
        <v>68</v>
      </c>
      <c r="Y14" s="497">
        <v>1.3</v>
      </c>
      <c r="Z14" s="498">
        <v>8137</v>
      </c>
      <c r="AA14" s="561"/>
      <c r="AB14" s="503"/>
      <c r="AC14" s="330">
        <f>AB14/VPI!R14</f>
        <v>0</v>
      </c>
      <c r="AD14" s="332">
        <f t="shared" si="2"/>
        <v>0</v>
      </c>
      <c r="AE14" s="330">
        <f>AD14/VPI!R14</f>
        <v>0</v>
      </c>
      <c r="AF14" s="503"/>
      <c r="AG14" s="503"/>
      <c r="AH14" s="503"/>
      <c r="AI14" s="562"/>
      <c r="AJ14" s="498"/>
      <c r="AK14" s="330">
        <f>AJ14/VPI!R14</f>
        <v>0</v>
      </c>
      <c r="AL14" s="332">
        <f t="shared" si="3"/>
        <v>0</v>
      </c>
      <c r="AM14" s="330">
        <f>AL14/VPI!R14</f>
        <v>0</v>
      </c>
      <c r="AN14" s="498"/>
      <c r="AO14" s="562"/>
      <c r="AP14" s="511">
        <v>22.271330169498974</v>
      </c>
      <c r="AR14" s="564">
        <v>1</v>
      </c>
    </row>
    <row r="15" spans="1:44" x14ac:dyDescent="0.25">
      <c r="A15" s="559">
        <v>5410</v>
      </c>
      <c r="B15" s="560" t="s">
        <v>116</v>
      </c>
      <c r="C15" s="488">
        <v>1786859.25</v>
      </c>
      <c r="D15" s="488">
        <v>565166.84</v>
      </c>
      <c r="E15" s="488"/>
      <c r="F15" s="489"/>
      <c r="G15" s="488">
        <v>29299.8</v>
      </c>
      <c r="H15" s="488">
        <v>4170.6499999999996</v>
      </c>
      <c r="I15" s="488"/>
      <c r="J15" s="488">
        <v>70403.03</v>
      </c>
      <c r="K15" s="488">
        <v>12130.5</v>
      </c>
      <c r="L15" s="488">
        <v>604736.69999999995</v>
      </c>
      <c r="M15" s="367">
        <f t="shared" si="0"/>
        <v>3072766.7699999996</v>
      </c>
      <c r="N15" s="492">
        <v>20832.099999999999</v>
      </c>
      <c r="O15" s="492">
        <v>72241.8</v>
      </c>
      <c r="P15" s="492">
        <v>172789.15</v>
      </c>
      <c r="Q15" s="492">
        <v>1518.08</v>
      </c>
      <c r="R15" s="492">
        <v>216587.8</v>
      </c>
      <c r="S15" s="488">
        <v>3155.72</v>
      </c>
      <c r="T15" s="367">
        <f t="shared" si="1"/>
        <v>3559891.4199999995</v>
      </c>
      <c r="U15" s="490">
        <v>-45404.29</v>
      </c>
      <c r="V15" s="492"/>
      <c r="W15" s="492">
        <v>-202.44</v>
      </c>
      <c r="X15" s="496">
        <v>77</v>
      </c>
      <c r="Y15" s="497">
        <v>1.5</v>
      </c>
      <c r="Z15" s="498">
        <v>1211</v>
      </c>
      <c r="AA15" s="561"/>
      <c r="AB15" s="503"/>
      <c r="AC15" s="330">
        <f>AB15/VPI!R15</f>
        <v>0</v>
      </c>
      <c r="AD15" s="332">
        <f t="shared" si="2"/>
        <v>0</v>
      </c>
      <c r="AE15" s="330">
        <f>AD15/VPI!R15</f>
        <v>0</v>
      </c>
      <c r="AF15" s="503"/>
      <c r="AG15" s="503"/>
      <c r="AH15" s="503"/>
      <c r="AI15" s="562"/>
      <c r="AJ15" s="498"/>
      <c r="AK15" s="330">
        <f>AJ15/VPI!R15</f>
        <v>0</v>
      </c>
      <c r="AL15" s="332">
        <f t="shared" si="3"/>
        <v>0</v>
      </c>
      <c r="AM15" s="330">
        <f>AL15/VPI!R15</f>
        <v>0</v>
      </c>
      <c r="AN15" s="498"/>
      <c r="AO15" s="562"/>
      <c r="AP15" s="511">
        <v>14.216483710450452</v>
      </c>
      <c r="AR15" s="564">
        <v>0</v>
      </c>
    </row>
    <row r="16" spans="1:44" x14ac:dyDescent="0.25">
      <c r="A16" s="559">
        <v>5411</v>
      </c>
      <c r="B16" s="560" t="s">
        <v>117</v>
      </c>
      <c r="C16" s="488">
        <v>3286338.86</v>
      </c>
      <c r="D16" s="488">
        <v>1367228.74</v>
      </c>
      <c r="E16" s="488"/>
      <c r="F16" s="489"/>
      <c r="G16" s="488">
        <v>110100</v>
      </c>
      <c r="H16" s="488">
        <v>20233.3</v>
      </c>
      <c r="I16" s="488">
        <v>229025</v>
      </c>
      <c r="J16" s="488">
        <v>175167.99</v>
      </c>
      <c r="K16" s="488">
        <v>-5518.75</v>
      </c>
      <c r="L16" s="488">
        <v>1314243</v>
      </c>
      <c r="M16" s="367">
        <f t="shared" si="0"/>
        <v>6496818.1399999997</v>
      </c>
      <c r="N16" s="492">
        <v>20208.349999999999</v>
      </c>
      <c r="O16" s="492">
        <v>130697.5</v>
      </c>
      <c r="P16" s="492">
        <v>506618.35</v>
      </c>
      <c r="Q16" s="492"/>
      <c r="R16" s="492">
        <v>416077.05</v>
      </c>
      <c r="S16" s="488">
        <v>12288.32</v>
      </c>
      <c r="T16" s="367">
        <f t="shared" si="1"/>
        <v>7582707.709999999</v>
      </c>
      <c r="U16" s="490">
        <v>-48745.96</v>
      </c>
      <c r="V16" s="492"/>
      <c r="W16" s="492">
        <v>-3221.29</v>
      </c>
      <c r="X16" s="496">
        <v>76</v>
      </c>
      <c r="Y16" s="497">
        <v>1.5</v>
      </c>
      <c r="Z16" s="498">
        <v>1427</v>
      </c>
      <c r="AA16" s="561"/>
      <c r="AB16" s="503"/>
      <c r="AC16" s="330">
        <f>AB16/VPI!R16</f>
        <v>0</v>
      </c>
      <c r="AD16" s="332">
        <f t="shared" si="2"/>
        <v>0</v>
      </c>
      <c r="AE16" s="330">
        <f>AD16/VPI!R16</f>
        <v>0</v>
      </c>
      <c r="AF16" s="503"/>
      <c r="AG16" s="503"/>
      <c r="AH16" s="503"/>
      <c r="AI16" s="562"/>
      <c r="AJ16" s="498"/>
      <c r="AK16" s="330">
        <f>AJ16/VPI!R16</f>
        <v>0</v>
      </c>
      <c r="AL16" s="332">
        <f t="shared" si="3"/>
        <v>0</v>
      </c>
      <c r="AM16" s="330">
        <f>AL16/VPI!R16</f>
        <v>0</v>
      </c>
      <c r="AN16" s="498"/>
      <c r="AO16" s="562"/>
      <c r="AP16" s="511">
        <v>28.481059125649072</v>
      </c>
      <c r="AR16" s="564">
        <v>0</v>
      </c>
    </row>
    <row r="17" spans="1:44" x14ac:dyDescent="0.25">
      <c r="A17" s="559">
        <v>5412</v>
      </c>
      <c r="B17" s="560" t="s">
        <v>118</v>
      </c>
      <c r="C17" s="488">
        <v>1153336.3899999999</v>
      </c>
      <c r="D17" s="488">
        <v>136878.91</v>
      </c>
      <c r="E17" s="488"/>
      <c r="F17" s="489"/>
      <c r="G17" s="488">
        <v>199359.95</v>
      </c>
      <c r="H17" s="488">
        <v>50345.8</v>
      </c>
      <c r="I17" s="488"/>
      <c r="J17" s="488">
        <v>140910.54999999999</v>
      </c>
      <c r="K17" s="488">
        <v>51372.95</v>
      </c>
      <c r="L17" s="488">
        <v>293899.59999999998</v>
      </c>
      <c r="M17" s="367">
        <f t="shared" si="0"/>
        <v>2026104.15</v>
      </c>
      <c r="N17" s="492">
        <v>1122947</v>
      </c>
      <c r="O17" s="492">
        <v>13156.3</v>
      </c>
      <c r="P17" s="492">
        <v>54608.4</v>
      </c>
      <c r="Q17" s="492">
        <v>7823.4</v>
      </c>
      <c r="R17" s="492">
        <v>19476.45</v>
      </c>
      <c r="S17" s="488">
        <v>23543.22</v>
      </c>
      <c r="T17" s="367">
        <f t="shared" si="1"/>
        <v>3267658.92</v>
      </c>
      <c r="U17" s="490">
        <v>-54721.01</v>
      </c>
      <c r="V17" s="492"/>
      <c r="W17" s="492">
        <v>-36.9</v>
      </c>
      <c r="X17" s="496">
        <v>69</v>
      </c>
      <c r="Y17" s="497">
        <v>1</v>
      </c>
      <c r="Z17" s="498">
        <v>928</v>
      </c>
      <c r="AA17" s="561"/>
      <c r="AB17" s="503"/>
      <c r="AC17" s="330">
        <f>AB17/VPI!R17</f>
        <v>0</v>
      </c>
      <c r="AD17" s="332">
        <f t="shared" si="2"/>
        <v>0</v>
      </c>
      <c r="AE17" s="330">
        <f>AD17/VPI!R17</f>
        <v>0</v>
      </c>
      <c r="AF17" s="503"/>
      <c r="AG17" s="503"/>
      <c r="AH17" s="503"/>
      <c r="AI17" s="562"/>
      <c r="AJ17" s="498"/>
      <c r="AK17" s="330">
        <f>AJ17/VPI!R17</f>
        <v>0</v>
      </c>
      <c r="AL17" s="332">
        <f t="shared" si="3"/>
        <v>0</v>
      </c>
      <c r="AM17" s="330">
        <f>AL17/VPI!R17</f>
        <v>0</v>
      </c>
      <c r="AN17" s="498"/>
      <c r="AO17" s="562"/>
      <c r="AP17" s="511">
        <v>19.510128337555113</v>
      </c>
      <c r="AR17" s="564">
        <v>0</v>
      </c>
    </row>
    <row r="18" spans="1:44" x14ac:dyDescent="0.25">
      <c r="A18" s="559">
        <v>5413</v>
      </c>
      <c r="B18" s="560" t="s">
        <v>119</v>
      </c>
      <c r="C18" s="488">
        <v>1877411.36</v>
      </c>
      <c r="D18" s="488">
        <v>225341.05</v>
      </c>
      <c r="E18" s="488"/>
      <c r="F18" s="489"/>
      <c r="G18" s="488">
        <v>286473.84999999998</v>
      </c>
      <c r="H18" s="488">
        <v>6597.4</v>
      </c>
      <c r="I18" s="488">
        <v>3106.45</v>
      </c>
      <c r="J18" s="488">
        <v>87645.17</v>
      </c>
      <c r="K18" s="488">
        <v>32154.05</v>
      </c>
      <c r="L18" s="488">
        <v>377517.95</v>
      </c>
      <c r="M18" s="367">
        <f t="shared" si="0"/>
        <v>2896247.2800000003</v>
      </c>
      <c r="N18" s="492">
        <v>348499.3</v>
      </c>
      <c r="O18" s="492">
        <v>41107.800000000003</v>
      </c>
      <c r="P18" s="492">
        <v>203994.7</v>
      </c>
      <c r="Q18" s="492">
        <v>1782.51</v>
      </c>
      <c r="R18" s="492">
        <v>48667.15</v>
      </c>
      <c r="S18" s="488">
        <v>27631.88</v>
      </c>
      <c r="T18" s="367">
        <f t="shared" si="1"/>
        <v>3567930.6199999996</v>
      </c>
      <c r="U18" s="490">
        <v>-59761.36</v>
      </c>
      <c r="V18" s="492"/>
      <c r="W18" s="492">
        <v>-24.27</v>
      </c>
      <c r="X18" s="496">
        <v>68</v>
      </c>
      <c r="Y18" s="497">
        <v>1.2</v>
      </c>
      <c r="Z18" s="498">
        <v>1958</v>
      </c>
      <c r="AA18" s="561"/>
      <c r="AB18" s="503"/>
      <c r="AC18" s="330">
        <f>AB18/VPI!R18</f>
        <v>0</v>
      </c>
      <c r="AD18" s="332">
        <f t="shared" si="2"/>
        <v>0</v>
      </c>
      <c r="AE18" s="330">
        <f>AD18/VPI!R18</f>
        <v>0</v>
      </c>
      <c r="AF18" s="503"/>
      <c r="AG18" s="503"/>
      <c r="AH18" s="503"/>
      <c r="AI18" s="562"/>
      <c r="AJ18" s="498"/>
      <c r="AK18" s="330">
        <f>AJ18/VPI!R18</f>
        <v>0</v>
      </c>
      <c r="AL18" s="332">
        <f t="shared" si="3"/>
        <v>0</v>
      </c>
      <c r="AM18" s="330">
        <f>AL18/VPI!R18</f>
        <v>0</v>
      </c>
      <c r="AN18" s="498"/>
      <c r="AO18" s="562"/>
      <c r="AP18" s="511">
        <v>-2.5414460066645548</v>
      </c>
      <c r="AR18" s="564">
        <v>0</v>
      </c>
    </row>
    <row r="19" spans="1:44" x14ac:dyDescent="0.25">
      <c r="A19" s="559">
        <v>5414</v>
      </c>
      <c r="B19" s="560" t="s">
        <v>120</v>
      </c>
      <c r="C19" s="488">
        <v>7838176.3700000001</v>
      </c>
      <c r="D19" s="488">
        <v>1198664.93</v>
      </c>
      <c r="E19" s="488"/>
      <c r="F19" s="489"/>
      <c r="G19" s="488">
        <v>941029.5</v>
      </c>
      <c r="H19" s="488">
        <v>877163.2</v>
      </c>
      <c r="I19" s="488">
        <v>172305.6</v>
      </c>
      <c r="J19" s="488">
        <v>372579.67</v>
      </c>
      <c r="K19" s="488">
        <v>162978.4</v>
      </c>
      <c r="L19" s="488">
        <v>1342396.75</v>
      </c>
      <c r="M19" s="367">
        <f t="shared" si="0"/>
        <v>12905294.42</v>
      </c>
      <c r="N19" s="492">
        <v>1636755.2</v>
      </c>
      <c r="O19" s="492">
        <v>313537.8</v>
      </c>
      <c r="P19" s="492">
        <v>692367.4</v>
      </c>
      <c r="Q19" s="492">
        <v>58023</v>
      </c>
      <c r="R19" s="492">
        <v>435305.1</v>
      </c>
      <c r="S19" s="488">
        <v>171426.18</v>
      </c>
      <c r="T19" s="367">
        <f t="shared" si="1"/>
        <v>16212709.1</v>
      </c>
      <c r="U19" s="490">
        <v>-299382.34000000003</v>
      </c>
      <c r="V19" s="492"/>
      <c r="W19" s="492">
        <v>-4853.54</v>
      </c>
      <c r="X19" s="496">
        <v>67.5</v>
      </c>
      <c r="Y19" s="497">
        <v>1</v>
      </c>
      <c r="Z19" s="498">
        <v>6057</v>
      </c>
      <c r="AA19" s="561"/>
      <c r="AB19" s="503"/>
      <c r="AC19" s="330">
        <f>AB19/VPI!R19</f>
        <v>0</v>
      </c>
      <c r="AD19" s="332">
        <f t="shared" si="2"/>
        <v>0</v>
      </c>
      <c r="AE19" s="330">
        <f>AD19/VPI!R19</f>
        <v>0</v>
      </c>
      <c r="AF19" s="503"/>
      <c r="AG19" s="503"/>
      <c r="AH19" s="503"/>
      <c r="AI19" s="562"/>
      <c r="AJ19" s="498"/>
      <c r="AK19" s="330">
        <f>AJ19/VPI!R19</f>
        <v>0</v>
      </c>
      <c r="AL19" s="332">
        <f t="shared" si="3"/>
        <v>0</v>
      </c>
      <c r="AM19" s="330">
        <f>AL19/VPI!R19</f>
        <v>0</v>
      </c>
      <c r="AN19" s="498"/>
      <c r="AO19" s="562"/>
      <c r="AP19" s="511">
        <v>2.1606419951828788</v>
      </c>
      <c r="AR19" s="564">
        <v>0</v>
      </c>
    </row>
    <row r="20" spans="1:44" x14ac:dyDescent="0.25">
      <c r="A20" s="559">
        <v>5415</v>
      </c>
      <c r="B20" s="560" t="s">
        <v>66</v>
      </c>
      <c r="C20" s="488">
        <v>1919959.83</v>
      </c>
      <c r="D20" s="488">
        <v>344335.08</v>
      </c>
      <c r="E20" s="488"/>
      <c r="F20" s="489"/>
      <c r="G20" s="488">
        <v>88810.45</v>
      </c>
      <c r="H20" s="488">
        <v>2186.1</v>
      </c>
      <c r="I20" s="488">
        <v>470.1</v>
      </c>
      <c r="J20" s="488">
        <v>41446.769999999997</v>
      </c>
      <c r="K20" s="488">
        <v>10522.3</v>
      </c>
      <c r="L20" s="488">
        <v>373082.65</v>
      </c>
      <c r="M20" s="367">
        <f t="shared" si="0"/>
        <v>2780813.2800000003</v>
      </c>
      <c r="N20" s="492">
        <v>49806.9</v>
      </c>
      <c r="O20" s="492">
        <v>18406.3</v>
      </c>
      <c r="P20" s="492">
        <v>145911.75</v>
      </c>
      <c r="Q20" s="492">
        <v>9800.57</v>
      </c>
      <c r="R20" s="492">
        <v>118527</v>
      </c>
      <c r="S20" s="488">
        <v>8579.5</v>
      </c>
      <c r="T20" s="367">
        <f t="shared" si="1"/>
        <v>3131845.3</v>
      </c>
      <c r="U20" s="490">
        <v>-41688.93</v>
      </c>
      <c r="V20" s="492"/>
      <c r="W20" s="492">
        <v>-3284.3</v>
      </c>
      <c r="X20" s="496">
        <v>71.5</v>
      </c>
      <c r="Y20" s="497">
        <v>1.5</v>
      </c>
      <c r="Z20" s="498">
        <v>1108</v>
      </c>
      <c r="AA20" s="561"/>
      <c r="AB20" s="503"/>
      <c r="AC20" s="330">
        <f>AB20/VPI!R20</f>
        <v>0</v>
      </c>
      <c r="AD20" s="332">
        <f t="shared" si="2"/>
        <v>0</v>
      </c>
      <c r="AE20" s="330">
        <f>AD20/VPI!R20</f>
        <v>0</v>
      </c>
      <c r="AF20" s="503"/>
      <c r="AG20" s="503"/>
      <c r="AH20" s="503"/>
      <c r="AI20" s="562"/>
      <c r="AJ20" s="498"/>
      <c r="AK20" s="330">
        <f>AJ20/VPI!R20</f>
        <v>0</v>
      </c>
      <c r="AL20" s="332">
        <f t="shared" si="3"/>
        <v>0</v>
      </c>
      <c r="AM20" s="330">
        <f>AL20/VPI!R20</f>
        <v>0</v>
      </c>
      <c r="AN20" s="498"/>
      <c r="AO20" s="562"/>
      <c r="AP20" s="511">
        <v>14.435656277276541</v>
      </c>
      <c r="AR20" s="564">
        <v>0</v>
      </c>
    </row>
    <row r="21" spans="1:44" x14ac:dyDescent="0.25">
      <c r="A21" s="559">
        <v>5422</v>
      </c>
      <c r="B21" s="560" t="s">
        <v>67</v>
      </c>
      <c r="C21" s="488">
        <v>15624688.220000001</v>
      </c>
      <c r="D21" s="488">
        <v>1873978.9</v>
      </c>
      <c r="E21" s="488"/>
      <c r="F21" s="489"/>
      <c r="G21" s="488">
        <v>6796623.8600000003</v>
      </c>
      <c r="H21" s="488">
        <v>1714734.7</v>
      </c>
      <c r="I21" s="488">
        <v>130124.8</v>
      </c>
      <c r="J21" s="488">
        <v>287954.23</v>
      </c>
      <c r="K21" s="488">
        <v>142379.4</v>
      </c>
      <c r="L21" s="488">
        <v>1184466.8500000001</v>
      </c>
      <c r="M21" s="367">
        <f t="shared" si="0"/>
        <v>27754950.960000001</v>
      </c>
      <c r="N21" s="492">
        <v>1065968.6000000001</v>
      </c>
      <c r="O21" s="492">
        <v>236177.2</v>
      </c>
      <c r="P21" s="492">
        <v>347942.45</v>
      </c>
      <c r="Q21" s="492">
        <v>9362.33</v>
      </c>
      <c r="R21" s="492">
        <v>613509.19999999995</v>
      </c>
      <c r="S21" s="488">
        <v>802483.54</v>
      </c>
      <c r="T21" s="367">
        <f t="shared" si="1"/>
        <v>30830394.279999997</v>
      </c>
      <c r="U21" s="490">
        <v>-112442.77</v>
      </c>
      <c r="V21" s="492"/>
      <c r="W21" s="492">
        <v>-7568.75</v>
      </c>
      <c r="X21" s="496">
        <v>68</v>
      </c>
      <c r="Y21" s="497">
        <v>1</v>
      </c>
      <c r="Z21" s="498">
        <v>3841</v>
      </c>
      <c r="AA21" s="561"/>
      <c r="AB21" s="503"/>
      <c r="AC21" s="330">
        <f>AB21/VPI!R21</f>
        <v>0</v>
      </c>
      <c r="AD21" s="332">
        <f t="shared" si="2"/>
        <v>0</v>
      </c>
      <c r="AE21" s="330">
        <f>AD21/VPI!R21</f>
        <v>0</v>
      </c>
      <c r="AF21" s="503"/>
      <c r="AG21" s="503"/>
      <c r="AH21" s="503"/>
      <c r="AI21" s="562"/>
      <c r="AJ21" s="498"/>
      <c r="AK21" s="330">
        <f>AJ21/VPI!R21</f>
        <v>0</v>
      </c>
      <c r="AL21" s="332">
        <f t="shared" si="3"/>
        <v>0</v>
      </c>
      <c r="AM21" s="330">
        <f>AL21/VPI!R21</f>
        <v>0</v>
      </c>
      <c r="AN21" s="498"/>
      <c r="AO21" s="562"/>
      <c r="AP21" s="511">
        <v>34.222363266994542</v>
      </c>
      <c r="AR21" s="564">
        <v>0</v>
      </c>
    </row>
    <row r="22" spans="1:44" x14ac:dyDescent="0.25">
      <c r="A22" s="559">
        <v>5423</v>
      </c>
      <c r="B22" s="560" t="s">
        <v>68</v>
      </c>
      <c r="C22" s="488">
        <v>1032128.25</v>
      </c>
      <c r="D22" s="488">
        <v>125377.3</v>
      </c>
      <c r="E22" s="488"/>
      <c r="F22" s="489"/>
      <c r="G22" s="488">
        <v>17329.25</v>
      </c>
      <c r="H22" s="488">
        <v>858.7</v>
      </c>
      <c r="I22" s="488"/>
      <c r="J22" s="488">
        <v>36375.64</v>
      </c>
      <c r="K22" s="488">
        <v>2138.85</v>
      </c>
      <c r="L22" s="488">
        <v>42098.55</v>
      </c>
      <c r="M22" s="367">
        <f t="shared" si="0"/>
        <v>1256306.54</v>
      </c>
      <c r="N22" s="492">
        <v>34783.35</v>
      </c>
      <c r="O22" s="492">
        <v>68442.399999999994</v>
      </c>
      <c r="P22" s="492">
        <v>31986.85</v>
      </c>
      <c r="Q22" s="492">
        <v>-0.05</v>
      </c>
      <c r="R22" s="492">
        <v>40846.75</v>
      </c>
      <c r="S22" s="488">
        <v>1714.83</v>
      </c>
      <c r="T22" s="367">
        <f t="shared" si="1"/>
        <v>1434080.6700000002</v>
      </c>
      <c r="U22" s="490">
        <v>-16509.72</v>
      </c>
      <c r="V22" s="492"/>
      <c r="W22" s="492">
        <v>-61.65</v>
      </c>
      <c r="X22" s="496">
        <v>73</v>
      </c>
      <c r="Y22" s="497">
        <v>0.5</v>
      </c>
      <c r="Z22" s="498">
        <v>576</v>
      </c>
      <c r="AA22" s="561"/>
      <c r="AB22" s="503"/>
      <c r="AC22" s="330">
        <f>AB22/VPI!R22</f>
        <v>0</v>
      </c>
      <c r="AD22" s="332">
        <f t="shared" si="2"/>
        <v>0</v>
      </c>
      <c r="AE22" s="330">
        <f>AD22/VPI!R22</f>
        <v>0</v>
      </c>
      <c r="AF22" s="503"/>
      <c r="AG22" s="503"/>
      <c r="AH22" s="503"/>
      <c r="AI22" s="562"/>
      <c r="AJ22" s="498"/>
      <c r="AK22" s="330">
        <f>AJ22/VPI!R22</f>
        <v>0</v>
      </c>
      <c r="AL22" s="332">
        <f t="shared" si="3"/>
        <v>0</v>
      </c>
      <c r="AM22" s="330">
        <f>AL22/VPI!R22</f>
        <v>0</v>
      </c>
      <c r="AN22" s="498"/>
      <c r="AO22" s="562"/>
      <c r="AP22" s="511">
        <v>12.571502237595165</v>
      </c>
      <c r="AR22" s="564">
        <v>0</v>
      </c>
    </row>
    <row r="23" spans="1:44" x14ac:dyDescent="0.25">
      <c r="A23" s="559">
        <v>5424</v>
      </c>
      <c r="B23" s="560" t="s">
        <v>69</v>
      </c>
      <c r="C23" s="488">
        <v>570508.84</v>
      </c>
      <c r="D23" s="488">
        <v>89685.27</v>
      </c>
      <c r="E23" s="488"/>
      <c r="F23" s="489"/>
      <c r="G23" s="488">
        <v>997.15</v>
      </c>
      <c r="H23" s="488">
        <v>503.45</v>
      </c>
      <c r="I23" s="488">
        <v>45516.2</v>
      </c>
      <c r="J23" s="488">
        <v>5269.21</v>
      </c>
      <c r="K23" s="488">
        <v>766</v>
      </c>
      <c r="L23" s="488">
        <v>55299.4</v>
      </c>
      <c r="M23" s="367">
        <f t="shared" si="0"/>
        <v>768545.5199999999</v>
      </c>
      <c r="N23" s="492">
        <v>0</v>
      </c>
      <c r="O23" s="492">
        <v>115474.5</v>
      </c>
      <c r="P23" s="492">
        <v>11079.4</v>
      </c>
      <c r="Q23" s="492"/>
      <c r="R23" s="492">
        <v>28871.4</v>
      </c>
      <c r="S23" s="488">
        <v>141.47999999999999</v>
      </c>
      <c r="T23" s="367">
        <f t="shared" si="1"/>
        <v>924112.29999999993</v>
      </c>
      <c r="U23" s="490">
        <v>-6766.82</v>
      </c>
      <c r="V23" s="492"/>
      <c r="W23" s="492">
        <v>0</v>
      </c>
      <c r="X23" s="496">
        <v>75.5</v>
      </c>
      <c r="Y23" s="497">
        <v>1</v>
      </c>
      <c r="Z23" s="498">
        <v>304</v>
      </c>
      <c r="AA23" s="561"/>
      <c r="AB23" s="503"/>
      <c r="AC23" s="330">
        <f>AB23/VPI!R23</f>
        <v>0</v>
      </c>
      <c r="AD23" s="332">
        <f t="shared" si="2"/>
        <v>0</v>
      </c>
      <c r="AE23" s="330">
        <f>AD23/VPI!R23</f>
        <v>0</v>
      </c>
      <c r="AF23" s="503"/>
      <c r="AG23" s="503"/>
      <c r="AH23" s="503"/>
      <c r="AI23" s="562"/>
      <c r="AJ23" s="498"/>
      <c r="AK23" s="330">
        <f>AJ23/VPI!R23</f>
        <v>0</v>
      </c>
      <c r="AL23" s="332">
        <f t="shared" si="3"/>
        <v>0</v>
      </c>
      <c r="AM23" s="330">
        <f>AL23/VPI!R23</f>
        <v>0</v>
      </c>
      <c r="AN23" s="498"/>
      <c r="AO23" s="562"/>
      <c r="AP23" s="511">
        <v>17.147797171888911</v>
      </c>
      <c r="AR23" s="564">
        <v>0</v>
      </c>
    </row>
    <row r="24" spans="1:44" x14ac:dyDescent="0.25">
      <c r="A24" s="559">
        <v>5425</v>
      </c>
      <c r="B24" s="560" t="s">
        <v>70</v>
      </c>
      <c r="C24" s="488">
        <v>2277020.25</v>
      </c>
      <c r="D24" s="488">
        <v>297033.68</v>
      </c>
      <c r="E24" s="488"/>
      <c r="F24" s="489"/>
      <c r="G24" s="488">
        <v>135522.4</v>
      </c>
      <c r="H24" s="488">
        <v>16318.4</v>
      </c>
      <c r="I24" s="488"/>
      <c r="J24" s="488">
        <v>149530.72</v>
      </c>
      <c r="K24" s="488">
        <v>21063.45</v>
      </c>
      <c r="L24" s="488">
        <v>136047.20000000001</v>
      </c>
      <c r="M24" s="367">
        <f t="shared" si="0"/>
        <v>3032536.1000000006</v>
      </c>
      <c r="N24" s="492">
        <v>120325</v>
      </c>
      <c r="O24" s="492">
        <v>57720.9</v>
      </c>
      <c r="P24" s="492">
        <v>137706.54999999999</v>
      </c>
      <c r="Q24" s="492">
        <v>-360.05</v>
      </c>
      <c r="R24" s="492">
        <v>190388.4</v>
      </c>
      <c r="S24" s="488">
        <v>14316.13</v>
      </c>
      <c r="T24" s="367">
        <f t="shared" si="1"/>
        <v>3552633.0300000003</v>
      </c>
      <c r="U24" s="490">
        <v>-52367.69</v>
      </c>
      <c r="V24" s="492"/>
      <c r="W24" s="492">
        <v>-28.6</v>
      </c>
      <c r="X24" s="496">
        <v>69</v>
      </c>
      <c r="Y24" s="497">
        <v>0.57999999999999996</v>
      </c>
      <c r="Z24" s="498">
        <v>1717</v>
      </c>
      <c r="AA24" s="561"/>
      <c r="AB24" s="503"/>
      <c r="AC24" s="330">
        <f>AB24/VPI!R24</f>
        <v>0</v>
      </c>
      <c r="AD24" s="332">
        <f t="shared" si="2"/>
        <v>0</v>
      </c>
      <c r="AE24" s="330">
        <f>AD24/VPI!R24</f>
        <v>0</v>
      </c>
      <c r="AF24" s="503"/>
      <c r="AG24" s="503"/>
      <c r="AH24" s="503"/>
      <c r="AI24" s="562"/>
      <c r="AJ24" s="498"/>
      <c r="AK24" s="330">
        <f>AJ24/VPI!R24</f>
        <v>0</v>
      </c>
      <c r="AL24" s="332">
        <f t="shared" si="3"/>
        <v>0</v>
      </c>
      <c r="AM24" s="330">
        <f>AL24/VPI!R24</f>
        <v>0</v>
      </c>
      <c r="AN24" s="498"/>
      <c r="AO24" s="562"/>
      <c r="AP24" s="511">
        <v>4.1681394775101799</v>
      </c>
      <c r="AR24" s="564">
        <v>0</v>
      </c>
    </row>
    <row r="25" spans="1:44" x14ac:dyDescent="0.25">
      <c r="A25" s="559">
        <v>5426</v>
      </c>
      <c r="B25" s="560" t="s">
        <v>65</v>
      </c>
      <c r="C25" s="488">
        <v>2436569.69</v>
      </c>
      <c r="D25" s="488">
        <v>733814.45</v>
      </c>
      <c r="E25" s="488"/>
      <c r="F25" s="489"/>
      <c r="G25" s="488">
        <v>16062.44</v>
      </c>
      <c r="H25" s="488">
        <v>1314.95</v>
      </c>
      <c r="I25" s="488">
        <v>1024695.58</v>
      </c>
      <c r="J25" s="488">
        <v>24420.83</v>
      </c>
      <c r="K25" s="488">
        <v>5155.8</v>
      </c>
      <c r="L25" s="488">
        <v>343988.95</v>
      </c>
      <c r="M25" s="367">
        <f t="shared" si="0"/>
        <v>4586022.6899999995</v>
      </c>
      <c r="N25" s="492">
        <v>13271.8</v>
      </c>
      <c r="O25" s="492">
        <v>18261.7</v>
      </c>
      <c r="P25" s="492">
        <v>281862.90000000002</v>
      </c>
      <c r="Q25" s="492">
        <v>257.3</v>
      </c>
      <c r="R25" s="492">
        <v>350341.4</v>
      </c>
      <c r="S25" s="488">
        <v>1497.24</v>
      </c>
      <c r="T25" s="367">
        <f t="shared" si="1"/>
        <v>5251515.03</v>
      </c>
      <c r="U25" s="490">
        <v>-5894.75</v>
      </c>
      <c r="V25" s="492"/>
      <c r="W25" s="492">
        <v>-5702.49</v>
      </c>
      <c r="X25" s="496">
        <v>64.5</v>
      </c>
      <c r="Y25" s="497">
        <v>1.2</v>
      </c>
      <c r="Z25" s="498">
        <v>512</v>
      </c>
      <c r="AA25" s="561"/>
      <c r="AB25" s="503"/>
      <c r="AC25" s="330">
        <f>AB25/VPI!R25</f>
        <v>0</v>
      </c>
      <c r="AD25" s="332">
        <f t="shared" si="2"/>
        <v>0</v>
      </c>
      <c r="AE25" s="330">
        <f>AD25/VPI!R25</f>
        <v>0</v>
      </c>
      <c r="AF25" s="503"/>
      <c r="AG25" s="503"/>
      <c r="AH25" s="503"/>
      <c r="AI25" s="562"/>
      <c r="AJ25" s="498"/>
      <c r="AK25" s="330">
        <f>AJ25/VPI!R25</f>
        <v>0</v>
      </c>
      <c r="AL25" s="332">
        <f t="shared" si="3"/>
        <v>0</v>
      </c>
      <c r="AM25" s="330">
        <f>AL25/VPI!R25</f>
        <v>0</v>
      </c>
      <c r="AN25" s="498"/>
      <c r="AO25" s="562"/>
      <c r="AP25" s="511">
        <v>44.861736291706578</v>
      </c>
      <c r="AR25" s="564">
        <v>0</v>
      </c>
    </row>
    <row r="26" spans="1:44" x14ac:dyDescent="0.25">
      <c r="A26" s="559">
        <v>5427</v>
      </c>
      <c r="B26" s="560" t="s">
        <v>289</v>
      </c>
      <c r="C26" s="488">
        <v>3186714.4</v>
      </c>
      <c r="D26" s="488">
        <v>985352</v>
      </c>
      <c r="E26" s="488"/>
      <c r="F26" s="489"/>
      <c r="G26" s="488">
        <v>162911.4</v>
      </c>
      <c r="H26" s="488">
        <v>2612.75</v>
      </c>
      <c r="I26" s="488">
        <v>712848.15</v>
      </c>
      <c r="J26" s="488">
        <v>107303.57</v>
      </c>
      <c r="K26" s="488">
        <v>6896.45</v>
      </c>
      <c r="L26" s="488">
        <v>492603.35</v>
      </c>
      <c r="M26" s="367">
        <f t="shared" si="0"/>
        <v>5657242.0700000003</v>
      </c>
      <c r="N26" s="492">
        <v>14882.7</v>
      </c>
      <c r="O26" s="492">
        <v>1724028</v>
      </c>
      <c r="P26" s="492">
        <v>165110.20000000001</v>
      </c>
      <c r="Q26" s="492">
        <v>19554.150000000001</v>
      </c>
      <c r="R26" s="492">
        <v>205922.4</v>
      </c>
      <c r="S26" s="488">
        <v>15606.25</v>
      </c>
      <c r="T26" s="367">
        <f t="shared" si="1"/>
        <v>7802345.7700000014</v>
      </c>
      <c r="U26" s="490">
        <v>-518.78</v>
      </c>
      <c r="V26" s="492"/>
      <c r="W26" s="492">
        <v>-8964</v>
      </c>
      <c r="X26" s="496">
        <v>64</v>
      </c>
      <c r="Y26" s="497">
        <v>1.3</v>
      </c>
      <c r="Z26" s="498">
        <v>896</v>
      </c>
      <c r="AA26" s="561"/>
      <c r="AB26" s="503"/>
      <c r="AC26" s="330">
        <f>AB26/VPI!R26</f>
        <v>0</v>
      </c>
      <c r="AD26" s="332">
        <f t="shared" si="2"/>
        <v>0</v>
      </c>
      <c r="AE26" s="330">
        <f>AD26/VPI!R26</f>
        <v>0</v>
      </c>
      <c r="AF26" s="503"/>
      <c r="AG26" s="503"/>
      <c r="AH26" s="503"/>
      <c r="AI26" s="562"/>
      <c r="AJ26" s="498"/>
      <c r="AK26" s="330">
        <f>AJ26/VPI!R26</f>
        <v>0</v>
      </c>
      <c r="AL26" s="332">
        <f t="shared" si="3"/>
        <v>0</v>
      </c>
      <c r="AM26" s="330">
        <f>AL26/VPI!R26</f>
        <v>0</v>
      </c>
      <c r="AN26" s="498"/>
      <c r="AO26" s="562"/>
      <c r="AP26" s="511">
        <v>40.249976711426868</v>
      </c>
      <c r="AR26" s="564">
        <v>0</v>
      </c>
    </row>
    <row r="27" spans="1:44" x14ac:dyDescent="0.25">
      <c r="A27" s="559">
        <v>5428</v>
      </c>
      <c r="B27" s="560" t="s">
        <v>290</v>
      </c>
      <c r="C27" s="488">
        <v>4027851.4</v>
      </c>
      <c r="D27" s="488">
        <v>542772.03</v>
      </c>
      <c r="E27" s="488"/>
      <c r="F27" s="489"/>
      <c r="G27" s="488">
        <v>65213.4</v>
      </c>
      <c r="H27" s="488">
        <v>12263.35</v>
      </c>
      <c r="I27" s="488"/>
      <c r="J27" s="488">
        <v>197273.11</v>
      </c>
      <c r="K27" s="488">
        <v>26850.85</v>
      </c>
      <c r="L27" s="488">
        <v>525973.85</v>
      </c>
      <c r="M27" s="367">
        <f t="shared" si="0"/>
        <v>5398197.9899999993</v>
      </c>
      <c r="N27" s="492">
        <v>207393.7</v>
      </c>
      <c r="O27" s="492">
        <v>205149.8</v>
      </c>
      <c r="P27" s="492">
        <v>241454.25</v>
      </c>
      <c r="Q27" s="492">
        <v>48169.08</v>
      </c>
      <c r="R27" s="492">
        <v>152283.20000000001</v>
      </c>
      <c r="S27" s="488">
        <v>7304.81</v>
      </c>
      <c r="T27" s="367">
        <f t="shared" si="1"/>
        <v>6259952.8299999991</v>
      </c>
      <c r="U27" s="490">
        <v>-97780.92</v>
      </c>
      <c r="V27" s="492"/>
      <c r="W27" s="492">
        <v>-6854.35</v>
      </c>
      <c r="X27" s="496">
        <v>73</v>
      </c>
      <c r="Y27" s="497">
        <v>1.2</v>
      </c>
      <c r="Z27" s="498">
        <v>2465</v>
      </c>
      <c r="AA27" s="561"/>
      <c r="AB27" s="503"/>
      <c r="AC27" s="330">
        <f>AB27/VPI!R27</f>
        <v>0</v>
      </c>
      <c r="AD27" s="332">
        <f t="shared" si="2"/>
        <v>0</v>
      </c>
      <c r="AE27" s="330">
        <f>AD27/VPI!R27</f>
        <v>0</v>
      </c>
      <c r="AF27" s="503"/>
      <c r="AG27" s="503"/>
      <c r="AH27" s="503"/>
      <c r="AI27" s="562"/>
      <c r="AJ27" s="498"/>
      <c r="AK27" s="330">
        <f>AJ27/VPI!R27</f>
        <v>0</v>
      </c>
      <c r="AL27" s="332">
        <f t="shared" si="3"/>
        <v>0</v>
      </c>
      <c r="AM27" s="330">
        <f>AL27/VPI!R27</f>
        <v>0</v>
      </c>
      <c r="AN27" s="498"/>
      <c r="AO27" s="562"/>
      <c r="AP27" s="511">
        <v>7.6176513811142215</v>
      </c>
      <c r="AR27" s="564">
        <v>0</v>
      </c>
    </row>
    <row r="28" spans="1:44" x14ac:dyDescent="0.25">
      <c r="A28" s="559">
        <v>5429</v>
      </c>
      <c r="B28" s="560" t="s">
        <v>301</v>
      </c>
      <c r="C28" s="488">
        <v>1234797.73</v>
      </c>
      <c r="D28" s="488">
        <v>143039.29999999999</v>
      </c>
      <c r="E28" s="488"/>
      <c r="F28" s="489"/>
      <c r="G28" s="488">
        <v>852.05</v>
      </c>
      <c r="H28" s="488">
        <v>7329.05</v>
      </c>
      <c r="I28" s="488"/>
      <c r="J28" s="488">
        <v>3042.44</v>
      </c>
      <c r="K28" s="488">
        <v>2264.5</v>
      </c>
      <c r="L28" s="488">
        <v>113187.15</v>
      </c>
      <c r="M28" s="367">
        <f t="shared" si="0"/>
        <v>1504512.22</v>
      </c>
      <c r="N28" s="492">
        <v>9325.2999999999993</v>
      </c>
      <c r="O28" s="492">
        <v>904.4</v>
      </c>
      <c r="P28" s="492">
        <v>58367.9</v>
      </c>
      <c r="Q28" s="492">
        <v>5446.32</v>
      </c>
      <c r="R28" s="492">
        <v>24782.15</v>
      </c>
      <c r="S28" s="488">
        <v>771.35</v>
      </c>
      <c r="T28" s="367">
        <f t="shared" si="1"/>
        <v>1604109.64</v>
      </c>
      <c r="U28" s="490">
        <v>-16206.8</v>
      </c>
      <c r="V28" s="492"/>
      <c r="W28" s="492">
        <v>-87.15</v>
      </c>
      <c r="X28" s="496">
        <v>77.5</v>
      </c>
      <c r="Y28" s="497">
        <v>1</v>
      </c>
      <c r="Z28" s="498">
        <v>555</v>
      </c>
      <c r="AA28" s="561"/>
      <c r="AB28" s="503"/>
      <c r="AC28" s="330">
        <f>AB28/VPI!R28</f>
        <v>0</v>
      </c>
      <c r="AD28" s="332">
        <f t="shared" si="2"/>
        <v>0</v>
      </c>
      <c r="AE28" s="330">
        <f>AD28/VPI!R28</f>
        <v>0</v>
      </c>
      <c r="AF28" s="503"/>
      <c r="AG28" s="503"/>
      <c r="AH28" s="503"/>
      <c r="AI28" s="562"/>
      <c r="AJ28" s="498"/>
      <c r="AK28" s="330">
        <f>AJ28/VPI!R28</f>
        <v>0</v>
      </c>
      <c r="AL28" s="332">
        <f t="shared" si="3"/>
        <v>0</v>
      </c>
      <c r="AM28" s="330">
        <f>AL28/VPI!R28</f>
        <v>0</v>
      </c>
      <c r="AN28" s="498"/>
      <c r="AO28" s="562"/>
      <c r="AP28" s="511">
        <v>13.988463392593687</v>
      </c>
      <c r="AR28" s="564">
        <v>0</v>
      </c>
    </row>
    <row r="29" spans="1:44" x14ac:dyDescent="0.25">
      <c r="A29" s="559">
        <v>5430</v>
      </c>
      <c r="B29" s="560" t="s">
        <v>302</v>
      </c>
      <c r="C29" s="488">
        <v>1042797.27</v>
      </c>
      <c r="D29" s="488">
        <v>124194.94</v>
      </c>
      <c r="E29" s="488"/>
      <c r="F29" s="489"/>
      <c r="G29" s="488">
        <v>-4391.6000000000004</v>
      </c>
      <c r="H29" s="488">
        <v>-2451.4</v>
      </c>
      <c r="I29" s="488"/>
      <c r="J29" s="488">
        <v>-252.32</v>
      </c>
      <c r="K29" s="488">
        <v>1015.5</v>
      </c>
      <c r="L29" s="488">
        <v>95498.5</v>
      </c>
      <c r="M29" s="367">
        <f t="shared" si="0"/>
        <v>1256410.8899999999</v>
      </c>
      <c r="N29" s="492">
        <v>13417.85</v>
      </c>
      <c r="O29" s="492"/>
      <c r="P29" s="492">
        <v>18975</v>
      </c>
      <c r="Q29" s="617">
        <v>1268.3399999999999</v>
      </c>
      <c r="R29" s="492">
        <v>13907.95</v>
      </c>
      <c r="S29" s="488">
        <v>-645.17999999999995</v>
      </c>
      <c r="T29" s="367">
        <f t="shared" si="1"/>
        <v>1303334.8500000001</v>
      </c>
      <c r="U29" s="490">
        <v>-2877.35</v>
      </c>
      <c r="V29" s="492"/>
      <c r="W29" s="492">
        <v>-114.05</v>
      </c>
      <c r="X29" s="496">
        <v>77.5</v>
      </c>
      <c r="Y29" s="497">
        <v>1</v>
      </c>
      <c r="Z29" s="498">
        <v>508</v>
      </c>
      <c r="AA29" s="561"/>
      <c r="AB29" s="503"/>
      <c r="AC29" s="330">
        <f>AB29/VPI!R29</f>
        <v>0</v>
      </c>
      <c r="AD29" s="332">
        <f t="shared" si="2"/>
        <v>0</v>
      </c>
      <c r="AE29" s="330">
        <f>AD29/VPI!R29</f>
        <v>0</v>
      </c>
      <c r="AF29" s="503"/>
      <c r="AG29" s="503"/>
      <c r="AH29" s="503"/>
      <c r="AI29" s="562"/>
      <c r="AJ29" s="498"/>
      <c r="AK29" s="330">
        <f>AJ29/VPI!R29</f>
        <v>0</v>
      </c>
      <c r="AL29" s="332">
        <f t="shared" si="3"/>
        <v>0</v>
      </c>
      <c r="AM29" s="330">
        <f>AL29/VPI!R29</f>
        <v>0</v>
      </c>
      <c r="AN29" s="498"/>
      <c r="AO29" s="562"/>
      <c r="AP29" s="511">
        <v>17.109966379941287</v>
      </c>
      <c r="AR29" s="564">
        <v>0</v>
      </c>
    </row>
    <row r="30" spans="1:44" x14ac:dyDescent="0.25">
      <c r="A30" s="559">
        <v>5431</v>
      </c>
      <c r="B30" s="560" t="s">
        <v>303</v>
      </c>
      <c r="C30" s="488">
        <v>539085.94999999995</v>
      </c>
      <c r="D30" s="488">
        <v>84716.91</v>
      </c>
      <c r="E30" s="488"/>
      <c r="F30" s="489"/>
      <c r="G30" s="488">
        <v>1204</v>
      </c>
      <c r="H30" s="488">
        <v>409.1</v>
      </c>
      <c r="I30" s="488"/>
      <c r="J30" s="488">
        <v>20352.099999999999</v>
      </c>
      <c r="K30" s="488">
        <v>976</v>
      </c>
      <c r="L30" s="488">
        <v>52297.4</v>
      </c>
      <c r="M30" s="367">
        <f t="shared" si="0"/>
        <v>699041.46</v>
      </c>
      <c r="N30" s="492">
        <v>0</v>
      </c>
      <c r="O30" s="492">
        <v>0</v>
      </c>
      <c r="P30" s="492">
        <v>6653.3</v>
      </c>
      <c r="Q30" s="492">
        <v>0</v>
      </c>
      <c r="R30" s="492">
        <v>2238.9</v>
      </c>
      <c r="S30" s="488">
        <v>152.09</v>
      </c>
      <c r="T30" s="367">
        <f t="shared" si="1"/>
        <v>708085.75</v>
      </c>
      <c r="U30" s="490">
        <v>-5306.55</v>
      </c>
      <c r="V30" s="492"/>
      <c r="W30" s="492">
        <v>-1513.45</v>
      </c>
      <c r="X30" s="496">
        <v>74</v>
      </c>
      <c r="Y30" s="497">
        <v>1</v>
      </c>
      <c r="Z30" s="498">
        <v>322</v>
      </c>
      <c r="AA30" s="561"/>
      <c r="AB30" s="503"/>
      <c r="AC30" s="330">
        <f>AB30/VPI!R30</f>
        <v>0</v>
      </c>
      <c r="AD30" s="332">
        <f t="shared" si="2"/>
        <v>0</v>
      </c>
      <c r="AE30" s="330">
        <f>AD30/VPI!R30</f>
        <v>0</v>
      </c>
      <c r="AF30" s="503"/>
      <c r="AG30" s="503"/>
      <c r="AH30" s="503"/>
      <c r="AI30" s="562"/>
      <c r="AJ30" s="498"/>
      <c r="AK30" s="330">
        <f>AJ30/VPI!R30</f>
        <v>0</v>
      </c>
      <c r="AL30" s="332">
        <f t="shared" si="3"/>
        <v>0</v>
      </c>
      <c r="AM30" s="330">
        <f>AL30/VPI!R30</f>
        <v>0</v>
      </c>
      <c r="AN30" s="498"/>
      <c r="AO30" s="562"/>
      <c r="AP30" s="511">
        <v>11.974728086181573</v>
      </c>
      <c r="AR30" s="564">
        <v>0</v>
      </c>
    </row>
    <row r="31" spans="1:44" x14ac:dyDescent="0.25">
      <c r="A31" s="559">
        <v>5434</v>
      </c>
      <c r="B31" s="560" t="s">
        <v>304</v>
      </c>
      <c r="C31" s="488">
        <v>2824606.89</v>
      </c>
      <c r="D31" s="488">
        <v>0</v>
      </c>
      <c r="E31" s="488"/>
      <c r="F31" s="489"/>
      <c r="G31" s="488">
        <v>78610.399999999994</v>
      </c>
      <c r="H31" s="488">
        <v>3717.05</v>
      </c>
      <c r="I31" s="488">
        <v>0</v>
      </c>
      <c r="J31" s="488">
        <v>50852.1</v>
      </c>
      <c r="K31" s="488">
        <v>4647.2</v>
      </c>
      <c r="L31" s="488">
        <v>300166.95</v>
      </c>
      <c r="M31" s="367">
        <f t="shared" si="0"/>
        <v>3262600.5900000003</v>
      </c>
      <c r="N31" s="492">
        <v>44558.400000000001</v>
      </c>
      <c r="O31" s="492">
        <v>17045.8</v>
      </c>
      <c r="P31" s="492">
        <v>94570.95</v>
      </c>
      <c r="Q31" s="492">
        <v>3932.78</v>
      </c>
      <c r="R31" s="492">
        <v>144341.6</v>
      </c>
      <c r="S31" s="488">
        <v>7762.15</v>
      </c>
      <c r="T31" s="367">
        <f t="shared" si="1"/>
        <v>3574812.27</v>
      </c>
      <c r="U31" s="490">
        <v>-13047.14</v>
      </c>
      <c r="V31" s="492"/>
      <c r="W31" s="492">
        <v>-1405.15</v>
      </c>
      <c r="X31" s="496">
        <v>69.5</v>
      </c>
      <c r="Y31" s="497">
        <v>1.2</v>
      </c>
      <c r="Z31" s="498">
        <v>1061</v>
      </c>
      <c r="AA31" s="561"/>
      <c r="AB31" s="503"/>
      <c r="AC31" s="330">
        <f>AB31/VPI!R31</f>
        <v>0</v>
      </c>
      <c r="AD31" s="332">
        <f t="shared" si="2"/>
        <v>0</v>
      </c>
      <c r="AE31" s="330">
        <f>AD31/VPI!R31</f>
        <v>0</v>
      </c>
      <c r="AF31" s="503"/>
      <c r="AG31" s="503"/>
      <c r="AH31" s="503"/>
      <c r="AI31" s="562"/>
      <c r="AJ31" s="498"/>
      <c r="AK31" s="330">
        <f>AJ31/VPI!R31</f>
        <v>0</v>
      </c>
      <c r="AL31" s="332">
        <f t="shared" si="3"/>
        <v>0</v>
      </c>
      <c r="AM31" s="330">
        <f>AL31/VPI!R31</f>
        <v>0</v>
      </c>
      <c r="AN31" s="498"/>
      <c r="AO31" s="562"/>
      <c r="AP31" s="511">
        <v>21.86699083722792</v>
      </c>
      <c r="AR31" s="564">
        <v>0</v>
      </c>
    </row>
    <row r="32" spans="1:44" x14ac:dyDescent="0.25">
      <c r="A32" s="559">
        <v>5435</v>
      </c>
      <c r="B32" s="560" t="s">
        <v>291</v>
      </c>
      <c r="C32" s="488">
        <v>1520818.46</v>
      </c>
      <c r="D32" s="488">
        <v>194121.63</v>
      </c>
      <c r="E32" s="488"/>
      <c r="F32" s="489"/>
      <c r="G32" s="488">
        <v>16782.55</v>
      </c>
      <c r="H32" s="488">
        <v>514.1</v>
      </c>
      <c r="I32" s="488"/>
      <c r="J32" s="488">
        <v>-17887.66</v>
      </c>
      <c r="K32" s="488">
        <v>0</v>
      </c>
      <c r="L32" s="488">
        <v>140880.20000000001</v>
      </c>
      <c r="M32" s="367">
        <f t="shared" si="0"/>
        <v>1855229.28</v>
      </c>
      <c r="N32" s="492">
        <v>7829.95</v>
      </c>
      <c r="O32" s="492">
        <v>16979.8</v>
      </c>
      <c r="P32" s="492">
        <v>60956.5</v>
      </c>
      <c r="Q32" s="492">
        <v>1219.8900000000001</v>
      </c>
      <c r="R32" s="492">
        <v>294902.45</v>
      </c>
      <c r="S32" s="488">
        <v>1630.79</v>
      </c>
      <c r="T32" s="367">
        <f t="shared" si="1"/>
        <v>2238748.66</v>
      </c>
      <c r="U32" s="490">
        <v>-35552.28</v>
      </c>
      <c r="V32" s="492"/>
      <c r="W32" s="492">
        <v>-933.92</v>
      </c>
      <c r="X32" s="496">
        <v>69</v>
      </c>
      <c r="Y32" s="497">
        <v>1</v>
      </c>
      <c r="Z32" s="498">
        <v>697</v>
      </c>
      <c r="AA32" s="561"/>
      <c r="AB32" s="503"/>
      <c r="AC32" s="330">
        <f>AB32/VPI!R32</f>
        <v>0</v>
      </c>
      <c r="AD32" s="332">
        <f t="shared" si="2"/>
        <v>0</v>
      </c>
      <c r="AE32" s="330">
        <f>AD32/VPI!R32</f>
        <v>0</v>
      </c>
      <c r="AF32" s="503"/>
      <c r="AG32" s="503"/>
      <c r="AH32" s="503"/>
      <c r="AI32" s="562"/>
      <c r="AJ32" s="498"/>
      <c r="AK32" s="330">
        <f>AJ32/VPI!R32</f>
        <v>0</v>
      </c>
      <c r="AL32" s="332">
        <f t="shared" si="3"/>
        <v>0</v>
      </c>
      <c r="AM32" s="330">
        <f>AL32/VPI!R32</f>
        <v>0</v>
      </c>
      <c r="AN32" s="498"/>
      <c r="AO32" s="562"/>
      <c r="AP32" s="511">
        <v>21.025047140834946</v>
      </c>
      <c r="AR32" s="564">
        <v>0</v>
      </c>
    </row>
    <row r="33" spans="1:44" x14ac:dyDescent="0.25">
      <c r="A33" s="559">
        <v>5436</v>
      </c>
      <c r="B33" s="560" t="s">
        <v>292</v>
      </c>
      <c r="C33" s="488">
        <v>1150908.76</v>
      </c>
      <c r="D33" s="488">
        <v>90098.1</v>
      </c>
      <c r="E33" s="488"/>
      <c r="F33" s="489"/>
      <c r="G33" s="488">
        <v>15097.4</v>
      </c>
      <c r="H33" s="488">
        <v>165.2</v>
      </c>
      <c r="I33" s="488"/>
      <c r="J33" s="488">
        <v>-11833.35</v>
      </c>
      <c r="K33" s="488"/>
      <c r="L33" s="488">
        <v>74487.649999999994</v>
      </c>
      <c r="M33" s="367">
        <f t="shared" si="0"/>
        <v>1318923.7599999998</v>
      </c>
      <c r="N33" s="492">
        <v>0</v>
      </c>
      <c r="O33" s="492">
        <v>0</v>
      </c>
      <c r="P33" s="492">
        <v>21032.9</v>
      </c>
      <c r="Q33" s="492">
        <v>20275.7</v>
      </c>
      <c r="R33" s="492"/>
      <c r="S33" s="488">
        <v>1439.02</v>
      </c>
      <c r="T33" s="367">
        <f t="shared" si="1"/>
        <v>1361671.3799999997</v>
      </c>
      <c r="U33" s="490">
        <v>-100445.3</v>
      </c>
      <c r="V33" s="492"/>
      <c r="W33" s="492">
        <v>-1348.75</v>
      </c>
      <c r="X33" s="496">
        <v>79</v>
      </c>
      <c r="Y33" s="497">
        <v>0.8</v>
      </c>
      <c r="Z33" s="498">
        <v>450</v>
      </c>
      <c r="AA33" s="561"/>
      <c r="AB33" s="503"/>
      <c r="AC33" s="330">
        <f>AB33/VPI!R33</f>
        <v>0</v>
      </c>
      <c r="AD33" s="332">
        <f t="shared" si="2"/>
        <v>0</v>
      </c>
      <c r="AE33" s="330">
        <f>AD33/VPI!R33</f>
        <v>0</v>
      </c>
      <c r="AF33" s="503"/>
      <c r="AG33" s="503"/>
      <c r="AH33" s="503"/>
      <c r="AI33" s="562"/>
      <c r="AJ33" s="498"/>
      <c r="AK33" s="330">
        <f>AJ33/VPI!R33</f>
        <v>0</v>
      </c>
      <c r="AL33" s="332">
        <f t="shared" si="3"/>
        <v>0</v>
      </c>
      <c r="AM33" s="330">
        <f>AL33/VPI!R33</f>
        <v>0</v>
      </c>
      <c r="AN33" s="498"/>
      <c r="AO33" s="562"/>
      <c r="AP33" s="511">
        <v>18.572472769151613</v>
      </c>
      <c r="AR33" s="564">
        <v>0</v>
      </c>
    </row>
    <row r="34" spans="1:44" x14ac:dyDescent="0.25">
      <c r="A34" s="559">
        <v>5437</v>
      </c>
      <c r="B34" s="560" t="s">
        <v>293</v>
      </c>
      <c r="C34" s="488">
        <v>1163522.9099999999</v>
      </c>
      <c r="D34" s="488">
        <v>75353.81</v>
      </c>
      <c r="E34" s="488"/>
      <c r="F34" s="489"/>
      <c r="G34" s="488">
        <v>5121.2</v>
      </c>
      <c r="H34" s="488">
        <v>3051.15</v>
      </c>
      <c r="I34" s="488"/>
      <c r="J34" s="488">
        <v>14472.85</v>
      </c>
      <c r="K34" s="488">
        <v>3051.85</v>
      </c>
      <c r="L34" s="488">
        <v>77827.45</v>
      </c>
      <c r="M34" s="367">
        <f t="shared" si="0"/>
        <v>1342401.22</v>
      </c>
      <c r="N34" s="492">
        <v>0</v>
      </c>
      <c r="O34" s="492"/>
      <c r="P34" s="492">
        <v>55165</v>
      </c>
      <c r="Q34" s="492"/>
      <c r="R34" s="492">
        <v>48591.35</v>
      </c>
      <c r="S34" s="488">
        <v>770.52</v>
      </c>
      <c r="T34" s="367">
        <f t="shared" si="1"/>
        <v>1446928.09</v>
      </c>
      <c r="U34" s="490">
        <v>-3151.39</v>
      </c>
      <c r="V34" s="492"/>
      <c r="W34" s="492">
        <v>-64.3</v>
      </c>
      <c r="X34" s="496">
        <v>80</v>
      </c>
      <c r="Y34" s="497">
        <v>1</v>
      </c>
      <c r="Z34" s="498">
        <v>449</v>
      </c>
      <c r="AA34" s="561"/>
      <c r="AB34" s="503"/>
      <c r="AC34" s="330">
        <f>AB34/VPI!R34</f>
        <v>0</v>
      </c>
      <c r="AD34" s="332">
        <f t="shared" si="2"/>
        <v>0</v>
      </c>
      <c r="AE34" s="330">
        <f>AD34/VPI!R34</f>
        <v>0</v>
      </c>
      <c r="AF34" s="503"/>
      <c r="AG34" s="503"/>
      <c r="AH34" s="503"/>
      <c r="AI34" s="562"/>
      <c r="AJ34" s="498"/>
      <c r="AK34" s="330">
        <f>AJ34/VPI!R34</f>
        <v>0</v>
      </c>
      <c r="AL34" s="332">
        <f t="shared" si="3"/>
        <v>0</v>
      </c>
      <c r="AM34" s="330">
        <f>AL34/VPI!R34</f>
        <v>0</v>
      </c>
      <c r="AN34" s="498"/>
      <c r="AO34" s="562"/>
      <c r="AP34" s="511">
        <v>5.6770311775444862</v>
      </c>
      <c r="AR34" s="564">
        <v>0</v>
      </c>
    </row>
    <row r="35" spans="1:44" x14ac:dyDescent="0.25">
      <c r="A35" s="559">
        <v>5451</v>
      </c>
      <c r="B35" s="560" t="s">
        <v>294</v>
      </c>
      <c r="C35" s="488">
        <v>5296222.54</v>
      </c>
      <c r="D35" s="488">
        <v>577541.42000000004</v>
      </c>
      <c r="E35" s="488"/>
      <c r="F35" s="489"/>
      <c r="G35" s="488">
        <v>1929781.65</v>
      </c>
      <c r="H35" s="488">
        <v>51068.05</v>
      </c>
      <c r="I35" s="488"/>
      <c r="J35" s="488">
        <v>408122.67</v>
      </c>
      <c r="K35" s="488">
        <v>136947.04999999999</v>
      </c>
      <c r="L35" s="488">
        <v>1533032.25</v>
      </c>
      <c r="M35" s="367">
        <f t="shared" si="0"/>
        <v>9932715.629999999</v>
      </c>
      <c r="N35" s="492">
        <v>587797.75</v>
      </c>
      <c r="O35" s="492">
        <v>137415.20000000001</v>
      </c>
      <c r="P35" s="492">
        <v>613191.80000000005</v>
      </c>
      <c r="Q35" s="492">
        <v>16647.21</v>
      </c>
      <c r="R35" s="492">
        <v>62970.25</v>
      </c>
      <c r="S35" s="488">
        <v>186762.11</v>
      </c>
      <c r="T35" s="367">
        <f t="shared" si="1"/>
        <v>11537499.949999999</v>
      </c>
      <c r="U35" s="490">
        <v>-273146.94</v>
      </c>
      <c r="V35" s="492"/>
      <c r="W35" s="492">
        <v>-749.7</v>
      </c>
      <c r="X35" s="496">
        <v>65</v>
      </c>
      <c r="Y35" s="497">
        <v>1.5</v>
      </c>
      <c r="Z35" s="498">
        <v>4873</v>
      </c>
      <c r="AA35" s="561"/>
      <c r="AB35" s="503"/>
      <c r="AC35" s="330">
        <f>AB35/VPI!R35</f>
        <v>0</v>
      </c>
      <c r="AD35" s="332">
        <f t="shared" si="2"/>
        <v>0</v>
      </c>
      <c r="AE35" s="330">
        <f>AD35/VPI!R35</f>
        <v>0</v>
      </c>
      <c r="AF35" s="503"/>
      <c r="AG35" s="503"/>
      <c r="AH35" s="503"/>
      <c r="AI35" s="562"/>
      <c r="AJ35" s="498"/>
      <c r="AK35" s="330">
        <f>AJ35/VPI!R35</f>
        <v>0</v>
      </c>
      <c r="AL35" s="332">
        <f t="shared" si="3"/>
        <v>0</v>
      </c>
      <c r="AM35" s="330">
        <f>AL35/VPI!R35</f>
        <v>0</v>
      </c>
      <c r="AN35" s="498"/>
      <c r="AO35" s="562"/>
      <c r="AP35" s="511">
        <v>8.1378971533135509</v>
      </c>
      <c r="AR35" s="564">
        <v>0</v>
      </c>
    </row>
    <row r="36" spans="1:44" x14ac:dyDescent="0.25">
      <c r="A36" s="559">
        <v>5456</v>
      </c>
      <c r="B36" s="560" t="s">
        <v>295</v>
      </c>
      <c r="C36" s="488">
        <v>3268257.53</v>
      </c>
      <c r="D36" s="488">
        <v>356225.39</v>
      </c>
      <c r="E36" s="488"/>
      <c r="F36" s="489"/>
      <c r="G36" s="488">
        <v>114437.95</v>
      </c>
      <c r="H36" s="488">
        <v>2818.35</v>
      </c>
      <c r="I36" s="488"/>
      <c r="J36" s="488">
        <v>17223.82</v>
      </c>
      <c r="K36" s="488">
        <v>9335.75</v>
      </c>
      <c r="L36" s="488">
        <v>578968</v>
      </c>
      <c r="M36" s="367">
        <f t="shared" si="0"/>
        <v>4347266.79</v>
      </c>
      <c r="N36" s="492">
        <v>0</v>
      </c>
      <c r="O36" s="492">
        <v>15712.3</v>
      </c>
      <c r="P36" s="492">
        <v>282077.09999999998</v>
      </c>
      <c r="Q36" s="492">
        <v>33963.589999999997</v>
      </c>
      <c r="R36" s="492">
        <v>206048.65</v>
      </c>
      <c r="S36" s="488">
        <v>11055.37</v>
      </c>
      <c r="T36" s="367">
        <f t="shared" si="1"/>
        <v>4896123.8</v>
      </c>
      <c r="U36" s="490">
        <v>-23491.93</v>
      </c>
      <c r="V36" s="492"/>
      <c r="W36" s="492">
        <v>-50.9</v>
      </c>
      <c r="X36" s="496">
        <v>59</v>
      </c>
      <c r="Y36" s="497">
        <v>1.5</v>
      </c>
      <c r="Z36" s="498">
        <v>1878</v>
      </c>
      <c r="AA36" s="561"/>
      <c r="AB36" s="503"/>
      <c r="AC36" s="330">
        <f>AB36/VPI!R36</f>
        <v>0</v>
      </c>
      <c r="AD36" s="332">
        <f t="shared" si="2"/>
        <v>0</v>
      </c>
      <c r="AE36" s="330">
        <f>AD36/VPI!R36</f>
        <v>0</v>
      </c>
      <c r="AF36" s="503"/>
      <c r="AG36" s="503"/>
      <c r="AH36" s="503"/>
      <c r="AI36" s="562"/>
      <c r="AJ36" s="498"/>
      <c r="AK36" s="330">
        <f>AJ36/VPI!R36</f>
        <v>0</v>
      </c>
      <c r="AL36" s="332">
        <f t="shared" si="3"/>
        <v>0</v>
      </c>
      <c r="AM36" s="330">
        <f>AL36/VPI!R36</f>
        <v>0</v>
      </c>
      <c r="AN36" s="498"/>
      <c r="AO36" s="562"/>
      <c r="AP36" s="511">
        <v>17.985907795663813</v>
      </c>
      <c r="AR36" s="564">
        <v>0</v>
      </c>
    </row>
    <row r="37" spans="1:44" x14ac:dyDescent="0.25">
      <c r="A37" s="559">
        <v>5458</v>
      </c>
      <c r="B37" s="560" t="s">
        <v>296</v>
      </c>
      <c r="C37" s="488">
        <v>1484864.24</v>
      </c>
      <c r="D37" s="488">
        <v>243959.14</v>
      </c>
      <c r="E37" s="488"/>
      <c r="F37" s="489"/>
      <c r="G37" s="488">
        <v>9976.25</v>
      </c>
      <c r="H37" s="488">
        <v>10508.5</v>
      </c>
      <c r="I37" s="488"/>
      <c r="J37" s="488">
        <v>42455.07</v>
      </c>
      <c r="K37" s="488">
        <v>13446.75</v>
      </c>
      <c r="L37" s="488">
        <v>299668.40000000002</v>
      </c>
      <c r="M37" s="367">
        <f t="shared" si="0"/>
        <v>2104878.35</v>
      </c>
      <c r="N37" s="492">
        <v>15297.9</v>
      </c>
      <c r="O37" s="492">
        <v>85288.6</v>
      </c>
      <c r="P37" s="492">
        <v>39848.949999999997</v>
      </c>
      <c r="Q37" s="492"/>
      <c r="R37" s="492">
        <v>17432.099999999999</v>
      </c>
      <c r="S37" s="488">
        <v>1931.38</v>
      </c>
      <c r="T37" s="367">
        <f t="shared" si="1"/>
        <v>2264677.2800000003</v>
      </c>
      <c r="U37" s="490">
        <v>-40004.230000000003</v>
      </c>
      <c r="V37" s="492"/>
      <c r="W37" s="492">
        <v>-93.85</v>
      </c>
      <c r="X37" s="496">
        <v>65</v>
      </c>
      <c r="Y37" s="497">
        <v>1.5</v>
      </c>
      <c r="Z37" s="498">
        <v>906</v>
      </c>
      <c r="AA37" s="561"/>
      <c r="AB37" s="503"/>
      <c r="AC37" s="330">
        <f>AB37/VPI!R37</f>
        <v>0</v>
      </c>
      <c r="AD37" s="332">
        <f t="shared" si="2"/>
        <v>0</v>
      </c>
      <c r="AE37" s="330">
        <f>AD37/VPI!R37</f>
        <v>0</v>
      </c>
      <c r="AF37" s="503"/>
      <c r="AG37" s="503"/>
      <c r="AH37" s="503"/>
      <c r="AI37" s="562"/>
      <c r="AJ37" s="498"/>
      <c r="AK37" s="330">
        <f>AJ37/VPI!R37</f>
        <v>0</v>
      </c>
      <c r="AL37" s="332">
        <f t="shared" si="3"/>
        <v>0</v>
      </c>
      <c r="AM37" s="330">
        <f>AL37/VPI!R37</f>
        <v>0</v>
      </c>
      <c r="AN37" s="498"/>
      <c r="AO37" s="562"/>
      <c r="AP37" s="511">
        <v>21.441582215483511</v>
      </c>
      <c r="AR37" s="564">
        <v>0</v>
      </c>
    </row>
    <row r="38" spans="1:44" x14ac:dyDescent="0.25">
      <c r="A38" s="559">
        <v>5464</v>
      </c>
      <c r="B38" s="560" t="s">
        <v>343</v>
      </c>
      <c r="C38" s="488">
        <v>6306712.5800000001</v>
      </c>
      <c r="D38" s="488">
        <v>1263605.68</v>
      </c>
      <c r="E38" s="488"/>
      <c r="F38" s="489"/>
      <c r="G38" s="488">
        <v>199500.6</v>
      </c>
      <c r="H38" s="488">
        <v>1182.6500000000001</v>
      </c>
      <c r="I38" s="488">
        <v>34058.199999999997</v>
      </c>
      <c r="J38" s="488">
        <v>95851.91</v>
      </c>
      <c r="K38" s="488">
        <v>38050.9</v>
      </c>
      <c r="L38" s="488">
        <v>1164017.8</v>
      </c>
      <c r="M38" s="367">
        <f t="shared" si="0"/>
        <v>9102980.3200000003</v>
      </c>
      <c r="N38" s="492">
        <v>0</v>
      </c>
      <c r="O38" s="492">
        <v>314748</v>
      </c>
      <c r="P38" s="492">
        <v>363261.05</v>
      </c>
      <c r="Q38" s="492">
        <v>33457.910000000003</v>
      </c>
      <c r="R38" s="492">
        <v>235585.8</v>
      </c>
      <c r="S38" s="488">
        <v>18921.189999999999</v>
      </c>
      <c r="T38" s="367">
        <f t="shared" si="1"/>
        <v>10068954.270000001</v>
      </c>
      <c r="U38" s="490">
        <v>-145046.15</v>
      </c>
      <c r="V38" s="492"/>
      <c r="W38" s="492">
        <v>-4790.95</v>
      </c>
      <c r="X38" s="496">
        <v>67</v>
      </c>
      <c r="Y38" s="497">
        <v>1.5</v>
      </c>
      <c r="Z38" s="498">
        <v>3614</v>
      </c>
      <c r="AA38" s="561"/>
      <c r="AB38" s="503"/>
      <c r="AC38" s="330">
        <f>AB38/VPI!R38</f>
        <v>0</v>
      </c>
      <c r="AD38" s="332">
        <f t="shared" si="2"/>
        <v>0</v>
      </c>
      <c r="AE38" s="330">
        <f>AD38/VPI!R38</f>
        <v>0</v>
      </c>
      <c r="AF38" s="503"/>
      <c r="AG38" s="503"/>
      <c r="AH38" s="503"/>
      <c r="AI38" s="562"/>
      <c r="AJ38" s="498"/>
      <c r="AK38" s="330">
        <f>AJ38/VPI!R38</f>
        <v>0</v>
      </c>
      <c r="AL38" s="332">
        <f t="shared" si="3"/>
        <v>0</v>
      </c>
      <c r="AM38" s="330">
        <f>AL38/VPI!R38</f>
        <v>0</v>
      </c>
      <c r="AN38" s="498"/>
      <c r="AO38" s="562"/>
      <c r="AP38" s="511">
        <v>13.029886908319078</v>
      </c>
      <c r="AR38" s="564">
        <v>0</v>
      </c>
    </row>
    <row r="39" spans="1:44" x14ac:dyDescent="0.25">
      <c r="A39" s="559">
        <v>5471</v>
      </c>
      <c r="B39" s="560" t="s">
        <v>297</v>
      </c>
      <c r="C39" s="488">
        <v>1268803.3</v>
      </c>
      <c r="D39" s="488">
        <v>161082.07999999999</v>
      </c>
      <c r="E39" s="488"/>
      <c r="F39" s="489"/>
      <c r="G39" s="488">
        <v>76562.8</v>
      </c>
      <c r="H39" s="488">
        <v>3071.8</v>
      </c>
      <c r="I39" s="488"/>
      <c r="J39" s="488">
        <v>16811.04</v>
      </c>
      <c r="K39" s="488">
        <v>5494.75</v>
      </c>
      <c r="L39" s="488">
        <v>124961.7</v>
      </c>
      <c r="M39" s="367">
        <f t="shared" si="0"/>
        <v>1656787.4700000002</v>
      </c>
      <c r="N39" s="492">
        <v>12214.1</v>
      </c>
      <c r="O39" s="492"/>
      <c r="P39" s="492">
        <v>96360</v>
      </c>
      <c r="Q39" s="492"/>
      <c r="R39" s="492">
        <v>43668.800000000003</v>
      </c>
      <c r="S39" s="488">
        <v>7508.26</v>
      </c>
      <c r="T39" s="367">
        <f t="shared" si="1"/>
        <v>1816538.6300000004</v>
      </c>
      <c r="U39" s="490">
        <v>-16606.990000000002</v>
      </c>
      <c r="V39" s="492"/>
      <c r="W39" s="492">
        <v>-387.7</v>
      </c>
      <c r="X39" s="496">
        <v>70</v>
      </c>
      <c r="Y39" s="497">
        <v>0.9</v>
      </c>
      <c r="Z39" s="498">
        <v>644</v>
      </c>
      <c r="AA39" s="561"/>
      <c r="AB39" s="503"/>
      <c r="AC39" s="330">
        <f>AB39/VPI!R39</f>
        <v>0</v>
      </c>
      <c r="AD39" s="332">
        <f t="shared" si="2"/>
        <v>0</v>
      </c>
      <c r="AE39" s="330">
        <f>AD39/VPI!R39</f>
        <v>0</v>
      </c>
      <c r="AF39" s="503"/>
      <c r="AG39" s="503"/>
      <c r="AH39" s="503"/>
      <c r="AI39" s="562"/>
      <c r="AJ39" s="498"/>
      <c r="AK39" s="330">
        <f>AJ39/VPI!R39</f>
        <v>0</v>
      </c>
      <c r="AL39" s="332">
        <f t="shared" si="3"/>
        <v>0</v>
      </c>
      <c r="AM39" s="330">
        <f>AL39/VPI!R39</f>
        <v>0</v>
      </c>
      <c r="AN39" s="498"/>
      <c r="AO39" s="562"/>
      <c r="AP39" s="511">
        <v>19.473765426573799</v>
      </c>
      <c r="AR39" s="564">
        <v>0</v>
      </c>
    </row>
    <row r="40" spans="1:44" x14ac:dyDescent="0.25">
      <c r="A40" s="559">
        <v>5472</v>
      </c>
      <c r="B40" s="560" t="s">
        <v>298</v>
      </c>
      <c r="C40" s="488">
        <v>1121237.6000000001</v>
      </c>
      <c r="D40" s="488">
        <v>128015.43</v>
      </c>
      <c r="E40" s="488"/>
      <c r="F40" s="489"/>
      <c r="G40" s="488">
        <v>5317.45</v>
      </c>
      <c r="H40" s="488">
        <v>183.6</v>
      </c>
      <c r="I40" s="488"/>
      <c r="J40" s="488">
        <v>2132.36</v>
      </c>
      <c r="K40" s="488">
        <v>2061.5</v>
      </c>
      <c r="L40" s="488">
        <v>117607.2</v>
      </c>
      <c r="M40" s="367">
        <f t="shared" si="0"/>
        <v>1376555.1400000001</v>
      </c>
      <c r="N40" s="492">
        <v>0</v>
      </c>
      <c r="O40" s="492"/>
      <c r="P40" s="492">
        <v>60993.35</v>
      </c>
      <c r="Q40" s="492"/>
      <c r="R40" s="492">
        <v>63112.3</v>
      </c>
      <c r="S40" s="488">
        <v>518.66</v>
      </c>
      <c r="T40" s="367">
        <f t="shared" si="1"/>
        <v>1501179.4500000002</v>
      </c>
      <c r="U40" s="490">
        <v>-7018.29</v>
      </c>
      <c r="V40" s="492"/>
      <c r="W40" s="492">
        <v>-610.25</v>
      </c>
      <c r="X40" s="496">
        <v>68</v>
      </c>
      <c r="Y40" s="497">
        <v>1</v>
      </c>
      <c r="Z40" s="498">
        <v>519</v>
      </c>
      <c r="AA40" s="561"/>
      <c r="AB40" s="503"/>
      <c r="AC40" s="330">
        <f>AB40/VPI!R40</f>
        <v>0</v>
      </c>
      <c r="AD40" s="332">
        <f t="shared" si="2"/>
        <v>0</v>
      </c>
      <c r="AE40" s="330">
        <f>AD40/VPI!R40</f>
        <v>0</v>
      </c>
      <c r="AF40" s="503"/>
      <c r="AG40" s="503"/>
      <c r="AH40" s="503"/>
      <c r="AI40" s="562"/>
      <c r="AJ40" s="498"/>
      <c r="AK40" s="330">
        <f>AJ40/VPI!R40</f>
        <v>0</v>
      </c>
      <c r="AL40" s="332">
        <f t="shared" si="3"/>
        <v>0</v>
      </c>
      <c r="AM40" s="330">
        <f>AL40/VPI!R40</f>
        <v>0</v>
      </c>
      <c r="AN40" s="498"/>
      <c r="AO40" s="562"/>
      <c r="AP40" s="511">
        <v>22.886159953769759</v>
      </c>
      <c r="AR40" s="564">
        <v>0</v>
      </c>
    </row>
    <row r="41" spans="1:44" x14ac:dyDescent="0.25">
      <c r="A41" s="559">
        <v>5473</v>
      </c>
      <c r="B41" s="560" t="s">
        <v>188</v>
      </c>
      <c r="C41" s="488">
        <v>2116763.1</v>
      </c>
      <c r="D41" s="488">
        <v>210936.01</v>
      </c>
      <c r="E41" s="488"/>
      <c r="F41" s="489"/>
      <c r="G41" s="488">
        <v>39938.1</v>
      </c>
      <c r="H41" s="488">
        <v>4079.35</v>
      </c>
      <c r="I41" s="488"/>
      <c r="J41" s="488">
        <v>552.95000000000005</v>
      </c>
      <c r="K41" s="488">
        <v>4960.5</v>
      </c>
      <c r="L41" s="488">
        <v>203078.9</v>
      </c>
      <c r="M41" s="367">
        <f t="shared" si="0"/>
        <v>2580308.9100000006</v>
      </c>
      <c r="N41" s="492">
        <v>5069.8</v>
      </c>
      <c r="O41" s="492"/>
      <c r="P41" s="492">
        <v>108372</v>
      </c>
      <c r="Q41" s="492">
        <v>1304.58</v>
      </c>
      <c r="R41" s="492">
        <v>71845.55</v>
      </c>
      <c r="S41" s="488">
        <v>4150.13</v>
      </c>
      <c r="T41" s="367">
        <f t="shared" si="1"/>
        <v>2771050.97</v>
      </c>
      <c r="U41" s="490">
        <v>-33873.800000000003</v>
      </c>
      <c r="V41" s="492"/>
      <c r="W41" s="492">
        <v>-216.25</v>
      </c>
      <c r="X41" s="496">
        <v>66</v>
      </c>
      <c r="Y41" s="497">
        <v>1</v>
      </c>
      <c r="Z41" s="498">
        <v>1023</v>
      </c>
      <c r="AA41" s="561"/>
      <c r="AB41" s="503"/>
      <c r="AC41" s="330">
        <f>AB41/VPI!R41</f>
        <v>0</v>
      </c>
      <c r="AD41" s="332">
        <f t="shared" si="2"/>
        <v>0</v>
      </c>
      <c r="AE41" s="330">
        <f>AD41/VPI!R41</f>
        <v>0</v>
      </c>
      <c r="AF41" s="503"/>
      <c r="AG41" s="503"/>
      <c r="AH41" s="503"/>
      <c r="AI41" s="562"/>
      <c r="AJ41" s="498"/>
      <c r="AK41" s="330">
        <f>AJ41/VPI!R41</f>
        <v>0</v>
      </c>
      <c r="AL41" s="332">
        <f t="shared" si="3"/>
        <v>0</v>
      </c>
      <c r="AM41" s="330">
        <f>AL41/VPI!R41</f>
        <v>0</v>
      </c>
      <c r="AN41" s="498"/>
      <c r="AO41" s="562"/>
      <c r="AP41" s="511">
        <v>23.618903214736822</v>
      </c>
      <c r="AR41" s="564">
        <v>0</v>
      </c>
    </row>
    <row r="42" spans="1:44" x14ac:dyDescent="0.25">
      <c r="A42" s="559">
        <v>5474</v>
      </c>
      <c r="B42" s="560" t="s">
        <v>189</v>
      </c>
      <c r="C42" s="488">
        <v>870066.41</v>
      </c>
      <c r="D42" s="488">
        <v>146771.70000000001</v>
      </c>
      <c r="E42" s="488"/>
      <c r="F42" s="489"/>
      <c r="G42" s="488">
        <v>12592.9</v>
      </c>
      <c r="H42" s="488">
        <v>4208.95</v>
      </c>
      <c r="I42" s="488"/>
      <c r="J42" s="488">
        <v>8614.16</v>
      </c>
      <c r="K42" s="488">
        <v>804</v>
      </c>
      <c r="L42" s="488">
        <v>91152.2</v>
      </c>
      <c r="M42" s="367">
        <f t="shared" si="0"/>
        <v>1134210.32</v>
      </c>
      <c r="N42" s="492">
        <v>5210.8500000000004</v>
      </c>
      <c r="O42" s="492">
        <v>6430</v>
      </c>
      <c r="P42" s="492">
        <v>38275.65</v>
      </c>
      <c r="Q42" s="492">
        <v>6344.85</v>
      </c>
      <c r="R42" s="492">
        <v>52264.75</v>
      </c>
      <c r="S42" s="488">
        <v>1584.14</v>
      </c>
      <c r="T42" s="367">
        <f t="shared" si="1"/>
        <v>1244320.56</v>
      </c>
      <c r="U42" s="490">
        <v>-2363.13</v>
      </c>
      <c r="V42" s="492"/>
      <c r="W42" s="492">
        <v>-604.75</v>
      </c>
      <c r="X42" s="496">
        <v>76</v>
      </c>
      <c r="Y42" s="497">
        <v>1.2</v>
      </c>
      <c r="Z42" s="498">
        <v>433</v>
      </c>
      <c r="AA42" s="561"/>
      <c r="AB42" s="503"/>
      <c r="AC42" s="330">
        <f>AB42/VPI!R42</f>
        <v>0</v>
      </c>
      <c r="AD42" s="332">
        <f t="shared" si="2"/>
        <v>0</v>
      </c>
      <c r="AE42" s="330">
        <f>AD42/VPI!R42</f>
        <v>0</v>
      </c>
      <c r="AF42" s="503"/>
      <c r="AG42" s="503"/>
      <c r="AH42" s="503"/>
      <c r="AI42" s="562"/>
      <c r="AJ42" s="498"/>
      <c r="AK42" s="330">
        <f>AJ42/VPI!R42</f>
        <v>0</v>
      </c>
      <c r="AL42" s="332">
        <f t="shared" si="3"/>
        <v>0</v>
      </c>
      <c r="AM42" s="330">
        <f>AL42/VPI!R42</f>
        <v>0</v>
      </c>
      <c r="AN42" s="498"/>
      <c r="AO42" s="562"/>
      <c r="AP42" s="511">
        <v>16.770669982783396</v>
      </c>
      <c r="AR42" s="564">
        <v>0</v>
      </c>
    </row>
    <row r="43" spans="1:44" x14ac:dyDescent="0.25">
      <c r="A43" s="559">
        <v>5475</v>
      </c>
      <c r="B43" s="560" t="s">
        <v>305</v>
      </c>
      <c r="C43" s="488">
        <v>270893.93</v>
      </c>
      <c r="D43" s="488">
        <v>45401.15</v>
      </c>
      <c r="E43" s="488"/>
      <c r="F43" s="489"/>
      <c r="G43" s="488">
        <v>411.6</v>
      </c>
      <c r="H43" s="488">
        <v>35.75</v>
      </c>
      <c r="I43" s="488"/>
      <c r="J43" s="488">
        <v>420.48</v>
      </c>
      <c r="K43" s="488"/>
      <c r="L43" s="488">
        <v>26530.3</v>
      </c>
      <c r="M43" s="367">
        <f t="shared" si="0"/>
        <v>343693.20999999996</v>
      </c>
      <c r="N43" s="492">
        <v>0</v>
      </c>
      <c r="O43" s="492"/>
      <c r="P43" s="492"/>
      <c r="Q43" s="492"/>
      <c r="R43" s="492">
        <v>42855.5</v>
      </c>
      <c r="S43" s="488">
        <v>42.18</v>
      </c>
      <c r="T43" s="367">
        <f t="shared" si="1"/>
        <v>386590.88999999996</v>
      </c>
      <c r="U43" s="490">
        <v>-41.19</v>
      </c>
      <c r="V43" s="492"/>
      <c r="W43" s="492">
        <v>0</v>
      </c>
      <c r="X43" s="496">
        <v>75</v>
      </c>
      <c r="Y43" s="497">
        <v>1</v>
      </c>
      <c r="Z43" s="498">
        <v>158</v>
      </c>
      <c r="AA43" s="561"/>
      <c r="AB43" s="503"/>
      <c r="AC43" s="330">
        <f>AB43/VPI!R43</f>
        <v>0</v>
      </c>
      <c r="AD43" s="332">
        <f t="shared" si="2"/>
        <v>0</v>
      </c>
      <c r="AE43" s="330">
        <f>AD43/VPI!R43</f>
        <v>0</v>
      </c>
      <c r="AF43" s="503"/>
      <c r="AG43" s="503"/>
      <c r="AH43" s="503"/>
      <c r="AI43" s="562"/>
      <c r="AJ43" s="498"/>
      <c r="AK43" s="330">
        <f>AJ43/VPI!R43</f>
        <v>0</v>
      </c>
      <c r="AL43" s="332">
        <f t="shared" si="3"/>
        <v>0</v>
      </c>
      <c r="AM43" s="330">
        <f>AL43/VPI!R43</f>
        <v>0</v>
      </c>
      <c r="AN43" s="498"/>
      <c r="AO43" s="562"/>
      <c r="AP43" s="511">
        <v>7.0293558529690081</v>
      </c>
      <c r="AR43" s="564">
        <v>0</v>
      </c>
    </row>
    <row r="44" spans="1:44" x14ac:dyDescent="0.25">
      <c r="A44" s="559">
        <v>5476</v>
      </c>
      <c r="B44" s="560" t="s">
        <v>306</v>
      </c>
      <c r="C44" s="488">
        <v>796986.24</v>
      </c>
      <c r="D44" s="488">
        <v>98317.27</v>
      </c>
      <c r="E44" s="488"/>
      <c r="F44" s="489"/>
      <c r="G44" s="488">
        <v>5686.1</v>
      </c>
      <c r="H44" s="488">
        <v>378.95</v>
      </c>
      <c r="I44" s="488"/>
      <c r="J44" s="488">
        <v>-5527.84</v>
      </c>
      <c r="K44" s="488"/>
      <c r="L44" s="488">
        <v>64309.05</v>
      </c>
      <c r="M44" s="367">
        <f t="shared" si="0"/>
        <v>960149.77</v>
      </c>
      <c r="N44" s="492">
        <v>0</v>
      </c>
      <c r="O44" s="492">
        <v>6689.2</v>
      </c>
      <c r="P44" s="492">
        <v>41148.050000000003</v>
      </c>
      <c r="Q44" s="492">
        <v>5155.8100000000004</v>
      </c>
      <c r="R44" s="492">
        <v>30969.15</v>
      </c>
      <c r="S44" s="488">
        <v>571.84</v>
      </c>
      <c r="T44" s="367">
        <f t="shared" si="1"/>
        <v>1044683.8200000001</v>
      </c>
      <c r="U44" s="490">
        <v>-13260.01</v>
      </c>
      <c r="V44" s="492"/>
      <c r="W44" s="492">
        <v>-191.6</v>
      </c>
      <c r="X44" s="496">
        <v>71</v>
      </c>
      <c r="Y44" s="497">
        <v>1</v>
      </c>
      <c r="Z44" s="498">
        <v>337</v>
      </c>
      <c r="AA44" s="561"/>
      <c r="AB44" s="503"/>
      <c r="AC44" s="330">
        <f>AB44/VPI!R44</f>
        <v>0</v>
      </c>
      <c r="AD44" s="332">
        <f t="shared" si="2"/>
        <v>0</v>
      </c>
      <c r="AE44" s="330">
        <f>AD44/VPI!R44</f>
        <v>0</v>
      </c>
      <c r="AF44" s="503"/>
      <c r="AG44" s="503"/>
      <c r="AH44" s="503"/>
      <c r="AI44" s="562"/>
      <c r="AJ44" s="498"/>
      <c r="AK44" s="330">
        <f>AJ44/VPI!R44</f>
        <v>0</v>
      </c>
      <c r="AL44" s="332">
        <f t="shared" si="3"/>
        <v>0</v>
      </c>
      <c r="AM44" s="330">
        <f>AL44/VPI!R44</f>
        <v>0</v>
      </c>
      <c r="AN44" s="498"/>
      <c r="AO44" s="562"/>
      <c r="AP44" s="511">
        <v>23.775249009751146</v>
      </c>
      <c r="AR44" s="564">
        <v>0</v>
      </c>
    </row>
    <row r="45" spans="1:44" x14ac:dyDescent="0.25">
      <c r="A45" s="559">
        <v>5477</v>
      </c>
      <c r="B45" s="560" t="s">
        <v>307</v>
      </c>
      <c r="C45" s="488">
        <v>8301140.7999999998</v>
      </c>
      <c r="D45" s="488">
        <v>1028699.84</v>
      </c>
      <c r="E45" s="488"/>
      <c r="F45" s="489"/>
      <c r="G45" s="488">
        <v>379790.7</v>
      </c>
      <c r="H45" s="488">
        <v>17714.849999999999</v>
      </c>
      <c r="I45" s="488"/>
      <c r="J45" s="488">
        <v>172383.5</v>
      </c>
      <c r="K45" s="488">
        <v>55754.1</v>
      </c>
      <c r="L45" s="488">
        <v>810246.25</v>
      </c>
      <c r="M45" s="367">
        <f t="shared" si="0"/>
        <v>10765730.039999999</v>
      </c>
      <c r="N45" s="492">
        <v>164975.85</v>
      </c>
      <c r="O45" s="492">
        <v>168621.8</v>
      </c>
      <c r="P45" s="492">
        <v>919850.05</v>
      </c>
      <c r="Q45" s="492">
        <v>19206.82</v>
      </c>
      <c r="R45" s="492">
        <v>476791.3</v>
      </c>
      <c r="S45" s="488">
        <v>37478.35</v>
      </c>
      <c r="T45" s="367">
        <f t="shared" si="1"/>
        <v>12552654.210000001</v>
      </c>
      <c r="U45" s="490">
        <v>-143875.84</v>
      </c>
      <c r="V45" s="492"/>
      <c r="W45" s="492">
        <v>-1556.25</v>
      </c>
      <c r="X45" s="496">
        <v>68</v>
      </c>
      <c r="Y45" s="497">
        <v>1</v>
      </c>
      <c r="Z45" s="498">
        <v>4772</v>
      </c>
      <c r="AA45" s="561"/>
      <c r="AB45" s="503"/>
      <c r="AC45" s="330">
        <f>AB45/VPI!R45</f>
        <v>0</v>
      </c>
      <c r="AD45" s="332">
        <f t="shared" si="2"/>
        <v>0</v>
      </c>
      <c r="AE45" s="330">
        <f>AD45/VPI!R45</f>
        <v>0</v>
      </c>
      <c r="AF45" s="503"/>
      <c r="AG45" s="503"/>
      <c r="AH45" s="503"/>
      <c r="AI45" s="562"/>
      <c r="AJ45" s="498"/>
      <c r="AK45" s="330">
        <f>AJ45/VPI!R45</f>
        <v>0</v>
      </c>
      <c r="AL45" s="332">
        <f t="shared" si="3"/>
        <v>0</v>
      </c>
      <c r="AM45" s="330">
        <f>AL45/VPI!R45</f>
        <v>0</v>
      </c>
      <c r="AN45" s="498"/>
      <c r="AO45" s="562"/>
      <c r="AP45" s="511">
        <v>12.950921498305551</v>
      </c>
      <c r="AR45" s="564">
        <v>0</v>
      </c>
    </row>
    <row r="46" spans="1:44" x14ac:dyDescent="0.25">
      <c r="A46" s="559">
        <v>5479</v>
      </c>
      <c r="B46" s="560" t="s">
        <v>214</v>
      </c>
      <c r="C46" s="488">
        <v>1154336.58</v>
      </c>
      <c r="D46" s="488">
        <v>139437.23000000001</v>
      </c>
      <c r="E46" s="488"/>
      <c r="F46" s="489"/>
      <c r="G46" s="488">
        <v>40392.65</v>
      </c>
      <c r="H46" s="488">
        <v>147.6</v>
      </c>
      <c r="I46" s="488"/>
      <c r="J46" s="488">
        <v>21821.88</v>
      </c>
      <c r="K46" s="488">
        <v>1965.5</v>
      </c>
      <c r="L46" s="488">
        <v>99641.45</v>
      </c>
      <c r="M46" s="367">
        <f t="shared" si="0"/>
        <v>1457742.89</v>
      </c>
      <c r="N46" s="492">
        <v>9993.2999999999993</v>
      </c>
      <c r="O46" s="492"/>
      <c r="P46" s="492">
        <v>24963.599999999999</v>
      </c>
      <c r="Q46" s="492">
        <v>2314.04</v>
      </c>
      <c r="R46" s="492">
        <v>53487.35</v>
      </c>
      <c r="S46" s="488">
        <v>3822.29</v>
      </c>
      <c r="T46" s="367">
        <f t="shared" si="1"/>
        <v>1552323.4700000002</v>
      </c>
      <c r="U46" s="490">
        <v>-32730.05</v>
      </c>
      <c r="V46" s="492"/>
      <c r="W46" s="492">
        <v>-493.8</v>
      </c>
      <c r="X46" s="496">
        <v>76</v>
      </c>
      <c r="Y46" s="497">
        <v>1</v>
      </c>
      <c r="Z46" s="498">
        <v>541</v>
      </c>
      <c r="AA46" s="561"/>
      <c r="AB46" s="503"/>
      <c r="AC46" s="330">
        <f>AB46/VPI!R46</f>
        <v>0</v>
      </c>
      <c r="AD46" s="332">
        <f t="shared" si="2"/>
        <v>0</v>
      </c>
      <c r="AE46" s="330">
        <f>AD46/VPI!R46</f>
        <v>0</v>
      </c>
      <c r="AF46" s="503"/>
      <c r="AG46" s="503"/>
      <c r="AH46" s="503"/>
      <c r="AI46" s="562"/>
      <c r="AJ46" s="498"/>
      <c r="AK46" s="330">
        <f>AJ46/VPI!R46</f>
        <v>0</v>
      </c>
      <c r="AL46" s="332">
        <f t="shared" si="3"/>
        <v>0</v>
      </c>
      <c r="AM46" s="330">
        <f>AL46/VPI!R46</f>
        <v>0</v>
      </c>
      <c r="AN46" s="498"/>
      <c r="AO46" s="562"/>
      <c r="AP46" s="511">
        <v>5.8866589943419827</v>
      </c>
      <c r="AR46" s="564">
        <v>0</v>
      </c>
    </row>
    <row r="47" spans="1:44" x14ac:dyDescent="0.25">
      <c r="A47" s="559">
        <v>5480</v>
      </c>
      <c r="B47" s="560" t="s">
        <v>215</v>
      </c>
      <c r="C47" s="488">
        <v>2324253.44</v>
      </c>
      <c r="D47" s="488">
        <v>360203.43</v>
      </c>
      <c r="E47" s="488"/>
      <c r="F47" s="489"/>
      <c r="G47" s="488">
        <v>236538.3</v>
      </c>
      <c r="H47" s="488">
        <v>-6496.8</v>
      </c>
      <c r="I47" s="488"/>
      <c r="J47" s="488">
        <v>48474.6</v>
      </c>
      <c r="K47" s="488">
        <v>12791.2</v>
      </c>
      <c r="L47" s="488">
        <v>403331.1</v>
      </c>
      <c r="M47" s="367">
        <f t="shared" si="0"/>
        <v>3379095.2700000005</v>
      </c>
      <c r="N47" s="492">
        <v>209316.65</v>
      </c>
      <c r="O47" s="492">
        <v>2148.9</v>
      </c>
      <c r="P47" s="492">
        <v>150330.9</v>
      </c>
      <c r="Q47" s="492">
        <v>4565.8999999999996</v>
      </c>
      <c r="R47" s="492">
        <v>146586.75</v>
      </c>
      <c r="S47" s="488">
        <v>21689.200000000001</v>
      </c>
      <c r="T47" s="367">
        <f t="shared" si="1"/>
        <v>3913733.5700000003</v>
      </c>
      <c r="U47" s="490">
        <v>-88694.55</v>
      </c>
      <c r="V47" s="492"/>
      <c r="W47" s="492">
        <v>-1173.5</v>
      </c>
      <c r="X47" s="496">
        <v>66</v>
      </c>
      <c r="Y47" s="497">
        <v>1.2</v>
      </c>
      <c r="Z47" s="498">
        <v>1062</v>
      </c>
      <c r="AA47" s="561"/>
      <c r="AB47" s="503"/>
      <c r="AC47" s="330">
        <f>AB47/VPI!R47</f>
        <v>0</v>
      </c>
      <c r="AD47" s="332">
        <f t="shared" si="2"/>
        <v>0</v>
      </c>
      <c r="AE47" s="330">
        <f>AD47/VPI!R47</f>
        <v>0</v>
      </c>
      <c r="AF47" s="503"/>
      <c r="AG47" s="503"/>
      <c r="AH47" s="503"/>
      <c r="AI47" s="562"/>
      <c r="AJ47" s="498"/>
      <c r="AK47" s="330">
        <f>AJ47/VPI!R47</f>
        <v>0</v>
      </c>
      <c r="AL47" s="332">
        <f t="shared" si="3"/>
        <v>0</v>
      </c>
      <c r="AM47" s="330">
        <f>AL47/VPI!R47</f>
        <v>0</v>
      </c>
      <c r="AN47" s="498"/>
      <c r="AO47" s="562"/>
      <c r="AP47" s="511">
        <v>23.804321036146991</v>
      </c>
      <c r="AR47" s="564">
        <v>0</v>
      </c>
    </row>
    <row r="48" spans="1:44" x14ac:dyDescent="0.25">
      <c r="A48" s="559">
        <v>5481</v>
      </c>
      <c r="B48" s="560" t="s">
        <v>216</v>
      </c>
      <c r="C48" s="488">
        <v>459358.55</v>
      </c>
      <c r="D48" s="488">
        <v>99870.84</v>
      </c>
      <c r="E48" s="488"/>
      <c r="F48" s="489"/>
      <c r="G48" s="488">
        <v>62208.7</v>
      </c>
      <c r="H48" s="488">
        <v>354.6</v>
      </c>
      <c r="I48" s="488"/>
      <c r="J48" s="488">
        <v>1600.53</v>
      </c>
      <c r="K48" s="488"/>
      <c r="L48" s="488">
        <v>41600.15</v>
      </c>
      <c r="M48" s="367">
        <f t="shared" si="0"/>
        <v>664993.37</v>
      </c>
      <c r="N48" s="492">
        <v>0</v>
      </c>
      <c r="O48" s="492"/>
      <c r="P48" s="492">
        <v>35598.199999999997</v>
      </c>
      <c r="Q48" s="492"/>
      <c r="R48" s="492">
        <v>39587.75</v>
      </c>
      <c r="S48" s="488">
        <v>5898.71</v>
      </c>
      <c r="T48" s="367">
        <f t="shared" si="1"/>
        <v>746078.02999999991</v>
      </c>
      <c r="U48" s="490">
        <v>-121.39</v>
      </c>
      <c r="V48" s="492"/>
      <c r="W48" s="492">
        <v>0</v>
      </c>
      <c r="X48" s="496">
        <v>75</v>
      </c>
      <c r="Y48" s="497">
        <v>1</v>
      </c>
      <c r="Z48" s="498">
        <v>237</v>
      </c>
      <c r="AA48" s="561"/>
      <c r="AB48" s="503"/>
      <c r="AC48" s="330">
        <f>AB48/VPI!R48</f>
        <v>0</v>
      </c>
      <c r="AD48" s="332">
        <f t="shared" si="2"/>
        <v>0</v>
      </c>
      <c r="AE48" s="330">
        <f>AD48/VPI!R48</f>
        <v>0</v>
      </c>
      <c r="AF48" s="503"/>
      <c r="AG48" s="503"/>
      <c r="AH48" s="503"/>
      <c r="AI48" s="562"/>
      <c r="AJ48" s="498"/>
      <c r="AK48" s="330">
        <f>AJ48/VPI!R48</f>
        <v>0</v>
      </c>
      <c r="AL48" s="332">
        <f t="shared" si="3"/>
        <v>0</v>
      </c>
      <c r="AM48" s="330">
        <f>AL48/VPI!R48</f>
        <v>0</v>
      </c>
      <c r="AN48" s="498"/>
      <c r="AO48" s="562"/>
      <c r="AP48" s="511">
        <v>20.198598990332048</v>
      </c>
      <c r="AR48" s="564">
        <v>0</v>
      </c>
    </row>
    <row r="49" spans="1:44" x14ac:dyDescent="0.25">
      <c r="A49" s="559">
        <v>5482</v>
      </c>
      <c r="B49" s="560" t="s">
        <v>217</v>
      </c>
      <c r="C49" s="488">
        <v>1441852.11</v>
      </c>
      <c r="D49" s="488">
        <v>185836.98</v>
      </c>
      <c r="E49" s="488"/>
      <c r="F49" s="489"/>
      <c r="G49" s="488">
        <v>507122.65</v>
      </c>
      <c r="H49" s="488">
        <v>4995.25</v>
      </c>
      <c r="I49" s="488"/>
      <c r="J49" s="488">
        <v>71185.31</v>
      </c>
      <c r="K49" s="488">
        <v>20132.7</v>
      </c>
      <c r="L49" s="488">
        <v>446526.25</v>
      </c>
      <c r="M49" s="367">
        <f t="shared" si="0"/>
        <v>2677651.2500000005</v>
      </c>
      <c r="N49" s="492">
        <v>670975.94999999995</v>
      </c>
      <c r="O49" s="492"/>
      <c r="P49" s="492">
        <v>29893.35</v>
      </c>
      <c r="Q49" s="492">
        <v>1200.33</v>
      </c>
      <c r="R49" s="492">
        <v>74696.149999999994</v>
      </c>
      <c r="S49" s="488">
        <v>48284.44</v>
      </c>
      <c r="T49" s="367">
        <f t="shared" si="1"/>
        <v>3502701.47</v>
      </c>
      <c r="U49" s="490">
        <v>-78209.27</v>
      </c>
      <c r="V49" s="492"/>
      <c r="W49" s="492">
        <v>-232.61</v>
      </c>
      <c r="X49" s="496">
        <v>46</v>
      </c>
      <c r="Y49" s="497">
        <v>1</v>
      </c>
      <c r="Z49" s="498">
        <v>1182</v>
      </c>
      <c r="AA49" s="561"/>
      <c r="AB49" s="503"/>
      <c r="AC49" s="330">
        <f>AB49/VPI!R49</f>
        <v>0</v>
      </c>
      <c r="AD49" s="332">
        <f t="shared" si="2"/>
        <v>0</v>
      </c>
      <c r="AE49" s="330">
        <f>AD49/VPI!R49</f>
        <v>0</v>
      </c>
      <c r="AF49" s="503"/>
      <c r="AG49" s="503"/>
      <c r="AH49" s="503"/>
      <c r="AI49" s="562"/>
      <c r="AJ49" s="498"/>
      <c r="AK49" s="330">
        <f>AJ49/VPI!R49</f>
        <v>0</v>
      </c>
      <c r="AL49" s="332">
        <f t="shared" si="3"/>
        <v>0</v>
      </c>
      <c r="AM49" s="330">
        <f>AL49/VPI!R49</f>
        <v>0</v>
      </c>
      <c r="AN49" s="498"/>
      <c r="AO49" s="562"/>
      <c r="AP49" s="511">
        <v>24.901735381562247</v>
      </c>
      <c r="AR49" s="564">
        <v>0</v>
      </c>
    </row>
    <row r="50" spans="1:44" x14ac:dyDescent="0.25">
      <c r="A50" s="559">
        <v>5483</v>
      </c>
      <c r="B50" s="560" t="s">
        <v>125</v>
      </c>
      <c r="C50" s="488">
        <v>757496.31999999995</v>
      </c>
      <c r="D50" s="488">
        <v>80604.710000000006</v>
      </c>
      <c r="E50" s="488"/>
      <c r="F50" s="489"/>
      <c r="G50" s="488">
        <v>3951.1</v>
      </c>
      <c r="H50" s="488">
        <v>2553.5</v>
      </c>
      <c r="I50" s="488"/>
      <c r="J50" s="488">
        <v>3698.76</v>
      </c>
      <c r="K50" s="488">
        <v>175.5</v>
      </c>
      <c r="L50" s="488">
        <v>58531.4</v>
      </c>
      <c r="M50" s="367">
        <f t="shared" si="0"/>
        <v>907011.28999999992</v>
      </c>
      <c r="N50" s="492">
        <v>934.25</v>
      </c>
      <c r="O50" s="492"/>
      <c r="P50" s="492">
        <v>2455.1999999999998</v>
      </c>
      <c r="Q50" s="492"/>
      <c r="R50" s="492">
        <v>6480.85</v>
      </c>
      <c r="S50" s="488">
        <v>613.28</v>
      </c>
      <c r="T50" s="367">
        <f t="shared" si="1"/>
        <v>917494.86999999988</v>
      </c>
      <c r="U50" s="490">
        <v>-1374.61</v>
      </c>
      <c r="V50" s="492"/>
      <c r="W50" s="492">
        <v>-1189</v>
      </c>
      <c r="X50" s="496">
        <v>76</v>
      </c>
      <c r="Y50" s="497">
        <v>1</v>
      </c>
      <c r="Z50" s="498">
        <v>319</v>
      </c>
      <c r="AA50" s="561"/>
      <c r="AB50" s="503"/>
      <c r="AC50" s="330">
        <f>AB50/VPI!R50</f>
        <v>0</v>
      </c>
      <c r="AD50" s="332">
        <f t="shared" si="2"/>
        <v>0</v>
      </c>
      <c r="AE50" s="330">
        <f>AD50/VPI!R50</f>
        <v>0</v>
      </c>
      <c r="AF50" s="503"/>
      <c r="AG50" s="503"/>
      <c r="AH50" s="503"/>
      <c r="AI50" s="562"/>
      <c r="AJ50" s="498"/>
      <c r="AK50" s="330">
        <f>AJ50/VPI!R50</f>
        <v>0</v>
      </c>
      <c r="AL50" s="332">
        <f t="shared" si="3"/>
        <v>0</v>
      </c>
      <c r="AM50" s="330">
        <f>AL50/VPI!R50</f>
        <v>0</v>
      </c>
      <c r="AN50" s="498"/>
      <c r="AO50" s="562"/>
      <c r="AP50" s="511">
        <v>16.485909587623706</v>
      </c>
      <c r="AR50" s="564">
        <v>0</v>
      </c>
    </row>
    <row r="51" spans="1:44" x14ac:dyDescent="0.25">
      <c r="A51" s="559">
        <v>5484</v>
      </c>
      <c r="B51" s="560" t="s">
        <v>126</v>
      </c>
      <c r="C51" s="488">
        <v>2003829.9</v>
      </c>
      <c r="D51" s="488">
        <v>292137.43</v>
      </c>
      <c r="E51" s="488"/>
      <c r="F51" s="489"/>
      <c r="G51" s="488">
        <v>59673.7</v>
      </c>
      <c r="H51" s="488">
        <v>2466.4</v>
      </c>
      <c r="I51" s="488"/>
      <c r="J51" s="488">
        <v>9013.6200000000008</v>
      </c>
      <c r="K51" s="488">
        <v>7445.15</v>
      </c>
      <c r="L51" s="488">
        <v>203760.4</v>
      </c>
      <c r="M51" s="367">
        <f t="shared" si="0"/>
        <v>2578326.6</v>
      </c>
      <c r="N51" s="492">
        <v>39886.400000000001</v>
      </c>
      <c r="O51" s="492">
        <v>1878.1</v>
      </c>
      <c r="P51" s="492">
        <v>139599.9</v>
      </c>
      <c r="Q51" s="492">
        <v>2942.83</v>
      </c>
      <c r="R51" s="492">
        <v>53849.4</v>
      </c>
      <c r="S51" s="488">
        <v>5858.81</v>
      </c>
      <c r="T51" s="367">
        <f t="shared" si="1"/>
        <v>2822342.04</v>
      </c>
      <c r="U51" s="490">
        <v>-13949.72</v>
      </c>
      <c r="V51" s="492"/>
      <c r="W51" s="492">
        <v>-286.79000000000002</v>
      </c>
      <c r="X51" s="496">
        <v>74</v>
      </c>
      <c r="Y51" s="497">
        <v>1</v>
      </c>
      <c r="Z51" s="498">
        <v>1064</v>
      </c>
      <c r="AA51" s="561"/>
      <c r="AB51" s="503"/>
      <c r="AC51" s="330">
        <f>AB51/VPI!R51</f>
        <v>0</v>
      </c>
      <c r="AD51" s="332">
        <f t="shared" si="2"/>
        <v>0</v>
      </c>
      <c r="AE51" s="330">
        <f>AD51/VPI!R51</f>
        <v>0</v>
      </c>
      <c r="AF51" s="503"/>
      <c r="AG51" s="503"/>
      <c r="AH51" s="503"/>
      <c r="AI51" s="562"/>
      <c r="AJ51" s="498"/>
      <c r="AK51" s="330">
        <f>AJ51/VPI!R51</f>
        <v>0</v>
      </c>
      <c r="AL51" s="332">
        <f t="shared" si="3"/>
        <v>0</v>
      </c>
      <c r="AM51" s="330">
        <f>AL51/VPI!R51</f>
        <v>0</v>
      </c>
      <c r="AN51" s="498"/>
      <c r="AO51" s="562"/>
      <c r="AP51" s="511">
        <v>14.725697177751371</v>
      </c>
      <c r="AR51" s="564">
        <v>0</v>
      </c>
    </row>
    <row r="52" spans="1:44" x14ac:dyDescent="0.25">
      <c r="A52" s="559">
        <v>5485</v>
      </c>
      <c r="B52" s="560" t="s">
        <v>127</v>
      </c>
      <c r="C52" s="488">
        <v>1587768</v>
      </c>
      <c r="D52" s="488">
        <v>304332.14</v>
      </c>
      <c r="E52" s="488"/>
      <c r="F52" s="489"/>
      <c r="G52" s="488">
        <v>51802.8</v>
      </c>
      <c r="H52" s="488">
        <v>6416.2</v>
      </c>
      <c r="I52" s="488"/>
      <c r="J52" s="488">
        <v>9150.94</v>
      </c>
      <c r="K52" s="488">
        <v>3.75</v>
      </c>
      <c r="L52" s="488">
        <v>94509.15</v>
      </c>
      <c r="M52" s="367">
        <f t="shared" si="0"/>
        <v>2053982.98</v>
      </c>
      <c r="N52" s="492">
        <v>8427.65</v>
      </c>
      <c r="O52" s="492"/>
      <c r="P52" s="492">
        <v>26949.95</v>
      </c>
      <c r="Q52" s="492">
        <v>1101.7</v>
      </c>
      <c r="R52" s="492">
        <v>18561.2</v>
      </c>
      <c r="S52" s="488">
        <v>5489.11</v>
      </c>
      <c r="T52" s="367">
        <f t="shared" si="1"/>
        <v>2114512.59</v>
      </c>
      <c r="U52" s="490">
        <v>-7122.31</v>
      </c>
      <c r="V52" s="492"/>
      <c r="W52" s="492">
        <v>-345.84</v>
      </c>
      <c r="X52" s="496">
        <v>70</v>
      </c>
      <c r="Y52" s="497">
        <v>1</v>
      </c>
      <c r="Z52" s="498">
        <v>547</v>
      </c>
      <c r="AA52" s="561"/>
      <c r="AB52" s="503"/>
      <c r="AC52" s="330">
        <f>AB52/VPI!R52</f>
        <v>0</v>
      </c>
      <c r="AD52" s="332">
        <f t="shared" si="2"/>
        <v>0</v>
      </c>
      <c r="AE52" s="330">
        <f>AD52/VPI!R52</f>
        <v>0</v>
      </c>
      <c r="AF52" s="503"/>
      <c r="AG52" s="503"/>
      <c r="AH52" s="503"/>
      <c r="AI52" s="562"/>
      <c r="AJ52" s="498"/>
      <c r="AK52" s="330">
        <f>AJ52/VPI!R52</f>
        <v>0</v>
      </c>
      <c r="AL52" s="332">
        <f t="shared" si="3"/>
        <v>0</v>
      </c>
      <c r="AM52" s="330">
        <f>AL52/VPI!R52</f>
        <v>0</v>
      </c>
      <c r="AN52" s="498"/>
      <c r="AO52" s="562"/>
      <c r="AP52" s="511">
        <v>22.552060422714082</v>
      </c>
      <c r="AR52" s="564">
        <v>0</v>
      </c>
    </row>
    <row r="53" spans="1:44" x14ac:dyDescent="0.25">
      <c r="A53" s="559">
        <v>5486</v>
      </c>
      <c r="B53" s="560" t="s">
        <v>0</v>
      </c>
      <c r="C53" s="488">
        <v>1909299.82</v>
      </c>
      <c r="D53" s="488">
        <v>342625.03</v>
      </c>
      <c r="E53" s="488"/>
      <c r="F53" s="489"/>
      <c r="G53" s="488">
        <v>47342.1</v>
      </c>
      <c r="H53" s="488">
        <v>16622.400000000001</v>
      </c>
      <c r="I53" s="488"/>
      <c r="J53" s="488">
        <v>22468.55</v>
      </c>
      <c r="K53" s="488">
        <v>5494.8</v>
      </c>
      <c r="L53" s="488">
        <v>210574.8</v>
      </c>
      <c r="M53" s="367">
        <f t="shared" si="0"/>
        <v>2554427.4999999995</v>
      </c>
      <c r="N53" s="492">
        <v>58679</v>
      </c>
      <c r="O53" s="492">
        <v>4735.1000000000004</v>
      </c>
      <c r="P53" s="492">
        <v>89012.7</v>
      </c>
      <c r="Q53" s="492">
        <v>254.07</v>
      </c>
      <c r="R53" s="492">
        <v>64164.55</v>
      </c>
      <c r="S53" s="488">
        <v>6030.82</v>
      </c>
      <c r="T53" s="367">
        <f t="shared" si="1"/>
        <v>2777303.7399999993</v>
      </c>
      <c r="U53" s="490">
        <v>-15979.67</v>
      </c>
      <c r="V53" s="492"/>
      <c r="W53" s="492">
        <v>-1106.7</v>
      </c>
      <c r="X53" s="496">
        <v>75</v>
      </c>
      <c r="Y53" s="497">
        <v>1</v>
      </c>
      <c r="Z53" s="498">
        <v>1088</v>
      </c>
      <c r="AA53" s="561"/>
      <c r="AB53" s="503"/>
      <c r="AC53" s="330">
        <f>AB53/VPI!R53</f>
        <v>0</v>
      </c>
      <c r="AD53" s="332">
        <f t="shared" si="2"/>
        <v>0</v>
      </c>
      <c r="AE53" s="330">
        <f>AD53/VPI!R53</f>
        <v>0</v>
      </c>
      <c r="AF53" s="503"/>
      <c r="AG53" s="503"/>
      <c r="AH53" s="503"/>
      <c r="AI53" s="562"/>
      <c r="AJ53" s="498"/>
      <c r="AK53" s="330">
        <f>AJ53/VPI!R53</f>
        <v>0</v>
      </c>
      <c r="AL53" s="332">
        <f t="shared" si="3"/>
        <v>0</v>
      </c>
      <c r="AM53" s="330">
        <f>AL53/VPI!R53</f>
        <v>0</v>
      </c>
      <c r="AN53" s="498"/>
      <c r="AO53" s="562"/>
      <c r="AP53" s="511">
        <v>14.226673995844909</v>
      </c>
      <c r="AR53" s="564">
        <v>0</v>
      </c>
    </row>
    <row r="54" spans="1:44" x14ac:dyDescent="0.25">
      <c r="A54" s="559">
        <v>5487</v>
      </c>
      <c r="B54" s="560" t="s">
        <v>1</v>
      </c>
      <c r="C54" s="488">
        <v>895152.75</v>
      </c>
      <c r="D54" s="488">
        <v>130660.9</v>
      </c>
      <c r="E54" s="488"/>
      <c r="F54" s="489"/>
      <c r="G54" s="488">
        <v>2261.6</v>
      </c>
      <c r="H54" s="488">
        <v>19.649999999999999</v>
      </c>
      <c r="I54" s="488"/>
      <c r="J54" s="488">
        <v>11981.01</v>
      </c>
      <c r="K54" s="488">
        <v>993.25</v>
      </c>
      <c r="L54" s="488">
        <v>84140.85</v>
      </c>
      <c r="M54" s="367">
        <f t="shared" si="0"/>
        <v>1125210.01</v>
      </c>
      <c r="N54" s="492">
        <v>0</v>
      </c>
      <c r="O54" s="492">
        <v>1188.2</v>
      </c>
      <c r="P54" s="492">
        <v>77875.3</v>
      </c>
      <c r="Q54" s="492"/>
      <c r="R54" s="492">
        <v>7727.1</v>
      </c>
      <c r="S54" s="488">
        <v>215.09</v>
      </c>
      <c r="T54" s="367">
        <f t="shared" si="1"/>
        <v>1212215.7000000002</v>
      </c>
      <c r="U54" s="490">
        <v>-5669.57</v>
      </c>
      <c r="V54" s="492"/>
      <c r="W54" s="492">
        <v>0</v>
      </c>
      <c r="X54" s="496">
        <v>75</v>
      </c>
      <c r="Y54" s="497">
        <v>1</v>
      </c>
      <c r="Z54" s="498">
        <v>473</v>
      </c>
      <c r="AA54" s="561"/>
      <c r="AB54" s="503"/>
      <c r="AC54" s="330">
        <f>AB54/VPI!R54</f>
        <v>0</v>
      </c>
      <c r="AD54" s="332">
        <f t="shared" si="2"/>
        <v>0</v>
      </c>
      <c r="AE54" s="330">
        <f>AD54/VPI!R54</f>
        <v>0</v>
      </c>
      <c r="AF54" s="503"/>
      <c r="AG54" s="503"/>
      <c r="AH54" s="503"/>
      <c r="AI54" s="562"/>
      <c r="AJ54" s="498"/>
      <c r="AK54" s="330">
        <f>AJ54/VPI!R54</f>
        <v>0</v>
      </c>
      <c r="AL54" s="332">
        <f t="shared" si="3"/>
        <v>0</v>
      </c>
      <c r="AM54" s="330">
        <f>AL54/VPI!R54</f>
        <v>0</v>
      </c>
      <c r="AN54" s="498"/>
      <c r="AO54" s="562"/>
      <c r="AP54" s="511">
        <v>4.4787096789991807</v>
      </c>
      <c r="AR54" s="564">
        <v>0</v>
      </c>
    </row>
    <row r="55" spans="1:44" x14ac:dyDescent="0.25">
      <c r="A55" s="559">
        <v>5488</v>
      </c>
      <c r="B55" s="560" t="s">
        <v>2</v>
      </c>
      <c r="C55" s="488">
        <v>120740.95</v>
      </c>
      <c r="D55" s="488">
        <v>12716.77</v>
      </c>
      <c r="E55" s="488"/>
      <c r="F55" s="489"/>
      <c r="G55" s="488">
        <v>74</v>
      </c>
      <c r="H55" s="488">
        <v>70.75</v>
      </c>
      <c r="I55" s="488"/>
      <c r="J55" s="488">
        <v>413.96</v>
      </c>
      <c r="K55" s="488"/>
      <c r="L55" s="488">
        <v>9620</v>
      </c>
      <c r="M55" s="367">
        <f t="shared" si="0"/>
        <v>143636.43</v>
      </c>
      <c r="N55" s="492">
        <v>0</v>
      </c>
      <c r="O55" s="492"/>
      <c r="P55" s="492"/>
      <c r="Q55" s="492"/>
      <c r="R55" s="492">
        <v>7976.4</v>
      </c>
      <c r="S55" s="488">
        <v>13.65</v>
      </c>
      <c r="T55" s="367">
        <f t="shared" si="1"/>
        <v>151626.47999999998</v>
      </c>
      <c r="U55" s="490">
        <v>-1547.97</v>
      </c>
      <c r="V55" s="492"/>
      <c r="W55" s="492">
        <v>0</v>
      </c>
      <c r="X55" s="496">
        <v>77</v>
      </c>
      <c r="Y55" s="497">
        <v>1</v>
      </c>
      <c r="Z55" s="498">
        <v>64</v>
      </c>
      <c r="AA55" s="561"/>
      <c r="AB55" s="503"/>
      <c r="AC55" s="330">
        <f>AB55/VPI!R55</f>
        <v>0</v>
      </c>
      <c r="AD55" s="332">
        <f t="shared" si="2"/>
        <v>0</v>
      </c>
      <c r="AE55" s="330">
        <f>AD55/VPI!R55</f>
        <v>0</v>
      </c>
      <c r="AF55" s="503"/>
      <c r="AG55" s="503"/>
      <c r="AH55" s="503"/>
      <c r="AI55" s="562"/>
      <c r="AJ55" s="498"/>
      <c r="AK55" s="330">
        <f>AJ55/VPI!R55</f>
        <v>0</v>
      </c>
      <c r="AL55" s="332">
        <f t="shared" si="3"/>
        <v>0</v>
      </c>
      <c r="AM55" s="330">
        <f>AL55/VPI!R55</f>
        <v>0</v>
      </c>
      <c r="AN55" s="498"/>
      <c r="AO55" s="562"/>
      <c r="AP55" s="511">
        <v>15.513657130355416</v>
      </c>
      <c r="AR55" s="564">
        <v>0</v>
      </c>
    </row>
    <row r="56" spans="1:44" x14ac:dyDescent="0.25">
      <c r="A56" s="559">
        <v>5489</v>
      </c>
      <c r="B56" s="560" t="s">
        <v>3</v>
      </c>
      <c r="C56" s="488">
        <v>1715762.5</v>
      </c>
      <c r="D56" s="488">
        <v>923673.51</v>
      </c>
      <c r="E56" s="488"/>
      <c r="F56" s="489"/>
      <c r="G56" s="488">
        <v>627349.06999999995</v>
      </c>
      <c r="H56" s="488">
        <v>28872.86</v>
      </c>
      <c r="I56" s="488"/>
      <c r="J56" s="488">
        <v>24122.3</v>
      </c>
      <c r="K56" s="488">
        <v>6986.5</v>
      </c>
      <c r="L56" s="488">
        <v>310196.90000000002</v>
      </c>
      <c r="M56" s="367">
        <f t="shared" si="0"/>
        <v>3636963.6399999992</v>
      </c>
      <c r="N56" s="492">
        <v>211586.96</v>
      </c>
      <c r="O56" s="492">
        <v>58750</v>
      </c>
      <c r="P56" s="492">
        <v>268264.90000000002</v>
      </c>
      <c r="Q56" s="492"/>
      <c r="R56" s="492">
        <v>78609.05</v>
      </c>
      <c r="S56" s="488">
        <v>61871.12</v>
      </c>
      <c r="T56" s="367">
        <f t="shared" si="1"/>
        <v>4316045.669999999</v>
      </c>
      <c r="U56" s="490">
        <v>-32391.33</v>
      </c>
      <c r="V56" s="492"/>
      <c r="W56" s="492">
        <v>-2444.9499999999998</v>
      </c>
      <c r="X56" s="496">
        <v>59.5</v>
      </c>
      <c r="Y56" s="497">
        <v>1</v>
      </c>
      <c r="Z56" s="498">
        <v>816</v>
      </c>
      <c r="AA56" s="561"/>
      <c r="AB56" s="503"/>
      <c r="AC56" s="330">
        <f>AB56/VPI!R56</f>
        <v>0</v>
      </c>
      <c r="AD56" s="332">
        <f t="shared" si="2"/>
        <v>0</v>
      </c>
      <c r="AE56" s="330">
        <f>AD56/VPI!R56</f>
        <v>0</v>
      </c>
      <c r="AF56" s="503"/>
      <c r="AG56" s="503"/>
      <c r="AH56" s="503"/>
      <c r="AI56" s="562"/>
      <c r="AJ56" s="498"/>
      <c r="AK56" s="330">
        <f>AJ56/VPI!R56</f>
        <v>0</v>
      </c>
      <c r="AL56" s="332">
        <f t="shared" si="3"/>
        <v>0</v>
      </c>
      <c r="AM56" s="330">
        <f>AL56/VPI!R56</f>
        <v>0</v>
      </c>
      <c r="AN56" s="498"/>
      <c r="AO56" s="562"/>
      <c r="AP56" s="511">
        <v>34.608316206032235</v>
      </c>
      <c r="AR56" s="564">
        <v>0</v>
      </c>
    </row>
    <row r="57" spans="1:44" x14ac:dyDescent="0.25">
      <c r="A57" s="559">
        <v>5490</v>
      </c>
      <c r="B57" s="560" t="s">
        <v>4</v>
      </c>
      <c r="C57" s="488">
        <v>552351.61</v>
      </c>
      <c r="D57" s="488">
        <v>93452.09</v>
      </c>
      <c r="E57" s="488"/>
      <c r="F57" s="489"/>
      <c r="G57" s="488">
        <v>3579.15</v>
      </c>
      <c r="H57" s="488">
        <v>145.65</v>
      </c>
      <c r="I57" s="488"/>
      <c r="J57" s="488">
        <v>4522.59</v>
      </c>
      <c r="K57" s="488"/>
      <c r="L57" s="488">
        <v>48526</v>
      </c>
      <c r="M57" s="367">
        <f t="shared" si="0"/>
        <v>702577.09</v>
      </c>
      <c r="N57" s="492">
        <v>16.5</v>
      </c>
      <c r="O57" s="492"/>
      <c r="P57" s="492">
        <v>9075</v>
      </c>
      <c r="Q57" s="492">
        <v>4258.5</v>
      </c>
      <c r="R57" s="492"/>
      <c r="S57" s="488">
        <v>351.19</v>
      </c>
      <c r="T57" s="367">
        <f t="shared" si="1"/>
        <v>716278.27999999991</v>
      </c>
      <c r="U57" s="490">
        <v>-12272</v>
      </c>
      <c r="V57" s="492"/>
      <c r="W57" s="492">
        <v>0</v>
      </c>
      <c r="X57" s="496">
        <v>76</v>
      </c>
      <c r="Y57" s="497">
        <v>1</v>
      </c>
      <c r="Z57" s="498">
        <v>297</v>
      </c>
      <c r="AA57" s="561"/>
      <c r="AB57" s="503"/>
      <c r="AC57" s="330">
        <f>AB57/VPI!R57</f>
        <v>0</v>
      </c>
      <c r="AD57" s="332">
        <f t="shared" si="2"/>
        <v>0</v>
      </c>
      <c r="AE57" s="330">
        <f>AD57/VPI!R57</f>
        <v>0</v>
      </c>
      <c r="AF57" s="503"/>
      <c r="AG57" s="503"/>
      <c r="AH57" s="503"/>
      <c r="AI57" s="562"/>
      <c r="AJ57" s="498"/>
      <c r="AK57" s="330">
        <f>AJ57/VPI!R57</f>
        <v>0</v>
      </c>
      <c r="AL57" s="332">
        <f t="shared" si="3"/>
        <v>0</v>
      </c>
      <c r="AM57" s="330">
        <f>AL57/VPI!R57</f>
        <v>0</v>
      </c>
      <c r="AN57" s="498"/>
      <c r="AO57" s="562"/>
      <c r="AP57" s="511">
        <v>9.7761233060064576</v>
      </c>
      <c r="AR57" s="564">
        <v>0</v>
      </c>
    </row>
    <row r="58" spans="1:44" x14ac:dyDescent="0.25">
      <c r="A58" s="559">
        <v>5491</v>
      </c>
      <c r="B58" s="560" t="s">
        <v>147</v>
      </c>
      <c r="C58" s="488">
        <v>839677.32</v>
      </c>
      <c r="D58" s="488">
        <v>125577.51</v>
      </c>
      <c r="E58" s="488"/>
      <c r="F58" s="489">
        <v>2760</v>
      </c>
      <c r="G58" s="488">
        <v>21498.25</v>
      </c>
      <c r="H58" s="488">
        <v>1879</v>
      </c>
      <c r="I58" s="488"/>
      <c r="J58" s="488">
        <v>10968.23</v>
      </c>
      <c r="K58" s="488">
        <v>425</v>
      </c>
      <c r="L58" s="488">
        <v>94897.95</v>
      </c>
      <c r="M58" s="367">
        <f t="shared" si="0"/>
        <v>1097683.26</v>
      </c>
      <c r="N58" s="492">
        <v>2386.65</v>
      </c>
      <c r="O58" s="492"/>
      <c r="P58" s="492">
        <v>20901.7</v>
      </c>
      <c r="Q58" s="492">
        <v>6425</v>
      </c>
      <c r="R58" s="492">
        <v>33759.599999999999</v>
      </c>
      <c r="S58" s="488">
        <v>2204.1</v>
      </c>
      <c r="T58" s="367">
        <f t="shared" si="1"/>
        <v>1163360.31</v>
      </c>
      <c r="U58" s="490">
        <v>-5021.99</v>
      </c>
      <c r="V58" s="492"/>
      <c r="W58" s="492">
        <v>-356.05</v>
      </c>
      <c r="X58" s="496">
        <v>76</v>
      </c>
      <c r="Y58" s="497">
        <v>1</v>
      </c>
      <c r="Z58" s="498">
        <v>497</v>
      </c>
      <c r="AA58" s="561"/>
      <c r="AB58" s="503"/>
      <c r="AC58" s="330">
        <f>AB58/VPI!R58</f>
        <v>0</v>
      </c>
      <c r="AD58" s="332">
        <f t="shared" si="2"/>
        <v>0</v>
      </c>
      <c r="AE58" s="330">
        <f>AD58/VPI!R58</f>
        <v>0</v>
      </c>
      <c r="AF58" s="503"/>
      <c r="AG58" s="503"/>
      <c r="AH58" s="503"/>
      <c r="AI58" s="562"/>
      <c r="AJ58" s="498"/>
      <c r="AK58" s="330">
        <f>AJ58/VPI!R58</f>
        <v>0</v>
      </c>
      <c r="AL58" s="332">
        <f t="shared" si="3"/>
        <v>0</v>
      </c>
      <c r="AM58" s="330">
        <f>AL58/VPI!R58</f>
        <v>0</v>
      </c>
      <c r="AN58" s="498"/>
      <c r="AO58" s="562"/>
      <c r="AP58" s="511">
        <v>8.6021119708080995</v>
      </c>
      <c r="AR58" s="564">
        <v>0</v>
      </c>
    </row>
    <row r="59" spans="1:44" x14ac:dyDescent="0.25">
      <c r="A59" s="559">
        <v>5492</v>
      </c>
      <c r="B59" s="560" t="s">
        <v>148</v>
      </c>
      <c r="C59" s="488">
        <v>6197936.6500000004</v>
      </c>
      <c r="D59" s="488">
        <v>5959984.6900000004</v>
      </c>
      <c r="E59" s="488"/>
      <c r="F59" s="489"/>
      <c r="G59" s="488">
        <v>110177.3</v>
      </c>
      <c r="H59" s="488">
        <v>2550.5500000000002</v>
      </c>
      <c r="I59" s="488"/>
      <c r="J59" s="488">
        <v>30303.62</v>
      </c>
      <c r="K59" s="488">
        <v>5630.95</v>
      </c>
      <c r="L59" s="488">
        <v>76105.649999999994</v>
      </c>
      <c r="M59" s="367">
        <f t="shared" si="0"/>
        <v>12382689.41</v>
      </c>
      <c r="N59" s="492">
        <v>11096</v>
      </c>
      <c r="O59" s="492">
        <v>43012.7</v>
      </c>
      <c r="P59" s="492">
        <v>77883.95</v>
      </c>
      <c r="Q59" s="492">
        <v>1803.72</v>
      </c>
      <c r="R59" s="492">
        <v>86198.15</v>
      </c>
      <c r="S59" s="488">
        <v>10628.41</v>
      </c>
      <c r="T59" s="367">
        <f t="shared" si="1"/>
        <v>12613312.34</v>
      </c>
      <c r="U59" s="490">
        <v>-16033.74</v>
      </c>
      <c r="V59" s="492"/>
      <c r="W59" s="492">
        <v>-5275.15</v>
      </c>
      <c r="X59" s="496">
        <v>64</v>
      </c>
      <c r="Y59" s="497">
        <v>0.3</v>
      </c>
      <c r="Z59" s="498">
        <v>962</v>
      </c>
      <c r="AA59" s="561"/>
      <c r="AB59" s="503"/>
      <c r="AC59" s="330">
        <f>AB59/VPI!R59</f>
        <v>0</v>
      </c>
      <c r="AD59" s="332">
        <f t="shared" si="2"/>
        <v>0</v>
      </c>
      <c r="AE59" s="330">
        <f>AD59/VPI!R59</f>
        <v>0</v>
      </c>
      <c r="AF59" s="503"/>
      <c r="AG59" s="503"/>
      <c r="AH59" s="503"/>
      <c r="AI59" s="562"/>
      <c r="AJ59" s="498"/>
      <c r="AK59" s="330">
        <f>AJ59/VPI!R59</f>
        <v>0</v>
      </c>
      <c r="AL59" s="332">
        <f t="shared" si="3"/>
        <v>0</v>
      </c>
      <c r="AM59" s="330">
        <f>AL59/VPI!R59</f>
        <v>0</v>
      </c>
      <c r="AN59" s="498"/>
      <c r="AO59" s="562"/>
      <c r="AP59" s="511">
        <v>48.276227288564122</v>
      </c>
      <c r="AR59" s="564">
        <v>0</v>
      </c>
    </row>
    <row r="60" spans="1:44" x14ac:dyDescent="0.25">
      <c r="A60" s="559">
        <v>5493</v>
      </c>
      <c r="B60" s="560" t="s">
        <v>149</v>
      </c>
      <c r="C60" s="488">
        <v>894723.02</v>
      </c>
      <c r="D60" s="488">
        <v>94780.44</v>
      </c>
      <c r="E60" s="488"/>
      <c r="F60" s="489"/>
      <c r="G60" s="488">
        <v>17675.599999999999</v>
      </c>
      <c r="H60" s="488">
        <v>2464.0500000000002</v>
      </c>
      <c r="I60" s="488"/>
      <c r="J60" s="488">
        <v>20533.810000000001</v>
      </c>
      <c r="K60" s="488">
        <v>4026.15</v>
      </c>
      <c r="L60" s="488">
        <v>53571.75</v>
      </c>
      <c r="M60" s="367">
        <f t="shared" si="0"/>
        <v>1087774.82</v>
      </c>
      <c r="N60" s="492">
        <v>63129.05</v>
      </c>
      <c r="O60" s="492">
        <v>10552.6</v>
      </c>
      <c r="P60" s="492">
        <v>98422.6</v>
      </c>
      <c r="Q60" s="492">
        <v>578.27</v>
      </c>
      <c r="R60" s="492">
        <v>-264.75</v>
      </c>
      <c r="S60" s="488">
        <v>1898.84</v>
      </c>
      <c r="T60" s="367">
        <f t="shared" si="1"/>
        <v>1262091.4300000004</v>
      </c>
      <c r="U60" s="490">
        <v>-12457.94</v>
      </c>
      <c r="V60" s="492"/>
      <c r="W60" s="492">
        <v>-6.8</v>
      </c>
      <c r="X60" s="496">
        <v>73</v>
      </c>
      <c r="Y60" s="497">
        <v>0.65</v>
      </c>
      <c r="Z60" s="498">
        <v>500</v>
      </c>
      <c r="AA60" s="561"/>
      <c r="AB60" s="503"/>
      <c r="AC60" s="330">
        <f>AB60/VPI!R60</f>
        <v>0</v>
      </c>
      <c r="AD60" s="332">
        <f t="shared" si="2"/>
        <v>0</v>
      </c>
      <c r="AE60" s="330">
        <f>AD60/VPI!R60</f>
        <v>0</v>
      </c>
      <c r="AF60" s="503"/>
      <c r="AG60" s="503"/>
      <c r="AH60" s="503"/>
      <c r="AI60" s="562"/>
      <c r="AJ60" s="498"/>
      <c r="AK60" s="330">
        <f>AJ60/VPI!R60</f>
        <v>0</v>
      </c>
      <c r="AL60" s="332">
        <f t="shared" si="3"/>
        <v>0</v>
      </c>
      <c r="AM60" s="330">
        <f>AL60/VPI!R60</f>
        <v>0</v>
      </c>
      <c r="AN60" s="498"/>
      <c r="AO60" s="562"/>
      <c r="AP60" s="511">
        <v>13.668188048645522</v>
      </c>
      <c r="AR60" s="564">
        <v>0</v>
      </c>
    </row>
    <row r="61" spans="1:44" x14ac:dyDescent="0.25">
      <c r="A61" s="559">
        <v>5495</v>
      </c>
      <c r="B61" s="560" t="s">
        <v>150</v>
      </c>
      <c r="C61" s="488">
        <v>5356610.72</v>
      </c>
      <c r="D61" s="488">
        <v>646437.71</v>
      </c>
      <c r="E61" s="488"/>
      <c r="F61" s="489"/>
      <c r="G61" s="488">
        <v>149272.5</v>
      </c>
      <c r="H61" s="488">
        <v>5898.3</v>
      </c>
      <c r="I61" s="488">
        <v>78439.5</v>
      </c>
      <c r="J61" s="488">
        <v>210900.47</v>
      </c>
      <c r="K61" s="488">
        <v>42156.15</v>
      </c>
      <c r="L61" s="488">
        <v>539256.9</v>
      </c>
      <c r="M61" s="367">
        <f t="shared" si="0"/>
        <v>7028972.25</v>
      </c>
      <c r="N61" s="492">
        <v>350622.75</v>
      </c>
      <c r="O61" s="492">
        <v>103198.1</v>
      </c>
      <c r="P61" s="492">
        <v>98264.45</v>
      </c>
      <c r="Q61" s="492">
        <v>42437.29</v>
      </c>
      <c r="R61" s="492">
        <v>120146.6</v>
      </c>
      <c r="S61" s="488">
        <v>14630.1</v>
      </c>
      <c r="T61" s="367">
        <f t="shared" si="1"/>
        <v>7758271.5399999991</v>
      </c>
      <c r="U61" s="490">
        <v>-136114.14000000001</v>
      </c>
      <c r="V61" s="492"/>
      <c r="W61" s="492">
        <v>-866.3</v>
      </c>
      <c r="X61" s="496">
        <v>72.5</v>
      </c>
      <c r="Y61" s="497">
        <v>1</v>
      </c>
      <c r="Z61" s="498">
        <v>3199</v>
      </c>
      <c r="AA61" s="561"/>
      <c r="AB61" s="503"/>
      <c r="AC61" s="330">
        <f>AB61/VPI!R61</f>
        <v>0</v>
      </c>
      <c r="AD61" s="332">
        <f t="shared" si="2"/>
        <v>0</v>
      </c>
      <c r="AE61" s="330">
        <f>AD61/VPI!R61</f>
        <v>0</v>
      </c>
      <c r="AF61" s="503"/>
      <c r="AG61" s="503"/>
      <c r="AH61" s="503"/>
      <c r="AI61" s="562"/>
      <c r="AJ61" s="498"/>
      <c r="AK61" s="330">
        <f>AJ61/VPI!R61</f>
        <v>0</v>
      </c>
      <c r="AL61" s="332">
        <f t="shared" si="3"/>
        <v>0</v>
      </c>
      <c r="AM61" s="330">
        <f>AL61/VPI!R61</f>
        <v>0</v>
      </c>
      <c r="AN61" s="498"/>
      <c r="AO61" s="562"/>
      <c r="AP61" s="511">
        <v>10.243333615191686</v>
      </c>
      <c r="AR61" s="564">
        <v>0</v>
      </c>
    </row>
    <row r="62" spans="1:44" x14ac:dyDescent="0.25">
      <c r="A62" s="559">
        <v>5496</v>
      </c>
      <c r="B62" s="560" t="s">
        <v>151</v>
      </c>
      <c r="C62" s="488">
        <v>3662234.32</v>
      </c>
      <c r="D62" s="488">
        <v>358616.79</v>
      </c>
      <c r="E62" s="488"/>
      <c r="F62" s="489"/>
      <c r="G62" s="488">
        <v>116841.15</v>
      </c>
      <c r="H62" s="488">
        <v>16873.849999999999</v>
      </c>
      <c r="I62" s="488"/>
      <c r="J62" s="488">
        <v>114540.28</v>
      </c>
      <c r="K62" s="488">
        <v>24346.1</v>
      </c>
      <c r="L62" s="488">
        <v>377255.5</v>
      </c>
      <c r="M62" s="367">
        <f t="shared" si="0"/>
        <v>4670707.9899999993</v>
      </c>
      <c r="N62" s="492">
        <v>93034</v>
      </c>
      <c r="O62" s="492">
        <v>86047.1</v>
      </c>
      <c r="P62" s="492">
        <v>150459.45000000001</v>
      </c>
      <c r="Q62" s="492">
        <v>12060.85</v>
      </c>
      <c r="R62" s="492">
        <v>152281.15</v>
      </c>
      <c r="S62" s="488">
        <v>12607.16</v>
      </c>
      <c r="T62" s="367">
        <f t="shared" si="1"/>
        <v>5177197.6999999993</v>
      </c>
      <c r="U62" s="490">
        <v>-32473.759999999998</v>
      </c>
      <c r="V62" s="492"/>
      <c r="W62" s="492">
        <v>-316.45</v>
      </c>
      <c r="X62" s="496">
        <v>69.5</v>
      </c>
      <c r="Y62" s="497">
        <v>1</v>
      </c>
      <c r="Z62" s="498">
        <v>1899</v>
      </c>
      <c r="AA62" s="561"/>
      <c r="AB62" s="503"/>
      <c r="AC62" s="330">
        <f>AB62/VPI!R62</f>
        <v>0</v>
      </c>
      <c r="AD62" s="332">
        <f t="shared" si="2"/>
        <v>0</v>
      </c>
      <c r="AE62" s="330">
        <f>AD62/VPI!R62</f>
        <v>0</v>
      </c>
      <c r="AF62" s="503"/>
      <c r="AG62" s="503"/>
      <c r="AH62" s="503"/>
      <c r="AI62" s="562"/>
      <c r="AJ62" s="498"/>
      <c r="AK62" s="330">
        <f>AJ62/VPI!R62</f>
        <v>0</v>
      </c>
      <c r="AL62" s="332">
        <f t="shared" si="3"/>
        <v>0</v>
      </c>
      <c r="AM62" s="330">
        <f>AL62/VPI!R62</f>
        <v>0</v>
      </c>
      <c r="AN62" s="498"/>
      <c r="AO62" s="562"/>
      <c r="AP62" s="511">
        <v>13.392740212575038</v>
      </c>
      <c r="AR62" s="564">
        <v>0</v>
      </c>
    </row>
    <row r="63" spans="1:44" x14ac:dyDescent="0.25">
      <c r="A63" s="559">
        <v>5497</v>
      </c>
      <c r="B63" s="560" t="s">
        <v>152</v>
      </c>
      <c r="C63" s="488">
        <v>1199472.18</v>
      </c>
      <c r="D63" s="488">
        <v>141135.88</v>
      </c>
      <c r="E63" s="488"/>
      <c r="F63" s="489"/>
      <c r="G63" s="488">
        <v>104358.55</v>
      </c>
      <c r="H63" s="488">
        <v>337.5</v>
      </c>
      <c r="I63" s="488"/>
      <c r="J63" s="488">
        <v>107953.32</v>
      </c>
      <c r="K63" s="488">
        <v>4223.6000000000004</v>
      </c>
      <c r="L63" s="488">
        <v>141654.39999999999</v>
      </c>
      <c r="M63" s="367">
        <f t="shared" si="0"/>
        <v>1699135.4300000002</v>
      </c>
      <c r="N63" s="492">
        <v>202751.4</v>
      </c>
      <c r="O63" s="492">
        <v>155315.79999999999</v>
      </c>
      <c r="P63" s="492">
        <v>42873.3</v>
      </c>
      <c r="Q63" s="492">
        <v>359.33</v>
      </c>
      <c r="R63" s="492">
        <v>51861.25</v>
      </c>
      <c r="S63" s="488">
        <v>9871.15</v>
      </c>
      <c r="T63" s="367">
        <f t="shared" si="1"/>
        <v>2162167.66</v>
      </c>
      <c r="U63" s="490">
        <v>-25502.19</v>
      </c>
      <c r="V63" s="492"/>
      <c r="W63" s="492">
        <v>-270.95</v>
      </c>
      <c r="X63" s="496">
        <v>66</v>
      </c>
      <c r="Y63" s="497">
        <v>1</v>
      </c>
      <c r="Z63" s="498">
        <v>926</v>
      </c>
      <c r="AA63" s="561"/>
      <c r="AB63" s="503"/>
      <c r="AC63" s="330">
        <f>AB63/VPI!R63</f>
        <v>0</v>
      </c>
      <c r="AD63" s="332">
        <f t="shared" si="2"/>
        <v>0</v>
      </c>
      <c r="AE63" s="330">
        <f>AD63/VPI!R63</f>
        <v>0</v>
      </c>
      <c r="AF63" s="503"/>
      <c r="AG63" s="503"/>
      <c r="AH63" s="503"/>
      <c r="AI63" s="562"/>
      <c r="AJ63" s="498"/>
      <c r="AK63" s="330">
        <f>AJ63/VPI!R63</f>
        <v>0</v>
      </c>
      <c r="AL63" s="332">
        <f t="shared" si="3"/>
        <v>0</v>
      </c>
      <c r="AM63" s="330">
        <f>AL63/VPI!R63</f>
        <v>0</v>
      </c>
      <c r="AN63" s="498"/>
      <c r="AO63" s="562"/>
      <c r="AP63" s="511">
        <v>11.728646191352007</v>
      </c>
      <c r="AR63" s="564">
        <v>0</v>
      </c>
    </row>
    <row r="64" spans="1:44" x14ac:dyDescent="0.25">
      <c r="A64" s="559">
        <v>5498</v>
      </c>
      <c r="B64" s="560" t="s">
        <v>153</v>
      </c>
      <c r="C64" s="488">
        <v>4108455.98</v>
      </c>
      <c r="D64" s="488">
        <v>458246.1</v>
      </c>
      <c r="E64" s="488"/>
      <c r="F64" s="489"/>
      <c r="G64" s="488">
        <v>119620</v>
      </c>
      <c r="H64" s="488">
        <v>8687.65</v>
      </c>
      <c r="I64" s="488"/>
      <c r="J64" s="488">
        <v>91369</v>
      </c>
      <c r="K64" s="488">
        <v>28080.25</v>
      </c>
      <c r="L64" s="488">
        <v>422001.7</v>
      </c>
      <c r="M64" s="367">
        <f t="shared" si="0"/>
        <v>5236460.6800000006</v>
      </c>
      <c r="N64" s="492">
        <v>115425.7</v>
      </c>
      <c r="O64" s="492">
        <v>125936.4</v>
      </c>
      <c r="P64" s="492">
        <v>71003.850000000006</v>
      </c>
      <c r="Q64" s="492">
        <v>17360.28</v>
      </c>
      <c r="R64" s="492">
        <v>148978.85</v>
      </c>
      <c r="S64" s="488">
        <v>12097.34</v>
      </c>
      <c r="T64" s="367">
        <f t="shared" si="1"/>
        <v>5727263.1000000006</v>
      </c>
      <c r="U64" s="490">
        <v>-106828.35</v>
      </c>
      <c r="V64" s="492"/>
      <c r="W64" s="492">
        <v>-613.45000000000005</v>
      </c>
      <c r="X64" s="496">
        <v>66</v>
      </c>
      <c r="Y64" s="497">
        <v>1</v>
      </c>
      <c r="Z64" s="498">
        <v>2599</v>
      </c>
      <c r="AA64" s="561"/>
      <c r="AB64" s="503"/>
      <c r="AC64" s="330">
        <f>AB64/VPI!R64</f>
        <v>0</v>
      </c>
      <c r="AD64" s="332">
        <f t="shared" si="2"/>
        <v>0</v>
      </c>
      <c r="AE64" s="330">
        <f>AD64/VPI!R64</f>
        <v>0</v>
      </c>
      <c r="AF64" s="503"/>
      <c r="AG64" s="503"/>
      <c r="AH64" s="503"/>
      <c r="AI64" s="562"/>
      <c r="AJ64" s="498"/>
      <c r="AK64" s="330">
        <f>AJ64/VPI!R64</f>
        <v>0</v>
      </c>
      <c r="AL64" s="332">
        <f t="shared" si="3"/>
        <v>0</v>
      </c>
      <c r="AM64" s="330">
        <f>AL64/VPI!R64</f>
        <v>0</v>
      </c>
      <c r="AN64" s="498"/>
      <c r="AO64" s="562"/>
      <c r="AP64" s="511">
        <v>8.7146747129757625</v>
      </c>
      <c r="AR64" s="564">
        <v>0</v>
      </c>
    </row>
    <row r="65" spans="1:44" x14ac:dyDescent="0.25">
      <c r="A65" s="559">
        <v>5499</v>
      </c>
      <c r="B65" s="560" t="s">
        <v>154</v>
      </c>
      <c r="C65" s="488">
        <v>1368523.88</v>
      </c>
      <c r="D65" s="488">
        <v>234833.66</v>
      </c>
      <c r="E65" s="488"/>
      <c r="F65" s="489"/>
      <c r="G65" s="488">
        <v>19937.650000000001</v>
      </c>
      <c r="H65" s="488">
        <v>2006.35</v>
      </c>
      <c r="I65" s="488"/>
      <c r="J65" s="488">
        <v>24742.55</v>
      </c>
      <c r="K65" s="488"/>
      <c r="L65" s="488">
        <v>108507.4</v>
      </c>
      <c r="M65" s="367">
        <f t="shared" si="0"/>
        <v>1758551.4899999998</v>
      </c>
      <c r="N65" s="492">
        <v>35031.15</v>
      </c>
      <c r="O65" s="492">
        <v>65937.8</v>
      </c>
      <c r="P65" s="492">
        <v>90945.55</v>
      </c>
      <c r="Q65" s="492"/>
      <c r="R65" s="492">
        <v>17284.8</v>
      </c>
      <c r="S65" s="488">
        <v>2068.96</v>
      </c>
      <c r="T65" s="367">
        <f t="shared" si="1"/>
        <v>1969819.7499999998</v>
      </c>
      <c r="U65" s="490">
        <v>-4573.7</v>
      </c>
      <c r="V65" s="492"/>
      <c r="W65" s="492">
        <v>-532.4</v>
      </c>
      <c r="X65" s="496">
        <v>68.5</v>
      </c>
      <c r="Y65" s="497">
        <v>1</v>
      </c>
      <c r="Z65" s="498">
        <v>491</v>
      </c>
      <c r="AA65" s="561"/>
      <c r="AB65" s="503"/>
      <c r="AC65" s="330">
        <f>AB65/VPI!R65</f>
        <v>0</v>
      </c>
      <c r="AD65" s="332">
        <f t="shared" si="2"/>
        <v>0</v>
      </c>
      <c r="AE65" s="330">
        <f>AD65/VPI!R65</f>
        <v>0</v>
      </c>
      <c r="AF65" s="503"/>
      <c r="AG65" s="503"/>
      <c r="AH65" s="503"/>
      <c r="AI65" s="562"/>
      <c r="AJ65" s="498"/>
      <c r="AK65" s="330">
        <f>AJ65/VPI!R65</f>
        <v>0</v>
      </c>
      <c r="AL65" s="332">
        <f t="shared" si="3"/>
        <v>0</v>
      </c>
      <c r="AM65" s="330">
        <f>AL65/VPI!R65</f>
        <v>0</v>
      </c>
      <c r="AN65" s="498"/>
      <c r="AO65" s="562"/>
      <c r="AP65" s="511">
        <v>24.403520399376557</v>
      </c>
      <c r="AR65" s="564">
        <v>0</v>
      </c>
    </row>
    <row r="66" spans="1:44" x14ac:dyDescent="0.25">
      <c r="A66" s="559">
        <v>5501</v>
      </c>
      <c r="B66" s="560" t="s">
        <v>155</v>
      </c>
      <c r="C66" s="488">
        <v>2682549.2200000002</v>
      </c>
      <c r="D66" s="488">
        <v>393831.23</v>
      </c>
      <c r="E66" s="488"/>
      <c r="F66" s="489"/>
      <c r="G66" s="488">
        <v>110798.35</v>
      </c>
      <c r="H66" s="488">
        <v>1662.55</v>
      </c>
      <c r="I66" s="488"/>
      <c r="J66" s="488">
        <v>18394.740000000002</v>
      </c>
      <c r="K66" s="488"/>
      <c r="L66" s="488">
        <v>264398.84999999998</v>
      </c>
      <c r="M66" s="367">
        <f t="shared" ref="M66:M128" si="4">SUM(C66:L66)</f>
        <v>3471634.9400000004</v>
      </c>
      <c r="N66" s="492">
        <v>15136.1</v>
      </c>
      <c r="O66" s="492">
        <v>14868.5</v>
      </c>
      <c r="P66" s="492">
        <v>95801.1</v>
      </c>
      <c r="Q66" s="492"/>
      <c r="R66" s="492">
        <v>155327.35</v>
      </c>
      <c r="S66" s="488">
        <v>10603.25</v>
      </c>
      <c r="T66" s="367">
        <f t="shared" ref="T66:T128" si="5">SUM(M66:S66)</f>
        <v>3763371.2400000007</v>
      </c>
      <c r="U66" s="490">
        <v>-11022.52</v>
      </c>
      <c r="V66" s="492"/>
      <c r="W66" s="492">
        <v>-2021.15</v>
      </c>
      <c r="X66" s="496">
        <v>64</v>
      </c>
      <c r="Y66" s="497">
        <v>1</v>
      </c>
      <c r="Z66" s="498">
        <v>1198</v>
      </c>
      <c r="AA66" s="561"/>
      <c r="AB66" s="503"/>
      <c r="AC66" s="330">
        <f>AB66/VPI!R66</f>
        <v>0</v>
      </c>
      <c r="AD66" s="332">
        <f t="shared" si="2"/>
        <v>0</v>
      </c>
      <c r="AE66" s="330">
        <f>AD66/VPI!R66</f>
        <v>0</v>
      </c>
      <c r="AF66" s="503"/>
      <c r="AG66" s="503"/>
      <c r="AH66" s="503"/>
      <c r="AI66" s="562"/>
      <c r="AJ66" s="498"/>
      <c r="AK66" s="330">
        <f>AJ66/VPI!R66</f>
        <v>0</v>
      </c>
      <c r="AL66" s="332">
        <f t="shared" si="3"/>
        <v>0</v>
      </c>
      <c r="AM66" s="330">
        <f>AL66/VPI!R66</f>
        <v>0</v>
      </c>
      <c r="AN66" s="498"/>
      <c r="AO66" s="562"/>
      <c r="AP66" s="511">
        <v>26.387662636930205</v>
      </c>
      <c r="AR66" s="564">
        <v>0</v>
      </c>
    </row>
    <row r="67" spans="1:44" x14ac:dyDescent="0.25">
      <c r="A67" s="559">
        <v>5503</v>
      </c>
      <c r="B67" s="560" t="s">
        <v>156</v>
      </c>
      <c r="C67" s="488">
        <v>3228297.94</v>
      </c>
      <c r="D67" s="488">
        <v>576805.82999999996</v>
      </c>
      <c r="E67" s="488"/>
      <c r="F67" s="489"/>
      <c r="G67" s="488">
        <v>727289.71</v>
      </c>
      <c r="H67" s="488">
        <v>12925.85</v>
      </c>
      <c r="I67" s="488"/>
      <c r="J67" s="488">
        <v>45661.66</v>
      </c>
      <c r="K67" s="488">
        <v>65974.850000000006</v>
      </c>
      <c r="L67" s="488">
        <v>558854.25</v>
      </c>
      <c r="M67" s="367">
        <f t="shared" si="4"/>
        <v>5215810.09</v>
      </c>
      <c r="N67" s="492">
        <v>294580.28999999998</v>
      </c>
      <c r="O67" s="492">
        <v>3112.5</v>
      </c>
      <c r="P67" s="492">
        <v>88199.95</v>
      </c>
      <c r="Q67" s="492">
        <v>32373.1</v>
      </c>
      <c r="R67" s="492">
        <v>103561.25</v>
      </c>
      <c r="S67" s="488">
        <v>69774.02</v>
      </c>
      <c r="T67" s="367">
        <f t="shared" si="5"/>
        <v>5807411.1999999993</v>
      </c>
      <c r="U67" s="490">
        <v>-33958.550000000003</v>
      </c>
      <c r="V67" s="492"/>
      <c r="W67" s="492">
        <v>-3731.94</v>
      </c>
      <c r="X67" s="496">
        <v>67</v>
      </c>
      <c r="Y67" s="497">
        <v>1.2</v>
      </c>
      <c r="Z67" s="498">
        <v>1336</v>
      </c>
      <c r="AA67" s="561"/>
      <c r="AB67" s="503"/>
      <c r="AC67" s="330">
        <f>AB67/VPI!R67</f>
        <v>0</v>
      </c>
      <c r="AD67" s="332">
        <f t="shared" si="2"/>
        <v>0</v>
      </c>
      <c r="AE67" s="330">
        <f>AD67/VPI!R67</f>
        <v>0</v>
      </c>
      <c r="AF67" s="503"/>
      <c r="AG67" s="503"/>
      <c r="AH67" s="503"/>
      <c r="AI67" s="562"/>
      <c r="AJ67" s="498"/>
      <c r="AK67" s="330">
        <f>AJ67/VPI!R67</f>
        <v>0</v>
      </c>
      <c r="AL67" s="332">
        <f t="shared" si="3"/>
        <v>0</v>
      </c>
      <c r="AM67" s="330">
        <f>AL67/VPI!R67</f>
        <v>0</v>
      </c>
      <c r="AN67" s="498"/>
      <c r="AO67" s="562"/>
      <c r="AP67" s="511">
        <v>29.338288009649389</v>
      </c>
      <c r="AR67" s="564">
        <v>0</v>
      </c>
    </row>
    <row r="68" spans="1:44" x14ac:dyDescent="0.25">
      <c r="A68" s="559">
        <v>5511</v>
      </c>
      <c r="B68" s="560" t="s">
        <v>157</v>
      </c>
      <c r="C68" s="488">
        <v>3651337.15</v>
      </c>
      <c r="D68" s="488">
        <v>651148.55000000005</v>
      </c>
      <c r="E68" s="488"/>
      <c r="F68" s="489"/>
      <c r="G68" s="488">
        <v>367300.85</v>
      </c>
      <c r="H68" s="488">
        <v>69330.05</v>
      </c>
      <c r="I68" s="488"/>
      <c r="J68" s="488">
        <v>66196.55</v>
      </c>
      <c r="K68" s="488">
        <v>20256.05</v>
      </c>
      <c r="L68" s="488">
        <v>410206.45</v>
      </c>
      <c r="M68" s="367">
        <f t="shared" si="4"/>
        <v>5235775.6499999994</v>
      </c>
      <c r="N68" s="488">
        <v>530292.80000000005</v>
      </c>
      <c r="O68" s="488">
        <v>0</v>
      </c>
      <c r="P68" s="488">
        <v>118512.5</v>
      </c>
      <c r="Q68" s="488">
        <v>687.16</v>
      </c>
      <c r="R68" s="488">
        <v>54341.7</v>
      </c>
      <c r="S68" s="488">
        <v>41167.24</v>
      </c>
      <c r="T68" s="367">
        <f t="shared" si="5"/>
        <v>5980777.0499999998</v>
      </c>
      <c r="U68" s="488">
        <v>-40739.519999999997</v>
      </c>
      <c r="V68" s="488"/>
      <c r="W68" s="488">
        <v>-187.25</v>
      </c>
      <c r="X68" s="488">
        <v>70</v>
      </c>
      <c r="Y68" s="499">
        <v>1</v>
      </c>
      <c r="Z68" s="498">
        <v>1698</v>
      </c>
      <c r="AA68" s="565"/>
      <c r="AB68" s="504"/>
      <c r="AC68" s="330">
        <f>AB68/VPI!R68</f>
        <v>0</v>
      </c>
      <c r="AD68" s="332">
        <f t="shared" si="2"/>
        <v>0</v>
      </c>
      <c r="AE68" s="330">
        <f>AD68/VPI!R68</f>
        <v>0</v>
      </c>
      <c r="AF68" s="504"/>
      <c r="AG68" s="504"/>
      <c r="AH68" s="504"/>
      <c r="AI68" s="565"/>
      <c r="AJ68" s="488"/>
      <c r="AK68" s="330">
        <f>AJ68/VPI!R68</f>
        <v>0</v>
      </c>
      <c r="AL68" s="332">
        <f t="shared" si="3"/>
        <v>0</v>
      </c>
      <c r="AM68" s="330">
        <f>AL68/VPI!R68</f>
        <v>0</v>
      </c>
      <c r="AN68" s="508"/>
      <c r="AO68" s="565"/>
      <c r="AP68" s="511">
        <v>23.518610991274642</v>
      </c>
      <c r="AQ68" s="488"/>
      <c r="AR68" s="564">
        <v>0</v>
      </c>
    </row>
    <row r="69" spans="1:44" x14ac:dyDescent="0.25">
      <c r="A69" s="559">
        <v>5512</v>
      </c>
      <c r="B69" s="560" t="s">
        <v>158</v>
      </c>
      <c r="C69" s="488">
        <v>2530607.67</v>
      </c>
      <c r="D69" s="488">
        <v>459972.16</v>
      </c>
      <c r="E69" s="488"/>
      <c r="F69" s="489"/>
      <c r="G69" s="488">
        <v>62258.65</v>
      </c>
      <c r="H69" s="488">
        <v>1349.15</v>
      </c>
      <c r="I69" s="488"/>
      <c r="J69" s="488">
        <v>61577.94</v>
      </c>
      <c r="K69" s="488">
        <v>12382.4</v>
      </c>
      <c r="L69" s="488">
        <v>283897.7</v>
      </c>
      <c r="M69" s="367">
        <f t="shared" si="4"/>
        <v>3412045.67</v>
      </c>
      <c r="N69" s="492">
        <v>112013.15</v>
      </c>
      <c r="O69" s="492">
        <v>2190</v>
      </c>
      <c r="P69" s="492">
        <v>79934.05</v>
      </c>
      <c r="Q69" s="492">
        <v>30223.71</v>
      </c>
      <c r="R69" s="492">
        <v>58436.2</v>
      </c>
      <c r="S69" s="488">
        <v>5997.19</v>
      </c>
      <c r="T69" s="367">
        <f t="shared" si="5"/>
        <v>3700839.9699999997</v>
      </c>
      <c r="U69" s="490">
        <v>-105926.65</v>
      </c>
      <c r="V69" s="492"/>
      <c r="W69" s="492">
        <v>-492.08</v>
      </c>
      <c r="X69" s="496">
        <v>79</v>
      </c>
      <c r="Y69" s="497">
        <v>1</v>
      </c>
      <c r="Z69" s="498">
        <v>1330</v>
      </c>
      <c r="AA69" s="561"/>
      <c r="AB69" s="503"/>
      <c r="AC69" s="330">
        <f>AB69/VPI!R69</f>
        <v>0</v>
      </c>
      <c r="AD69" s="332">
        <f t="shared" si="2"/>
        <v>0</v>
      </c>
      <c r="AE69" s="330">
        <f>AD69/VPI!R69</f>
        <v>0</v>
      </c>
      <c r="AF69" s="503"/>
      <c r="AG69" s="503"/>
      <c r="AH69" s="503"/>
      <c r="AI69" s="562"/>
      <c r="AJ69" s="498"/>
      <c r="AK69" s="330">
        <f>AJ69/VPI!R69</f>
        <v>0</v>
      </c>
      <c r="AL69" s="332">
        <f t="shared" si="3"/>
        <v>0</v>
      </c>
      <c r="AM69" s="330">
        <f>AL69/VPI!R69</f>
        <v>0</v>
      </c>
      <c r="AN69" s="498"/>
      <c r="AO69" s="562"/>
      <c r="AP69" s="511">
        <v>9.5580039550318823</v>
      </c>
      <c r="AR69" s="564">
        <v>0</v>
      </c>
    </row>
    <row r="70" spans="1:44" x14ac:dyDescent="0.25">
      <c r="A70" s="559">
        <v>5514</v>
      </c>
      <c r="B70" s="560" t="s">
        <v>159</v>
      </c>
      <c r="C70" s="488">
        <v>2514129.9300000002</v>
      </c>
      <c r="D70" s="488">
        <v>408841.39</v>
      </c>
      <c r="E70" s="488"/>
      <c r="F70" s="489"/>
      <c r="G70" s="488">
        <v>31659.3</v>
      </c>
      <c r="H70" s="488">
        <v>2590.6999999999998</v>
      </c>
      <c r="I70" s="488">
        <v>41836.5</v>
      </c>
      <c r="J70" s="488">
        <v>74533.95</v>
      </c>
      <c r="K70" s="488">
        <v>10410</v>
      </c>
      <c r="L70" s="488">
        <v>250438.8</v>
      </c>
      <c r="M70" s="367">
        <f t="shared" si="4"/>
        <v>3334440.5700000003</v>
      </c>
      <c r="N70" s="492">
        <v>27870.25</v>
      </c>
      <c r="O70" s="492">
        <v>26685</v>
      </c>
      <c r="P70" s="492">
        <v>126050.4</v>
      </c>
      <c r="Q70" s="492">
        <v>5988.37</v>
      </c>
      <c r="R70" s="492">
        <v>101998.39999999999</v>
      </c>
      <c r="S70" s="488">
        <v>3229.22</v>
      </c>
      <c r="T70" s="367">
        <f t="shared" si="5"/>
        <v>3626262.2100000004</v>
      </c>
      <c r="U70" s="490">
        <v>-76029.78</v>
      </c>
      <c r="V70" s="492"/>
      <c r="W70" s="492">
        <v>-1531</v>
      </c>
      <c r="X70" s="496">
        <v>72.5</v>
      </c>
      <c r="Y70" s="497">
        <v>1</v>
      </c>
      <c r="Z70" s="498">
        <v>1378</v>
      </c>
      <c r="AA70" s="561"/>
      <c r="AB70" s="503"/>
      <c r="AC70" s="330">
        <f>AB70/VPI!R70</f>
        <v>0</v>
      </c>
      <c r="AD70" s="332">
        <f t="shared" si="2"/>
        <v>0</v>
      </c>
      <c r="AE70" s="330">
        <f>AD70/VPI!R70</f>
        <v>0</v>
      </c>
      <c r="AF70" s="503"/>
      <c r="AG70" s="503"/>
      <c r="AH70" s="503"/>
      <c r="AI70" s="562"/>
      <c r="AJ70" s="498"/>
      <c r="AK70" s="330">
        <f>AJ70/VPI!R70</f>
        <v>0</v>
      </c>
      <c r="AL70" s="332">
        <f t="shared" si="3"/>
        <v>0</v>
      </c>
      <c r="AM70" s="330">
        <f>AL70/VPI!R70</f>
        <v>0</v>
      </c>
      <c r="AN70" s="498"/>
      <c r="AO70" s="562"/>
      <c r="AP70" s="511">
        <v>15.942134903728384</v>
      </c>
      <c r="AR70" s="564">
        <v>0</v>
      </c>
    </row>
    <row r="71" spans="1:44" x14ac:dyDescent="0.25">
      <c r="A71" s="559">
        <v>5515</v>
      </c>
      <c r="B71" s="560" t="s">
        <v>160</v>
      </c>
      <c r="C71" s="488">
        <v>1987880.23</v>
      </c>
      <c r="D71" s="488">
        <v>247365.81</v>
      </c>
      <c r="E71" s="488"/>
      <c r="F71" s="489"/>
      <c r="G71" s="488">
        <v>68559.05</v>
      </c>
      <c r="H71" s="488">
        <v>5356.1</v>
      </c>
      <c r="I71" s="488"/>
      <c r="J71" s="488">
        <v>19958.88</v>
      </c>
      <c r="K71" s="488">
        <v>18320.55</v>
      </c>
      <c r="L71" s="488">
        <v>192070.15</v>
      </c>
      <c r="M71" s="367">
        <f t="shared" si="4"/>
        <v>2539510.7699999996</v>
      </c>
      <c r="N71" s="492">
        <v>13889.7</v>
      </c>
      <c r="O71" s="492">
        <v>0</v>
      </c>
      <c r="P71" s="492">
        <v>68779.55</v>
      </c>
      <c r="Q71" s="492">
        <v>11084.02</v>
      </c>
      <c r="R71" s="492">
        <v>75145.350000000006</v>
      </c>
      <c r="S71" s="488">
        <v>6969</v>
      </c>
      <c r="T71" s="367">
        <f t="shared" si="5"/>
        <v>2715378.3899999997</v>
      </c>
      <c r="U71" s="490">
        <v>-39875.519999999997</v>
      </c>
      <c r="V71" s="492"/>
      <c r="W71" s="492">
        <v>-1317.45</v>
      </c>
      <c r="X71" s="496">
        <v>78</v>
      </c>
      <c r="Y71" s="497">
        <v>1</v>
      </c>
      <c r="Z71" s="498">
        <v>893</v>
      </c>
      <c r="AA71" s="561"/>
      <c r="AB71" s="503"/>
      <c r="AC71" s="330">
        <f>AB71/VPI!R71</f>
        <v>0</v>
      </c>
      <c r="AD71" s="332">
        <f t="shared" ref="AD71:AD134" si="6">AF71-AB71</f>
        <v>0</v>
      </c>
      <c r="AE71" s="330">
        <f>AD71/VPI!R71</f>
        <v>0</v>
      </c>
      <c r="AF71" s="503"/>
      <c r="AG71" s="503"/>
      <c r="AH71" s="503"/>
      <c r="AI71" s="562"/>
      <c r="AJ71" s="498"/>
      <c r="AK71" s="330">
        <f>AJ71/VPI!R71</f>
        <v>0</v>
      </c>
      <c r="AL71" s="332">
        <f t="shared" ref="AL71:AL134" si="7">AN71-AJ71</f>
        <v>0</v>
      </c>
      <c r="AM71" s="330">
        <f>AL71/VPI!R71</f>
        <v>0</v>
      </c>
      <c r="AN71" s="498"/>
      <c r="AO71" s="562"/>
      <c r="AP71" s="511">
        <v>15.887709623463705</v>
      </c>
      <c r="AR71" s="564">
        <v>0</v>
      </c>
    </row>
    <row r="72" spans="1:44" x14ac:dyDescent="0.25">
      <c r="A72" s="559">
        <v>5516</v>
      </c>
      <c r="B72" s="560" t="s">
        <v>161</v>
      </c>
      <c r="C72" s="488">
        <v>6535697.8399999999</v>
      </c>
      <c r="D72" s="488">
        <v>1014257.01</v>
      </c>
      <c r="E72" s="488"/>
      <c r="F72" s="489"/>
      <c r="G72" s="488">
        <v>414759.15</v>
      </c>
      <c r="H72" s="488">
        <v>4101.7</v>
      </c>
      <c r="I72" s="488">
        <v>66276.75</v>
      </c>
      <c r="J72" s="488">
        <v>94910.9</v>
      </c>
      <c r="K72" s="488">
        <v>44520.5</v>
      </c>
      <c r="L72" s="488">
        <v>728433.45</v>
      </c>
      <c r="M72" s="367">
        <f t="shared" si="4"/>
        <v>8902957.3000000007</v>
      </c>
      <c r="N72" s="492">
        <v>104994.95</v>
      </c>
      <c r="O72" s="492">
        <v>0</v>
      </c>
      <c r="P72" s="492">
        <v>195236</v>
      </c>
      <c r="Q72" s="492">
        <v>13342.3</v>
      </c>
      <c r="R72" s="492">
        <v>224574.65</v>
      </c>
      <c r="S72" s="488">
        <v>39491.81</v>
      </c>
      <c r="T72" s="367">
        <f t="shared" si="5"/>
        <v>9480597.0100000016</v>
      </c>
      <c r="U72" s="490">
        <v>-159327.66</v>
      </c>
      <c r="V72" s="492"/>
      <c r="W72" s="492">
        <v>-3481.75</v>
      </c>
      <c r="X72" s="496">
        <v>76</v>
      </c>
      <c r="Y72" s="497">
        <v>1.2</v>
      </c>
      <c r="Z72" s="498">
        <v>2733</v>
      </c>
      <c r="AA72" s="561"/>
      <c r="AB72" s="503"/>
      <c r="AC72" s="330">
        <f>AB72/VPI!R72</f>
        <v>0</v>
      </c>
      <c r="AD72" s="332">
        <f t="shared" si="6"/>
        <v>0</v>
      </c>
      <c r="AE72" s="330">
        <f>AD72/VPI!R72</f>
        <v>0</v>
      </c>
      <c r="AF72" s="503"/>
      <c r="AG72" s="503"/>
      <c r="AH72" s="503"/>
      <c r="AI72" s="562"/>
      <c r="AJ72" s="498"/>
      <c r="AK72" s="330">
        <f>AJ72/VPI!R72</f>
        <v>0</v>
      </c>
      <c r="AL72" s="332">
        <f t="shared" si="7"/>
        <v>0</v>
      </c>
      <c r="AM72" s="330">
        <f>AL72/VPI!R72</f>
        <v>0</v>
      </c>
      <c r="AN72" s="498"/>
      <c r="AO72" s="562"/>
      <c r="AP72" s="511">
        <v>19.770037521018839</v>
      </c>
      <c r="AR72" s="564">
        <v>0</v>
      </c>
    </row>
    <row r="73" spans="1:44" x14ac:dyDescent="0.25">
      <c r="A73" s="559">
        <v>5518</v>
      </c>
      <c r="B73" s="560" t="s">
        <v>162</v>
      </c>
      <c r="C73" s="488">
        <v>11193153.279999999</v>
      </c>
      <c r="D73" s="488">
        <v>1364048.93</v>
      </c>
      <c r="E73" s="488"/>
      <c r="F73" s="489"/>
      <c r="G73" s="488">
        <v>559490.19999999995</v>
      </c>
      <c r="H73" s="488">
        <v>93782.2</v>
      </c>
      <c r="I73" s="488"/>
      <c r="J73" s="488">
        <v>266279.03000000003</v>
      </c>
      <c r="K73" s="488">
        <v>109496.45</v>
      </c>
      <c r="L73" s="488">
        <v>1159166.95</v>
      </c>
      <c r="M73" s="367">
        <f t="shared" si="4"/>
        <v>14745417.039999995</v>
      </c>
      <c r="N73" s="492">
        <v>246468</v>
      </c>
      <c r="O73" s="492">
        <v>148029.70000000001</v>
      </c>
      <c r="P73" s="492">
        <v>1880782.6</v>
      </c>
      <c r="Q73" s="492">
        <v>217456.85</v>
      </c>
      <c r="R73" s="492">
        <v>449964.2</v>
      </c>
      <c r="S73" s="488">
        <v>61593.03</v>
      </c>
      <c r="T73" s="367">
        <f t="shared" si="5"/>
        <v>17749711.419999998</v>
      </c>
      <c r="U73" s="490">
        <v>-394503.98</v>
      </c>
      <c r="V73" s="492"/>
      <c r="W73" s="492">
        <v>-1655.78</v>
      </c>
      <c r="X73" s="496">
        <v>72.5</v>
      </c>
      <c r="Y73" s="497">
        <v>1</v>
      </c>
      <c r="Z73" s="498">
        <v>6572</v>
      </c>
      <c r="AA73" s="561"/>
      <c r="AB73" s="503"/>
      <c r="AC73" s="330">
        <f>AB73/VPI!R73</f>
        <v>0</v>
      </c>
      <c r="AD73" s="332">
        <f t="shared" si="6"/>
        <v>0</v>
      </c>
      <c r="AE73" s="330">
        <f>AD73/VPI!R73</f>
        <v>0</v>
      </c>
      <c r="AF73" s="503"/>
      <c r="AG73" s="503"/>
      <c r="AH73" s="503"/>
      <c r="AI73" s="562"/>
      <c r="AJ73" s="498"/>
      <c r="AK73" s="330">
        <f>AJ73/VPI!R73</f>
        <v>0</v>
      </c>
      <c r="AL73" s="332">
        <f t="shared" si="7"/>
        <v>0</v>
      </c>
      <c r="AM73" s="330">
        <f>AL73/VPI!R73</f>
        <v>0</v>
      </c>
      <c r="AN73" s="498"/>
      <c r="AO73" s="562"/>
      <c r="AP73" s="511">
        <v>8.7827405128066083</v>
      </c>
      <c r="AR73" s="564">
        <v>0</v>
      </c>
    </row>
    <row r="74" spans="1:44" x14ac:dyDescent="0.25">
      <c r="A74" s="559">
        <v>5520</v>
      </c>
      <c r="B74" s="560" t="s">
        <v>163</v>
      </c>
      <c r="C74" s="488">
        <v>1893819.95</v>
      </c>
      <c r="D74" s="488">
        <v>260907.14</v>
      </c>
      <c r="E74" s="488"/>
      <c r="F74" s="489"/>
      <c r="G74" s="488">
        <v>27122.5</v>
      </c>
      <c r="H74" s="488">
        <v>2198.65</v>
      </c>
      <c r="I74" s="488"/>
      <c r="J74" s="488">
        <v>25723.25</v>
      </c>
      <c r="K74" s="488">
        <v>7152.2</v>
      </c>
      <c r="L74" s="488">
        <v>208977.8</v>
      </c>
      <c r="M74" s="367">
        <f t="shared" si="4"/>
        <v>2425901.4899999998</v>
      </c>
      <c r="N74" s="492">
        <v>31853.9</v>
      </c>
      <c r="O74" s="492">
        <v>7147.5</v>
      </c>
      <c r="P74" s="492">
        <v>187402.1</v>
      </c>
      <c r="Q74" s="492">
        <v>394.59</v>
      </c>
      <c r="R74" s="492">
        <v>105021.75</v>
      </c>
      <c r="S74" s="488">
        <v>2764.51</v>
      </c>
      <c r="T74" s="367">
        <f t="shared" si="5"/>
        <v>2760485.8399999994</v>
      </c>
      <c r="U74" s="490">
        <v>-16643.5</v>
      </c>
      <c r="V74" s="492"/>
      <c r="W74" s="492">
        <v>0</v>
      </c>
      <c r="X74" s="496">
        <v>74</v>
      </c>
      <c r="Y74" s="497">
        <v>1</v>
      </c>
      <c r="Z74" s="498">
        <v>1105</v>
      </c>
      <c r="AA74" s="561"/>
      <c r="AB74" s="503"/>
      <c r="AC74" s="330">
        <f>AB74/VPI!R74</f>
        <v>0</v>
      </c>
      <c r="AD74" s="332">
        <f t="shared" si="6"/>
        <v>0</v>
      </c>
      <c r="AE74" s="330">
        <f>AD74/VPI!R74</f>
        <v>0</v>
      </c>
      <c r="AF74" s="503"/>
      <c r="AG74" s="503"/>
      <c r="AH74" s="503"/>
      <c r="AI74" s="562"/>
      <c r="AJ74" s="498"/>
      <c r="AK74" s="330">
        <f>AJ74/VPI!R74</f>
        <v>0</v>
      </c>
      <c r="AL74" s="332">
        <f t="shared" si="7"/>
        <v>0</v>
      </c>
      <c r="AM74" s="330">
        <f>AL74/VPI!R74</f>
        <v>0</v>
      </c>
      <c r="AN74" s="498"/>
      <c r="AO74" s="562"/>
      <c r="AP74" s="511">
        <v>11.129108937352136</v>
      </c>
      <c r="AR74" s="564">
        <v>0</v>
      </c>
    </row>
    <row r="75" spans="1:44" x14ac:dyDescent="0.25">
      <c r="A75" s="559">
        <v>5521</v>
      </c>
      <c r="B75" s="560" t="s">
        <v>164</v>
      </c>
      <c r="C75" s="488">
        <v>2449602.59</v>
      </c>
      <c r="D75" s="488">
        <v>317582.84999999998</v>
      </c>
      <c r="E75" s="488"/>
      <c r="F75" s="489"/>
      <c r="G75" s="488">
        <v>163666.45000000001</v>
      </c>
      <c r="H75" s="488">
        <v>3726</v>
      </c>
      <c r="I75" s="488"/>
      <c r="J75" s="488">
        <v>82564.160000000003</v>
      </c>
      <c r="K75" s="488">
        <v>23106</v>
      </c>
      <c r="L75" s="488">
        <v>284236.34999999998</v>
      </c>
      <c r="M75" s="367">
        <f t="shared" si="4"/>
        <v>3324484.4000000004</v>
      </c>
      <c r="N75" s="492">
        <v>113270.55</v>
      </c>
      <c r="O75" s="492"/>
      <c r="P75" s="492">
        <v>101640</v>
      </c>
      <c r="Q75" s="492">
        <v>1233.4000000000001</v>
      </c>
      <c r="R75" s="492">
        <v>43731.75</v>
      </c>
      <c r="S75" s="488">
        <v>15782.4</v>
      </c>
      <c r="T75" s="367">
        <f t="shared" si="5"/>
        <v>3600142.5</v>
      </c>
      <c r="U75" s="490">
        <v>-35567.06</v>
      </c>
      <c r="V75" s="492"/>
      <c r="W75" s="492">
        <v>-15874.8</v>
      </c>
      <c r="X75" s="496">
        <v>73</v>
      </c>
      <c r="Y75" s="497">
        <v>1</v>
      </c>
      <c r="Z75" s="498">
        <v>1172</v>
      </c>
      <c r="AA75" s="561"/>
      <c r="AB75" s="503"/>
      <c r="AC75" s="330">
        <f>AB75/VPI!R75</f>
        <v>0</v>
      </c>
      <c r="AD75" s="332">
        <f t="shared" si="6"/>
        <v>0</v>
      </c>
      <c r="AE75" s="330">
        <f>AD75/VPI!R75</f>
        <v>0</v>
      </c>
      <c r="AF75" s="503"/>
      <c r="AG75" s="503"/>
      <c r="AH75" s="503"/>
      <c r="AI75" s="562"/>
      <c r="AJ75" s="498"/>
      <c r="AK75" s="330">
        <f>AJ75/VPI!R75</f>
        <v>0</v>
      </c>
      <c r="AL75" s="332">
        <f t="shared" si="7"/>
        <v>0</v>
      </c>
      <c r="AM75" s="330">
        <f>AL75/VPI!R75</f>
        <v>0</v>
      </c>
      <c r="AN75" s="508"/>
      <c r="AO75" s="562"/>
      <c r="AP75" s="511">
        <v>22.915620207589534</v>
      </c>
      <c r="AR75" s="564">
        <v>0</v>
      </c>
    </row>
    <row r="76" spans="1:44" x14ac:dyDescent="0.25">
      <c r="A76" s="559">
        <v>5522</v>
      </c>
      <c r="B76" s="560" t="s">
        <v>165</v>
      </c>
      <c r="C76" s="488">
        <v>1353513.93</v>
      </c>
      <c r="D76" s="488">
        <v>202119.28</v>
      </c>
      <c r="E76" s="488"/>
      <c r="F76" s="489"/>
      <c r="G76" s="488">
        <v>22071.95</v>
      </c>
      <c r="H76" s="488">
        <v>1126.9000000000001</v>
      </c>
      <c r="I76" s="488"/>
      <c r="J76" s="488">
        <v>11607.11</v>
      </c>
      <c r="K76" s="488">
        <v>1943.55</v>
      </c>
      <c r="L76" s="488">
        <v>145565.9</v>
      </c>
      <c r="M76" s="367">
        <f t="shared" si="4"/>
        <v>1737948.6199999999</v>
      </c>
      <c r="N76" s="492">
        <v>61815.05</v>
      </c>
      <c r="O76" s="492"/>
      <c r="P76" s="492">
        <v>113455.65</v>
      </c>
      <c r="Q76" s="492">
        <v>3431.41</v>
      </c>
      <c r="R76" s="492">
        <v>89118.6</v>
      </c>
      <c r="S76" s="488">
        <v>2187.2800000000002</v>
      </c>
      <c r="T76" s="367">
        <f t="shared" si="5"/>
        <v>2007956.6099999999</v>
      </c>
      <c r="U76" s="490">
        <v>-22746.61</v>
      </c>
      <c r="V76" s="492"/>
      <c r="W76" s="492">
        <v>-25.15</v>
      </c>
      <c r="X76" s="496">
        <v>75</v>
      </c>
      <c r="Y76" s="497">
        <v>1</v>
      </c>
      <c r="Z76" s="498">
        <v>763</v>
      </c>
      <c r="AA76" s="561"/>
      <c r="AB76" s="503"/>
      <c r="AC76" s="330">
        <f>AB76/VPI!R76</f>
        <v>0</v>
      </c>
      <c r="AD76" s="332">
        <f t="shared" si="6"/>
        <v>0</v>
      </c>
      <c r="AE76" s="330">
        <f>AD76/VPI!R76</f>
        <v>0</v>
      </c>
      <c r="AF76" s="503"/>
      <c r="AG76" s="503"/>
      <c r="AH76" s="503"/>
      <c r="AI76" s="562"/>
      <c r="AJ76" s="498"/>
      <c r="AK76" s="330">
        <f>AJ76/VPI!R76</f>
        <v>0</v>
      </c>
      <c r="AL76" s="332">
        <f t="shared" si="7"/>
        <v>0</v>
      </c>
      <c r="AM76" s="330">
        <f>AL76/VPI!R76</f>
        <v>0</v>
      </c>
      <c r="AN76" s="498"/>
      <c r="AO76" s="562"/>
      <c r="AP76" s="511">
        <v>16.150014465512317</v>
      </c>
      <c r="AR76" s="564">
        <v>0</v>
      </c>
    </row>
    <row r="77" spans="1:44" x14ac:dyDescent="0.25">
      <c r="A77" s="559">
        <v>5523</v>
      </c>
      <c r="B77" s="560" t="s">
        <v>166</v>
      </c>
      <c r="C77" s="488">
        <v>5332028.2300000004</v>
      </c>
      <c r="D77" s="488">
        <v>693170.26</v>
      </c>
      <c r="E77" s="488"/>
      <c r="F77" s="489">
        <v>15000</v>
      </c>
      <c r="G77" s="488">
        <v>15102.05</v>
      </c>
      <c r="H77" s="488">
        <v>3798.45</v>
      </c>
      <c r="I77" s="488"/>
      <c r="J77" s="488">
        <v>44533.34</v>
      </c>
      <c r="K77" s="488">
        <v>23605</v>
      </c>
      <c r="L77" s="488">
        <v>685876.3</v>
      </c>
      <c r="M77" s="367">
        <f t="shared" si="4"/>
        <v>6813113.6299999999</v>
      </c>
      <c r="N77" s="492">
        <v>3558.35</v>
      </c>
      <c r="O77" s="492"/>
      <c r="P77" s="492">
        <v>204732</v>
      </c>
      <c r="Q77" s="492">
        <v>40439.339999999997</v>
      </c>
      <c r="R77" s="492">
        <v>251552.6</v>
      </c>
      <c r="S77" s="488">
        <v>1782.01</v>
      </c>
      <c r="T77" s="367">
        <f t="shared" si="5"/>
        <v>7315177.9299999988</v>
      </c>
      <c r="U77" s="490">
        <v>-50790.39</v>
      </c>
      <c r="V77" s="492"/>
      <c r="W77" s="492">
        <v>-1116.6500000000001</v>
      </c>
      <c r="X77" s="496">
        <v>72</v>
      </c>
      <c r="Y77" s="497">
        <v>1.25</v>
      </c>
      <c r="Z77" s="498">
        <v>2728</v>
      </c>
      <c r="AA77" s="561"/>
      <c r="AB77" s="503"/>
      <c r="AC77" s="330">
        <f>AB77/VPI!R77</f>
        <v>0</v>
      </c>
      <c r="AD77" s="332">
        <f t="shared" si="6"/>
        <v>0</v>
      </c>
      <c r="AE77" s="330">
        <f>AD77/VPI!R77</f>
        <v>0</v>
      </c>
      <c r="AF77" s="503"/>
      <c r="AG77" s="503"/>
      <c r="AH77" s="503"/>
      <c r="AI77" s="562"/>
      <c r="AJ77" s="498"/>
      <c r="AK77" s="330">
        <f>AJ77/VPI!R77</f>
        <v>0</v>
      </c>
      <c r="AL77" s="332">
        <f t="shared" si="7"/>
        <v>0</v>
      </c>
      <c r="AM77" s="330">
        <f>AL77/VPI!R77</f>
        <v>0</v>
      </c>
      <c r="AN77" s="498"/>
      <c r="AO77" s="562"/>
      <c r="AP77" s="511">
        <v>13.739080451089425</v>
      </c>
      <c r="AR77" s="564">
        <v>0</v>
      </c>
    </row>
    <row r="78" spans="1:44" x14ac:dyDescent="0.25">
      <c r="A78" s="559">
        <v>5527</v>
      </c>
      <c r="B78" s="560" t="s">
        <v>167</v>
      </c>
      <c r="C78" s="488">
        <v>2463240.89</v>
      </c>
      <c r="D78" s="488">
        <v>436105.11</v>
      </c>
      <c r="E78" s="488"/>
      <c r="F78" s="489"/>
      <c r="G78" s="488">
        <v>6871.25</v>
      </c>
      <c r="H78" s="488">
        <v>10080.200000000001</v>
      </c>
      <c r="I78" s="488"/>
      <c r="J78" s="488">
        <v>21559.57</v>
      </c>
      <c r="K78" s="488">
        <v>6427.75</v>
      </c>
      <c r="L78" s="488">
        <v>253987.05</v>
      </c>
      <c r="M78" s="367">
        <f t="shared" si="4"/>
        <v>3198271.82</v>
      </c>
      <c r="N78" s="492">
        <v>10602.75</v>
      </c>
      <c r="O78" s="492">
        <v>11655.4</v>
      </c>
      <c r="P78" s="492">
        <v>118728.5</v>
      </c>
      <c r="Q78" s="492">
        <v>1421.99</v>
      </c>
      <c r="R78" s="492">
        <v>166134</v>
      </c>
      <c r="S78" s="488">
        <v>1598.25</v>
      </c>
      <c r="T78" s="367">
        <f t="shared" si="5"/>
        <v>3508412.71</v>
      </c>
      <c r="U78" s="490">
        <v>-25705.41</v>
      </c>
      <c r="V78" s="492"/>
      <c r="W78" s="492">
        <v>-326.39999999999998</v>
      </c>
      <c r="X78" s="496">
        <v>74</v>
      </c>
      <c r="Y78" s="497">
        <v>1</v>
      </c>
      <c r="Z78" s="498">
        <v>1142</v>
      </c>
      <c r="AA78" s="561"/>
      <c r="AB78" s="503"/>
      <c r="AC78" s="330">
        <f>AB78/VPI!R78</f>
        <v>0</v>
      </c>
      <c r="AD78" s="332">
        <f t="shared" si="6"/>
        <v>0</v>
      </c>
      <c r="AE78" s="330">
        <f>AD78/VPI!R78</f>
        <v>0</v>
      </c>
      <c r="AF78" s="503"/>
      <c r="AG78" s="503"/>
      <c r="AH78" s="503"/>
      <c r="AI78" s="562"/>
      <c r="AJ78" s="498"/>
      <c r="AK78" s="330">
        <f>AJ78/VPI!R78</f>
        <v>0</v>
      </c>
      <c r="AL78" s="332">
        <f t="shared" si="7"/>
        <v>0</v>
      </c>
      <c r="AM78" s="330">
        <f>AL78/VPI!R78</f>
        <v>0</v>
      </c>
      <c r="AN78" s="498"/>
      <c r="AO78" s="562"/>
      <c r="AP78" s="511">
        <v>17.43679767732808</v>
      </c>
      <c r="AR78" s="564">
        <v>0</v>
      </c>
    </row>
    <row r="79" spans="1:44" x14ac:dyDescent="0.25">
      <c r="A79" s="559">
        <v>5529</v>
      </c>
      <c r="B79" s="560" t="s">
        <v>168</v>
      </c>
      <c r="C79" s="488">
        <v>1279670.0900000001</v>
      </c>
      <c r="D79" s="488">
        <v>158650.9</v>
      </c>
      <c r="E79" s="488"/>
      <c r="F79" s="489"/>
      <c r="G79" s="488">
        <v>37391.199999999997</v>
      </c>
      <c r="H79" s="488">
        <v>2219.85</v>
      </c>
      <c r="I79" s="488"/>
      <c r="J79" s="488">
        <v>21038.83</v>
      </c>
      <c r="K79" s="488">
        <v>2861.05</v>
      </c>
      <c r="L79" s="488">
        <v>134861.79999999999</v>
      </c>
      <c r="M79" s="367">
        <f t="shared" si="4"/>
        <v>1636693.7200000002</v>
      </c>
      <c r="N79" s="492">
        <v>1291.8</v>
      </c>
      <c r="O79" s="492"/>
      <c r="P79" s="492">
        <v>45427.199999999997</v>
      </c>
      <c r="Q79" s="492"/>
      <c r="R79" s="492">
        <v>12142.7</v>
      </c>
      <c r="S79" s="488">
        <v>3734.68</v>
      </c>
      <c r="T79" s="367">
        <f t="shared" si="5"/>
        <v>1699290.1</v>
      </c>
      <c r="U79" s="490">
        <v>-11052.97</v>
      </c>
      <c r="V79" s="492"/>
      <c r="W79" s="492">
        <v>-23.8</v>
      </c>
      <c r="X79" s="496">
        <v>71</v>
      </c>
      <c r="Y79" s="497">
        <v>1</v>
      </c>
      <c r="Z79" s="498">
        <v>600</v>
      </c>
      <c r="AA79" s="561"/>
      <c r="AB79" s="503"/>
      <c r="AC79" s="330">
        <f>AB79/VPI!R79</f>
        <v>0</v>
      </c>
      <c r="AD79" s="332">
        <f t="shared" si="6"/>
        <v>0</v>
      </c>
      <c r="AE79" s="330">
        <f>AD79/VPI!R79</f>
        <v>0</v>
      </c>
      <c r="AF79" s="503"/>
      <c r="AG79" s="503"/>
      <c r="AH79" s="503"/>
      <c r="AI79" s="562"/>
      <c r="AJ79" s="498"/>
      <c r="AK79" s="330">
        <f>AJ79/VPI!R79</f>
        <v>0</v>
      </c>
      <c r="AL79" s="332">
        <f t="shared" si="7"/>
        <v>0</v>
      </c>
      <c r="AM79" s="330">
        <f>AL79/VPI!R79</f>
        <v>0</v>
      </c>
      <c r="AN79" s="508"/>
      <c r="AO79" s="562"/>
      <c r="AP79" s="511">
        <v>21.378723061737524</v>
      </c>
      <c r="AR79" s="564">
        <v>0</v>
      </c>
    </row>
    <row r="80" spans="1:44" x14ac:dyDescent="0.25">
      <c r="A80" s="559">
        <v>5530</v>
      </c>
      <c r="B80" s="560" t="s">
        <v>169</v>
      </c>
      <c r="C80" s="488">
        <v>1198384.8400000001</v>
      </c>
      <c r="D80" s="488">
        <v>177998.42</v>
      </c>
      <c r="E80" s="488"/>
      <c r="F80" s="489"/>
      <c r="G80" s="488">
        <v>70051.55</v>
      </c>
      <c r="H80" s="488">
        <v>2058</v>
      </c>
      <c r="I80" s="488"/>
      <c r="J80" s="488">
        <v>-83.23</v>
      </c>
      <c r="K80" s="488">
        <v>1400</v>
      </c>
      <c r="L80" s="488">
        <v>133519.95000000001</v>
      </c>
      <c r="M80" s="367">
        <f t="shared" si="4"/>
        <v>1583329.53</v>
      </c>
      <c r="N80" s="492">
        <v>14828.7</v>
      </c>
      <c r="O80" s="492">
        <v>9116.2000000000007</v>
      </c>
      <c r="P80" s="492">
        <v>85904.3</v>
      </c>
      <c r="Q80" s="492"/>
      <c r="R80" s="492">
        <v>9275.65</v>
      </c>
      <c r="S80" s="488">
        <v>6798.77</v>
      </c>
      <c r="T80" s="367">
        <f t="shared" si="5"/>
        <v>1709253.15</v>
      </c>
      <c r="U80" s="490">
        <v>-6467.47</v>
      </c>
      <c r="V80" s="492"/>
      <c r="W80" s="492">
        <v>-96.55</v>
      </c>
      <c r="X80" s="496">
        <v>76</v>
      </c>
      <c r="Y80" s="497">
        <v>1.2</v>
      </c>
      <c r="Z80" s="498">
        <v>576</v>
      </c>
      <c r="AA80" s="561"/>
      <c r="AB80" s="503"/>
      <c r="AC80" s="330">
        <f>AB80/VPI!R80</f>
        <v>0</v>
      </c>
      <c r="AD80" s="332">
        <f t="shared" si="6"/>
        <v>0</v>
      </c>
      <c r="AE80" s="330">
        <f>AD80/VPI!R80</f>
        <v>0</v>
      </c>
      <c r="AF80" s="503"/>
      <c r="AG80" s="503"/>
      <c r="AH80" s="503"/>
      <c r="AI80" s="562"/>
      <c r="AJ80" s="498"/>
      <c r="AK80" s="330">
        <f>AJ80/VPI!R80</f>
        <v>0</v>
      </c>
      <c r="AL80" s="332">
        <f t="shared" si="7"/>
        <v>0</v>
      </c>
      <c r="AM80" s="330">
        <f>AL80/VPI!R80</f>
        <v>0</v>
      </c>
      <c r="AN80" s="498"/>
      <c r="AO80" s="562"/>
      <c r="AP80" s="511">
        <v>19.166536468916064</v>
      </c>
      <c r="AR80" s="564">
        <v>0</v>
      </c>
    </row>
    <row r="81" spans="1:44" x14ac:dyDescent="0.25">
      <c r="A81" s="559">
        <v>5531</v>
      </c>
      <c r="B81" s="560" t="s">
        <v>170</v>
      </c>
      <c r="C81" s="488">
        <v>1004266.43</v>
      </c>
      <c r="D81" s="488">
        <v>144668.32999999999</v>
      </c>
      <c r="E81" s="488"/>
      <c r="F81" s="489"/>
      <c r="G81" s="488">
        <v>9312.85</v>
      </c>
      <c r="H81" s="488">
        <v>641.29999999999995</v>
      </c>
      <c r="I81" s="488"/>
      <c r="J81" s="488">
        <v>9461.85</v>
      </c>
      <c r="K81" s="488">
        <v>1380.3</v>
      </c>
      <c r="L81" s="514">
        <v>85464.85</v>
      </c>
      <c r="M81" s="367">
        <f t="shared" si="4"/>
        <v>1255195.9100000004</v>
      </c>
      <c r="N81" s="492">
        <v>19042.5</v>
      </c>
      <c r="O81" s="492"/>
      <c r="P81" s="492">
        <v>78559.399999999994</v>
      </c>
      <c r="Q81" s="492">
        <v>14571.13</v>
      </c>
      <c r="R81" s="492">
        <v>121503.1</v>
      </c>
      <c r="S81" s="488">
        <v>938.52</v>
      </c>
      <c r="T81" s="367">
        <f t="shared" si="5"/>
        <v>1489810.5600000003</v>
      </c>
      <c r="U81" s="490">
        <v>-535.28</v>
      </c>
      <c r="V81" s="492"/>
      <c r="W81" s="492">
        <v>-422.15</v>
      </c>
      <c r="X81" s="496">
        <v>74</v>
      </c>
      <c r="Y81" s="497">
        <v>1</v>
      </c>
      <c r="Z81" s="498">
        <v>437</v>
      </c>
      <c r="AA81" s="561"/>
      <c r="AB81" s="503"/>
      <c r="AC81" s="330">
        <f>AB81/VPI!R81</f>
        <v>0</v>
      </c>
      <c r="AD81" s="332">
        <f t="shared" si="6"/>
        <v>0</v>
      </c>
      <c r="AE81" s="330">
        <f>AD81/VPI!R81</f>
        <v>0</v>
      </c>
      <c r="AF81" s="503"/>
      <c r="AG81" s="503"/>
      <c r="AH81" s="503"/>
      <c r="AI81" s="562"/>
      <c r="AJ81" s="498"/>
      <c r="AK81" s="330">
        <f>AJ81/VPI!R81</f>
        <v>0</v>
      </c>
      <c r="AL81" s="332">
        <f t="shared" si="7"/>
        <v>0</v>
      </c>
      <c r="AM81" s="330">
        <f>AL81/VPI!R81</f>
        <v>0</v>
      </c>
      <c r="AN81" s="498"/>
      <c r="AO81" s="562"/>
      <c r="AP81" s="511">
        <v>22.880000845525895</v>
      </c>
      <c r="AR81" s="564">
        <v>0</v>
      </c>
    </row>
    <row r="82" spans="1:44" x14ac:dyDescent="0.25">
      <c r="A82" s="559">
        <v>5533</v>
      </c>
      <c r="B82" s="560" t="s">
        <v>171</v>
      </c>
      <c r="C82" s="488">
        <v>1540676.69</v>
      </c>
      <c r="D82" s="488">
        <v>147235.23000000001</v>
      </c>
      <c r="E82" s="488"/>
      <c r="F82" s="489"/>
      <c r="G82" s="488">
        <v>100635.85</v>
      </c>
      <c r="H82" s="488">
        <v>5310.8</v>
      </c>
      <c r="I82" s="488"/>
      <c r="J82" s="488">
        <v>13069.23</v>
      </c>
      <c r="K82" s="488">
        <v>11535.85</v>
      </c>
      <c r="L82" s="488">
        <v>160709.20000000001</v>
      </c>
      <c r="M82" s="367">
        <f t="shared" si="4"/>
        <v>1979172.85</v>
      </c>
      <c r="N82" s="492">
        <v>13528.65</v>
      </c>
      <c r="O82" s="492">
        <v>3458.5</v>
      </c>
      <c r="P82" s="492">
        <v>87767.45</v>
      </c>
      <c r="Q82" s="492">
        <v>1733.2</v>
      </c>
      <c r="R82" s="492">
        <v>88093.95</v>
      </c>
      <c r="S82" s="488">
        <v>9989.06</v>
      </c>
      <c r="T82" s="367">
        <f t="shared" si="5"/>
        <v>2183743.66</v>
      </c>
      <c r="U82" s="490">
        <v>-6901.24</v>
      </c>
      <c r="V82" s="492"/>
      <c r="W82" s="492">
        <v>-233.95</v>
      </c>
      <c r="X82" s="496">
        <v>73</v>
      </c>
      <c r="Y82" s="497">
        <v>1</v>
      </c>
      <c r="Z82" s="498">
        <v>876</v>
      </c>
      <c r="AA82" s="561"/>
      <c r="AB82" s="503"/>
      <c r="AC82" s="330">
        <f>AB82/VPI!R82</f>
        <v>0</v>
      </c>
      <c r="AD82" s="332">
        <f t="shared" si="6"/>
        <v>0</v>
      </c>
      <c r="AE82" s="330">
        <f>AD82/VPI!R82</f>
        <v>0</v>
      </c>
      <c r="AF82" s="503"/>
      <c r="AG82" s="503"/>
      <c r="AH82" s="503"/>
      <c r="AI82" s="562"/>
      <c r="AJ82" s="498"/>
      <c r="AK82" s="330">
        <f>AJ82/VPI!R82</f>
        <v>0</v>
      </c>
      <c r="AL82" s="332">
        <f t="shared" si="7"/>
        <v>0</v>
      </c>
      <c r="AM82" s="330">
        <f>AL82/VPI!R82</f>
        <v>0</v>
      </c>
      <c r="AN82" s="498"/>
      <c r="AO82" s="562"/>
      <c r="AP82" s="511">
        <v>16.916808357534407</v>
      </c>
      <c r="AR82" s="564">
        <v>0</v>
      </c>
    </row>
    <row r="83" spans="1:44" x14ac:dyDescent="0.25">
      <c r="A83" s="559">
        <v>5534</v>
      </c>
      <c r="B83" s="560" t="s">
        <v>172</v>
      </c>
      <c r="C83" s="488">
        <v>571631.89</v>
      </c>
      <c r="D83" s="488">
        <v>172067.02</v>
      </c>
      <c r="E83" s="488"/>
      <c r="F83" s="489"/>
      <c r="G83" s="488">
        <v>292042.25</v>
      </c>
      <c r="H83" s="488">
        <v>788.75</v>
      </c>
      <c r="I83" s="488"/>
      <c r="J83" s="488">
        <v>7924.77</v>
      </c>
      <c r="K83" s="488">
        <v>1149</v>
      </c>
      <c r="L83" s="488">
        <v>103174.3</v>
      </c>
      <c r="M83" s="367">
        <f t="shared" si="4"/>
        <v>1148777.98</v>
      </c>
      <c r="N83" s="492">
        <v>20723.25</v>
      </c>
      <c r="O83" s="492"/>
      <c r="P83" s="492">
        <v>15592.85</v>
      </c>
      <c r="Q83" s="492">
        <v>10368.120000000001</v>
      </c>
      <c r="R83" s="492">
        <v>1540.05</v>
      </c>
      <c r="S83" s="488">
        <v>27609.23</v>
      </c>
      <c r="T83" s="367">
        <f t="shared" si="5"/>
        <v>1224611.4800000002</v>
      </c>
      <c r="U83" s="490">
        <v>-10297.52</v>
      </c>
      <c r="V83" s="492"/>
      <c r="W83" s="492">
        <v>-0.45</v>
      </c>
      <c r="X83" s="496">
        <v>73</v>
      </c>
      <c r="Y83" s="497">
        <v>1.2</v>
      </c>
      <c r="Z83" s="498">
        <v>302</v>
      </c>
      <c r="AA83" s="561"/>
      <c r="AB83" s="503"/>
      <c r="AC83" s="330">
        <f>AB83/VPI!R83</f>
        <v>0</v>
      </c>
      <c r="AD83" s="332">
        <f t="shared" si="6"/>
        <v>0</v>
      </c>
      <c r="AE83" s="330">
        <f>AD83/VPI!R83</f>
        <v>0</v>
      </c>
      <c r="AF83" s="503"/>
      <c r="AG83" s="503"/>
      <c r="AH83" s="503"/>
      <c r="AI83" s="562"/>
      <c r="AJ83" s="498"/>
      <c r="AK83" s="330">
        <f>AJ83/VPI!R83</f>
        <v>0</v>
      </c>
      <c r="AL83" s="332">
        <f t="shared" si="7"/>
        <v>0</v>
      </c>
      <c r="AM83" s="330">
        <f>AL83/VPI!R83</f>
        <v>0</v>
      </c>
      <c r="AN83" s="498"/>
      <c r="AO83" s="562"/>
      <c r="AP83" s="511">
        <v>28.521958549937786</v>
      </c>
      <c r="AR83" s="564">
        <v>0</v>
      </c>
    </row>
    <row r="84" spans="1:44" x14ac:dyDescent="0.25">
      <c r="A84" s="559">
        <v>5535</v>
      </c>
      <c r="B84" s="560" t="s">
        <v>29</v>
      </c>
      <c r="C84" s="488">
        <v>1610833.46</v>
      </c>
      <c r="D84" s="488">
        <v>206022.68</v>
      </c>
      <c r="E84" s="488"/>
      <c r="F84" s="489"/>
      <c r="G84" s="488">
        <v>51210.85</v>
      </c>
      <c r="H84" s="488">
        <v>3389.85</v>
      </c>
      <c r="I84" s="488"/>
      <c r="J84" s="488">
        <v>9831.6299999999992</v>
      </c>
      <c r="K84" s="488">
        <v>1739.3</v>
      </c>
      <c r="L84" s="488">
        <v>153284.75</v>
      </c>
      <c r="M84" s="367">
        <f t="shared" si="4"/>
        <v>2036312.52</v>
      </c>
      <c r="N84" s="492">
        <v>71740.3</v>
      </c>
      <c r="O84" s="492">
        <v>0</v>
      </c>
      <c r="P84" s="492">
        <v>43780</v>
      </c>
      <c r="Q84" s="492">
        <v>4056.64</v>
      </c>
      <c r="R84" s="492">
        <v>44220.3</v>
      </c>
      <c r="S84" s="488">
        <v>5147.96</v>
      </c>
      <c r="T84" s="367">
        <f t="shared" si="5"/>
        <v>2205257.7199999997</v>
      </c>
      <c r="U84" s="490">
        <v>-6569.19</v>
      </c>
      <c r="V84" s="492"/>
      <c r="W84" s="492">
        <v>-30.55</v>
      </c>
      <c r="X84" s="496">
        <v>75</v>
      </c>
      <c r="Y84" s="497">
        <v>1</v>
      </c>
      <c r="Z84" s="498">
        <v>829</v>
      </c>
      <c r="AA84" s="561"/>
      <c r="AB84" s="503"/>
      <c r="AC84" s="330">
        <f>AB84/VPI!R84</f>
        <v>0</v>
      </c>
      <c r="AD84" s="332">
        <f t="shared" si="6"/>
        <v>0</v>
      </c>
      <c r="AE84" s="330">
        <f>AD84/VPI!R84</f>
        <v>0</v>
      </c>
      <c r="AF84" s="503"/>
      <c r="AG84" s="503"/>
      <c r="AH84" s="503"/>
      <c r="AI84" s="562"/>
      <c r="AJ84" s="498"/>
      <c r="AK84" s="330">
        <f>AJ84/VPI!R84</f>
        <v>0</v>
      </c>
      <c r="AL84" s="332">
        <f t="shared" si="7"/>
        <v>0</v>
      </c>
      <c r="AM84" s="330">
        <f>AL84/VPI!R84</f>
        <v>0</v>
      </c>
      <c r="AN84" s="498"/>
      <c r="AO84" s="562"/>
      <c r="AP84" s="511">
        <v>14.342701046790053</v>
      </c>
      <c r="AR84" s="564">
        <v>0</v>
      </c>
    </row>
    <row r="85" spans="1:44" x14ac:dyDescent="0.25">
      <c r="A85" s="559">
        <v>5537</v>
      </c>
      <c r="B85" s="560" t="s">
        <v>30</v>
      </c>
      <c r="C85" s="488">
        <v>2248506.7799999998</v>
      </c>
      <c r="D85" s="488">
        <v>253872.83</v>
      </c>
      <c r="E85" s="488"/>
      <c r="F85" s="489">
        <v>7740</v>
      </c>
      <c r="G85" s="488">
        <v>31265.55</v>
      </c>
      <c r="H85" s="488">
        <v>1235.45</v>
      </c>
      <c r="I85" s="488"/>
      <c r="J85" s="488">
        <v>35803.42</v>
      </c>
      <c r="K85" s="488">
        <v>7012.25</v>
      </c>
      <c r="L85" s="488">
        <v>256241</v>
      </c>
      <c r="M85" s="367">
        <f t="shared" si="4"/>
        <v>2841677.28</v>
      </c>
      <c r="N85" s="492">
        <v>7539.15</v>
      </c>
      <c r="O85" s="492">
        <v>2314.6</v>
      </c>
      <c r="P85" s="492">
        <v>140182.29999999999</v>
      </c>
      <c r="Q85" s="492">
        <v>2677.94</v>
      </c>
      <c r="R85" s="492">
        <v>97476.3</v>
      </c>
      <c r="S85" s="488">
        <v>3064.32</v>
      </c>
      <c r="T85" s="367">
        <f t="shared" si="5"/>
        <v>3094931.8899999992</v>
      </c>
      <c r="U85" s="490">
        <v>-30618.43</v>
      </c>
      <c r="V85" s="492"/>
      <c r="W85" s="492">
        <v>-58.75</v>
      </c>
      <c r="X85" s="496">
        <v>76</v>
      </c>
      <c r="Y85" s="497">
        <v>1</v>
      </c>
      <c r="Z85" s="498">
        <v>1298</v>
      </c>
      <c r="AA85" s="561"/>
      <c r="AB85" s="503"/>
      <c r="AC85" s="330">
        <f>AB85/VPI!R85</f>
        <v>0</v>
      </c>
      <c r="AD85" s="332">
        <f t="shared" si="6"/>
        <v>0</v>
      </c>
      <c r="AE85" s="330">
        <f>AD85/VPI!R85</f>
        <v>0</v>
      </c>
      <c r="AF85" s="503"/>
      <c r="AG85" s="503"/>
      <c r="AH85" s="503"/>
      <c r="AI85" s="562"/>
      <c r="AJ85" s="498"/>
      <c r="AK85" s="330">
        <f>AJ85/VPI!R85</f>
        <v>0</v>
      </c>
      <c r="AL85" s="332">
        <f t="shared" si="7"/>
        <v>0</v>
      </c>
      <c r="AM85" s="330">
        <f>AL85/VPI!R85</f>
        <v>0</v>
      </c>
      <c r="AN85" s="498"/>
      <c r="AO85" s="562"/>
      <c r="AP85" s="511">
        <v>10.353263307732242</v>
      </c>
      <c r="AR85" s="564">
        <v>0</v>
      </c>
    </row>
    <row r="86" spans="1:44" x14ac:dyDescent="0.25">
      <c r="A86" s="559">
        <v>5539</v>
      </c>
      <c r="B86" s="560" t="s">
        <v>31</v>
      </c>
      <c r="C86" s="488">
        <v>1982857.81</v>
      </c>
      <c r="D86" s="488">
        <v>211955.16</v>
      </c>
      <c r="E86" s="488"/>
      <c r="F86" s="489"/>
      <c r="G86" s="488">
        <v>26891.9</v>
      </c>
      <c r="H86" s="488">
        <v>731.75</v>
      </c>
      <c r="I86" s="488"/>
      <c r="J86" s="488">
        <v>21532.65</v>
      </c>
      <c r="K86" s="488">
        <v>924.7</v>
      </c>
      <c r="L86" s="488">
        <v>169974.6</v>
      </c>
      <c r="M86" s="367">
        <f t="shared" si="4"/>
        <v>2414868.5700000003</v>
      </c>
      <c r="N86" s="492">
        <v>20340.2</v>
      </c>
      <c r="O86" s="492">
        <v>19784.099999999999</v>
      </c>
      <c r="P86" s="492">
        <v>98123.65</v>
      </c>
      <c r="Q86" s="492">
        <v>3973.35</v>
      </c>
      <c r="R86" s="492">
        <v>116273.2</v>
      </c>
      <c r="S86" s="488">
        <v>2604.46</v>
      </c>
      <c r="T86" s="367">
        <f t="shared" si="5"/>
        <v>2675967.5300000007</v>
      </c>
      <c r="U86" s="490">
        <v>-20417.830000000002</v>
      </c>
      <c r="V86" s="492"/>
      <c r="W86" s="492">
        <v>0</v>
      </c>
      <c r="X86" s="496">
        <v>73.5</v>
      </c>
      <c r="Y86" s="497">
        <v>0.8</v>
      </c>
      <c r="Z86" s="498">
        <v>1103</v>
      </c>
      <c r="AA86" s="561"/>
      <c r="AB86" s="503"/>
      <c r="AC86" s="330">
        <f>AB86/VPI!R86</f>
        <v>0</v>
      </c>
      <c r="AD86" s="332">
        <f t="shared" si="6"/>
        <v>0</v>
      </c>
      <c r="AE86" s="330">
        <f>AD86/VPI!R86</f>
        <v>0</v>
      </c>
      <c r="AF86" s="503"/>
      <c r="AG86" s="503"/>
      <c r="AH86" s="503"/>
      <c r="AI86" s="562"/>
      <c r="AJ86" s="498"/>
      <c r="AK86" s="330">
        <f>AJ86/VPI!R86</f>
        <v>0</v>
      </c>
      <c r="AL86" s="332">
        <f t="shared" si="7"/>
        <v>0</v>
      </c>
      <c r="AM86" s="330">
        <f>AL86/VPI!R86</f>
        <v>0</v>
      </c>
      <c r="AN86" s="498"/>
      <c r="AO86" s="562"/>
      <c r="AP86" s="511">
        <v>13.903127669046354</v>
      </c>
      <c r="AR86" s="564">
        <v>0</v>
      </c>
    </row>
    <row r="87" spans="1:44" x14ac:dyDescent="0.25">
      <c r="A87" s="559">
        <v>5540</v>
      </c>
      <c r="B87" s="560" t="s">
        <v>345</v>
      </c>
      <c r="C87" s="488">
        <v>4333273.97</v>
      </c>
      <c r="D87" s="488">
        <v>597011.79</v>
      </c>
      <c r="E87" s="488"/>
      <c r="F87" s="489"/>
      <c r="G87" s="488">
        <v>55196.1</v>
      </c>
      <c r="H87" s="488">
        <v>6676.75</v>
      </c>
      <c r="I87" s="488"/>
      <c r="J87" s="488">
        <v>44265.13</v>
      </c>
      <c r="K87" s="488">
        <v>14178</v>
      </c>
      <c r="L87" s="488">
        <v>290398.09999999998</v>
      </c>
      <c r="M87" s="367">
        <f t="shared" si="4"/>
        <v>5340999.8399999989</v>
      </c>
      <c r="N87" s="492">
        <v>15299.15</v>
      </c>
      <c r="O87" s="492">
        <v>66</v>
      </c>
      <c r="P87" s="492">
        <v>129134.2</v>
      </c>
      <c r="Q87" s="492">
        <v>15712.16</v>
      </c>
      <c r="R87" s="492">
        <v>106308.15</v>
      </c>
      <c r="S87" s="488">
        <v>5833.61</v>
      </c>
      <c r="T87" s="367">
        <f t="shared" si="5"/>
        <v>5613353.1100000003</v>
      </c>
      <c r="U87" s="490">
        <v>-74450.25</v>
      </c>
      <c r="V87" s="492"/>
      <c r="W87" s="492">
        <v>-768.9</v>
      </c>
      <c r="X87" s="496">
        <v>72.5</v>
      </c>
      <c r="Y87" s="497">
        <v>0.8</v>
      </c>
      <c r="Z87" s="498">
        <v>1894</v>
      </c>
      <c r="AA87" s="561"/>
      <c r="AB87" s="503"/>
      <c r="AC87" s="330">
        <f>AB87/VPI!R87</f>
        <v>0</v>
      </c>
      <c r="AD87" s="332">
        <f t="shared" si="6"/>
        <v>0</v>
      </c>
      <c r="AE87" s="330">
        <f>AD87/VPI!R87</f>
        <v>0</v>
      </c>
      <c r="AF87" s="503"/>
      <c r="AG87" s="503"/>
      <c r="AH87" s="503"/>
      <c r="AI87" s="562"/>
      <c r="AJ87" s="498"/>
      <c r="AK87" s="330">
        <f>AJ87/VPI!R87</f>
        <v>0</v>
      </c>
      <c r="AL87" s="332">
        <f t="shared" si="7"/>
        <v>0</v>
      </c>
      <c r="AM87" s="330">
        <f>AL87/VPI!R87</f>
        <v>0</v>
      </c>
      <c r="AN87" s="498"/>
      <c r="AO87" s="562"/>
      <c r="AP87" s="511">
        <v>16.476761154431696</v>
      </c>
      <c r="AR87" s="564">
        <v>0</v>
      </c>
    </row>
    <row r="88" spans="1:44" x14ac:dyDescent="0.25">
      <c r="A88" s="559">
        <v>5541</v>
      </c>
      <c r="B88" s="560" t="s">
        <v>344</v>
      </c>
      <c r="C88" s="488">
        <v>2450426.08</v>
      </c>
      <c r="D88" s="488">
        <v>298311.58</v>
      </c>
      <c r="E88" s="488"/>
      <c r="F88" s="489"/>
      <c r="G88" s="488">
        <v>202981.9</v>
      </c>
      <c r="H88" s="488">
        <v>6510.95</v>
      </c>
      <c r="I88" s="488"/>
      <c r="J88" s="488">
        <v>21271.82</v>
      </c>
      <c r="K88" s="488">
        <v>3855.5</v>
      </c>
      <c r="L88" s="488">
        <v>231924.85</v>
      </c>
      <c r="M88" s="367">
        <f t="shared" si="4"/>
        <v>3215282.68</v>
      </c>
      <c r="N88" s="492">
        <v>7994.6</v>
      </c>
      <c r="O88" s="492">
        <v>13623.4</v>
      </c>
      <c r="P88" s="492">
        <v>51247.65</v>
      </c>
      <c r="Q88" s="492">
        <v>1229.79</v>
      </c>
      <c r="R88" s="492">
        <v>37311.699999999997</v>
      </c>
      <c r="S88" s="488">
        <v>19751.79</v>
      </c>
      <c r="T88" s="367">
        <f t="shared" si="5"/>
        <v>3346441.6100000003</v>
      </c>
      <c r="U88" s="490">
        <v>-19551.080000000002</v>
      </c>
      <c r="V88" s="492"/>
      <c r="W88" s="492">
        <v>-8386.1</v>
      </c>
      <c r="X88" s="496">
        <v>75.5</v>
      </c>
      <c r="Y88" s="497">
        <v>1</v>
      </c>
      <c r="Z88" s="498">
        <v>1212</v>
      </c>
      <c r="AA88" s="561"/>
      <c r="AB88" s="503"/>
      <c r="AC88" s="330">
        <f>AB88/VPI!R88</f>
        <v>0</v>
      </c>
      <c r="AD88" s="332">
        <f t="shared" si="6"/>
        <v>0</v>
      </c>
      <c r="AE88" s="330">
        <f>AD88/VPI!R88</f>
        <v>0</v>
      </c>
      <c r="AF88" s="503"/>
      <c r="AG88" s="503"/>
      <c r="AH88" s="503"/>
      <c r="AI88" s="562"/>
      <c r="AJ88" s="498"/>
      <c r="AK88" s="330">
        <f>AJ88/VPI!R88</f>
        <v>0</v>
      </c>
      <c r="AL88" s="332">
        <f t="shared" si="7"/>
        <v>0</v>
      </c>
      <c r="AM88" s="330">
        <f>AL88/VPI!R88</f>
        <v>0</v>
      </c>
      <c r="AN88" s="498"/>
      <c r="AO88" s="562"/>
      <c r="AP88" s="511">
        <v>17.854811119519351</v>
      </c>
      <c r="AR88" s="564">
        <v>0</v>
      </c>
    </row>
    <row r="89" spans="1:44" x14ac:dyDescent="0.25">
      <c r="A89" s="559">
        <v>5551</v>
      </c>
      <c r="B89" s="560" t="s">
        <v>32</v>
      </c>
      <c r="C89" s="488">
        <v>782403.01</v>
      </c>
      <c r="D89" s="488">
        <v>152781.54999999999</v>
      </c>
      <c r="E89" s="488"/>
      <c r="F89" s="489"/>
      <c r="G89" s="488">
        <v>13598.25</v>
      </c>
      <c r="H89" s="488">
        <v>877.3</v>
      </c>
      <c r="I89" s="488"/>
      <c r="J89" s="488">
        <v>3530.46</v>
      </c>
      <c r="K89" s="488">
        <v>12264.75</v>
      </c>
      <c r="L89" s="488">
        <v>120460.6</v>
      </c>
      <c r="M89" s="367">
        <f t="shared" si="4"/>
        <v>1085915.9200000002</v>
      </c>
      <c r="N89" s="492">
        <v>6357</v>
      </c>
      <c r="O89" s="492">
        <v>514.79999999999995</v>
      </c>
      <c r="P89" s="492">
        <v>33263.449999999997</v>
      </c>
      <c r="Q89" s="492"/>
      <c r="R89" s="492">
        <v>50526.5</v>
      </c>
      <c r="S89" s="488">
        <v>1364.81</v>
      </c>
      <c r="T89" s="367">
        <f t="shared" si="5"/>
        <v>1177942.4800000002</v>
      </c>
      <c r="U89" s="490">
        <v>-4279.08</v>
      </c>
      <c r="V89" s="492"/>
      <c r="W89" s="492">
        <v>-118.66</v>
      </c>
      <c r="X89" s="496">
        <v>57</v>
      </c>
      <c r="Y89" s="497">
        <v>1</v>
      </c>
      <c r="Z89" s="498">
        <v>526</v>
      </c>
      <c r="AA89" s="561"/>
      <c r="AB89" s="503"/>
      <c r="AC89" s="330">
        <f>AB89/VPI!R89</f>
        <v>0</v>
      </c>
      <c r="AD89" s="332">
        <f t="shared" si="6"/>
        <v>0</v>
      </c>
      <c r="AE89" s="330">
        <f>AD89/VPI!R89</f>
        <v>0</v>
      </c>
      <c r="AF89" s="503"/>
      <c r="AG89" s="503"/>
      <c r="AH89" s="503"/>
      <c r="AI89" s="562"/>
      <c r="AJ89" s="498"/>
      <c r="AK89" s="330">
        <f>AJ89/VPI!R89</f>
        <v>0</v>
      </c>
      <c r="AL89" s="332">
        <f t="shared" si="7"/>
        <v>0</v>
      </c>
      <c r="AM89" s="330">
        <f>AL89/VPI!R89</f>
        <v>0</v>
      </c>
      <c r="AN89" s="498"/>
      <c r="AO89" s="562"/>
      <c r="AP89" s="511">
        <v>23.443876595080077</v>
      </c>
      <c r="AR89" s="564">
        <v>0</v>
      </c>
    </row>
    <row r="90" spans="1:44" x14ac:dyDescent="0.25">
      <c r="A90" s="559">
        <v>5552</v>
      </c>
      <c r="B90" s="560" t="s">
        <v>33</v>
      </c>
      <c r="C90" s="488">
        <v>1038355.57</v>
      </c>
      <c r="D90" s="488">
        <v>226343.8</v>
      </c>
      <c r="E90" s="488"/>
      <c r="F90" s="489"/>
      <c r="G90" s="488">
        <v>24914.05</v>
      </c>
      <c r="H90" s="488">
        <v>1459.05</v>
      </c>
      <c r="I90" s="488"/>
      <c r="J90" s="488">
        <v>9460.83</v>
      </c>
      <c r="K90" s="488">
        <v>135.1</v>
      </c>
      <c r="L90" s="488">
        <v>139285.5</v>
      </c>
      <c r="M90" s="367">
        <f t="shared" si="4"/>
        <v>1439953.9000000001</v>
      </c>
      <c r="N90" s="492">
        <v>90946.95</v>
      </c>
      <c r="O90" s="492">
        <v>269373.59999999998</v>
      </c>
      <c r="P90" s="492">
        <v>73292.399999999994</v>
      </c>
      <c r="Q90" s="492">
        <v>2479.15</v>
      </c>
      <c r="R90" s="492">
        <v>93060.5</v>
      </c>
      <c r="S90" s="488">
        <v>2486.56</v>
      </c>
      <c r="T90" s="367">
        <f t="shared" si="5"/>
        <v>1971593.06</v>
      </c>
      <c r="U90" s="490">
        <v>-15186.07</v>
      </c>
      <c r="V90" s="492"/>
      <c r="W90" s="492">
        <v>0</v>
      </c>
      <c r="X90" s="496">
        <v>70</v>
      </c>
      <c r="Y90" s="497">
        <v>1</v>
      </c>
      <c r="Z90" s="498">
        <v>675</v>
      </c>
      <c r="AA90" s="561"/>
      <c r="AB90" s="503"/>
      <c r="AC90" s="330">
        <f>AB90/VPI!R90</f>
        <v>0</v>
      </c>
      <c r="AD90" s="332">
        <f t="shared" si="6"/>
        <v>0</v>
      </c>
      <c r="AE90" s="330">
        <f>AD90/VPI!R90</f>
        <v>0</v>
      </c>
      <c r="AF90" s="503"/>
      <c r="AG90" s="503"/>
      <c r="AH90" s="503"/>
      <c r="AI90" s="562"/>
      <c r="AJ90" s="498"/>
      <c r="AK90" s="330">
        <f>AJ90/VPI!R90</f>
        <v>0</v>
      </c>
      <c r="AL90" s="332">
        <f t="shared" si="7"/>
        <v>0</v>
      </c>
      <c r="AM90" s="330">
        <f>AL90/VPI!R90</f>
        <v>0</v>
      </c>
      <c r="AN90" s="498"/>
      <c r="AO90" s="562"/>
      <c r="AP90" s="511">
        <v>12.93280694519042</v>
      </c>
      <c r="AR90" s="564">
        <v>0</v>
      </c>
    </row>
    <row r="91" spans="1:44" x14ac:dyDescent="0.25">
      <c r="A91" s="559">
        <v>5553</v>
      </c>
      <c r="B91" s="560" t="s">
        <v>34</v>
      </c>
      <c r="C91" s="488">
        <v>1587469.04</v>
      </c>
      <c r="D91" s="488">
        <v>291885.78999999998</v>
      </c>
      <c r="E91" s="488"/>
      <c r="F91" s="489"/>
      <c r="G91" s="488">
        <v>145524.70000000001</v>
      </c>
      <c r="H91" s="488">
        <v>18473.2</v>
      </c>
      <c r="I91" s="488"/>
      <c r="J91" s="488">
        <v>34948.81</v>
      </c>
      <c r="K91" s="488">
        <v>33468.1</v>
      </c>
      <c r="L91" s="488">
        <v>249332.85</v>
      </c>
      <c r="M91" s="367">
        <f t="shared" si="4"/>
        <v>2361102.4900000002</v>
      </c>
      <c r="N91" s="492">
        <v>207085.8</v>
      </c>
      <c r="O91" s="492">
        <v>65031</v>
      </c>
      <c r="P91" s="492">
        <v>155950.9</v>
      </c>
      <c r="Q91" s="492">
        <v>24233.33</v>
      </c>
      <c r="R91" s="492">
        <v>76224.149999999994</v>
      </c>
      <c r="S91" s="488">
        <v>15462.35</v>
      </c>
      <c r="T91" s="367">
        <f t="shared" si="5"/>
        <v>2905090.02</v>
      </c>
      <c r="U91" s="490">
        <v>-48028.58</v>
      </c>
      <c r="V91" s="492"/>
      <c r="W91" s="492">
        <v>-1361.25</v>
      </c>
      <c r="X91" s="496">
        <v>65</v>
      </c>
      <c r="Y91" s="497">
        <v>1</v>
      </c>
      <c r="Z91" s="498">
        <v>1071</v>
      </c>
      <c r="AA91" s="561"/>
      <c r="AB91" s="503"/>
      <c r="AC91" s="330">
        <f>AB91/VPI!R91</f>
        <v>0</v>
      </c>
      <c r="AD91" s="332">
        <f t="shared" si="6"/>
        <v>0</v>
      </c>
      <c r="AE91" s="330">
        <f>AD91/VPI!R91</f>
        <v>0</v>
      </c>
      <c r="AF91" s="503"/>
      <c r="AG91" s="503"/>
      <c r="AH91" s="503"/>
      <c r="AI91" s="562"/>
      <c r="AJ91" s="498"/>
      <c r="AK91" s="330">
        <f>AJ91/VPI!R91</f>
        <v>0</v>
      </c>
      <c r="AL91" s="332">
        <f t="shared" si="7"/>
        <v>0</v>
      </c>
      <c r="AM91" s="330">
        <f>AL91/VPI!R91</f>
        <v>0</v>
      </c>
      <c r="AN91" s="498"/>
      <c r="AO91" s="562"/>
      <c r="AP91" s="511">
        <v>20.525514086399824</v>
      </c>
      <c r="AR91" s="564">
        <v>0</v>
      </c>
    </row>
    <row r="92" spans="1:44" x14ac:dyDescent="0.25">
      <c r="A92" s="559">
        <v>5554</v>
      </c>
      <c r="B92" s="560" t="s">
        <v>35</v>
      </c>
      <c r="C92" s="488">
        <v>1931873.86</v>
      </c>
      <c r="D92" s="488">
        <v>331027.11</v>
      </c>
      <c r="E92" s="488"/>
      <c r="F92" s="489"/>
      <c r="G92" s="488">
        <v>13888.25</v>
      </c>
      <c r="H92" s="488">
        <v>1817.35</v>
      </c>
      <c r="I92" s="488"/>
      <c r="J92" s="488">
        <v>13793.33</v>
      </c>
      <c r="K92" s="488">
        <v>4485.25</v>
      </c>
      <c r="L92" s="488">
        <v>196342.75</v>
      </c>
      <c r="M92" s="367">
        <f t="shared" si="4"/>
        <v>2493227.9000000004</v>
      </c>
      <c r="N92" s="492">
        <v>51622.05</v>
      </c>
      <c r="O92" s="492">
        <v>2325232.7000000002</v>
      </c>
      <c r="P92" s="492">
        <v>122095.4</v>
      </c>
      <c r="Q92" s="492">
        <v>8399.59</v>
      </c>
      <c r="R92" s="492">
        <v>89281.600000000006</v>
      </c>
      <c r="S92" s="488">
        <v>1480.78</v>
      </c>
      <c r="T92" s="367">
        <f t="shared" si="5"/>
        <v>5091340.0200000005</v>
      </c>
      <c r="U92" s="490">
        <v>-32123.17</v>
      </c>
      <c r="V92" s="492"/>
      <c r="W92" s="492">
        <v>-764.26</v>
      </c>
      <c r="X92" s="496">
        <v>72</v>
      </c>
      <c r="Y92" s="497">
        <v>1</v>
      </c>
      <c r="Z92" s="498">
        <v>1022</v>
      </c>
      <c r="AA92" s="561"/>
      <c r="AB92" s="503"/>
      <c r="AC92" s="330">
        <f>AB92/VPI!R92</f>
        <v>0</v>
      </c>
      <c r="AD92" s="332">
        <f t="shared" si="6"/>
        <v>0</v>
      </c>
      <c r="AE92" s="330">
        <f>AD92/VPI!R92</f>
        <v>0</v>
      </c>
      <c r="AF92" s="503"/>
      <c r="AG92" s="503"/>
      <c r="AH92" s="503"/>
      <c r="AI92" s="562"/>
      <c r="AJ92" s="498"/>
      <c r="AK92" s="330">
        <f>AJ92/VPI!R92</f>
        <v>0</v>
      </c>
      <c r="AL92" s="332">
        <f t="shared" si="7"/>
        <v>0</v>
      </c>
      <c r="AM92" s="330">
        <f>AL92/VPI!R92</f>
        <v>0</v>
      </c>
      <c r="AN92" s="498"/>
      <c r="AO92" s="562"/>
      <c r="AP92" s="511">
        <v>17.22901705997349</v>
      </c>
      <c r="AR92" s="564">
        <v>0</v>
      </c>
    </row>
    <row r="93" spans="1:44" x14ac:dyDescent="0.25">
      <c r="A93" s="559">
        <v>5555</v>
      </c>
      <c r="B93" s="560" t="s">
        <v>36</v>
      </c>
      <c r="C93" s="488">
        <v>680944.57</v>
      </c>
      <c r="D93" s="488">
        <v>164539.22</v>
      </c>
      <c r="E93" s="488"/>
      <c r="F93" s="489"/>
      <c r="G93" s="488">
        <v>4995.8</v>
      </c>
      <c r="H93" s="488">
        <v>2070.6999999999998</v>
      </c>
      <c r="I93" s="488"/>
      <c r="J93" s="488">
        <v>-12796.46</v>
      </c>
      <c r="K93" s="488">
        <v>2116.5</v>
      </c>
      <c r="L93" s="488">
        <v>100248.15</v>
      </c>
      <c r="M93" s="367">
        <f t="shared" si="4"/>
        <v>942118.48</v>
      </c>
      <c r="N93" s="492">
        <v>8583.9500000000007</v>
      </c>
      <c r="O93" s="492">
        <v>54727.6</v>
      </c>
      <c r="P93" s="492">
        <v>83613.399999999994</v>
      </c>
      <c r="Q93" s="492">
        <v>2955.26</v>
      </c>
      <c r="R93" s="492">
        <v>44760.9</v>
      </c>
      <c r="S93" s="488">
        <v>666.26</v>
      </c>
      <c r="T93" s="367">
        <f t="shared" si="5"/>
        <v>1137425.8499999999</v>
      </c>
      <c r="U93" s="490">
        <v>-3892.23</v>
      </c>
      <c r="V93" s="492"/>
      <c r="W93" s="492">
        <v>-689.85</v>
      </c>
      <c r="X93" s="496">
        <v>69</v>
      </c>
      <c r="Y93" s="497">
        <v>1</v>
      </c>
      <c r="Z93" s="498">
        <v>425</v>
      </c>
      <c r="AA93" s="561"/>
      <c r="AB93" s="503"/>
      <c r="AC93" s="330">
        <f>AB93/VPI!R93</f>
        <v>0</v>
      </c>
      <c r="AD93" s="332">
        <f t="shared" si="6"/>
        <v>0</v>
      </c>
      <c r="AE93" s="330">
        <f>AD93/VPI!R93</f>
        <v>0</v>
      </c>
      <c r="AF93" s="503"/>
      <c r="AG93" s="503"/>
      <c r="AH93" s="503"/>
      <c r="AI93" s="562"/>
      <c r="AJ93" s="498"/>
      <c r="AK93" s="330">
        <f>AJ93/VPI!R93</f>
        <v>0</v>
      </c>
      <c r="AL93" s="332">
        <f t="shared" si="7"/>
        <v>0</v>
      </c>
      <c r="AM93" s="330">
        <f>AL93/VPI!R93</f>
        <v>0</v>
      </c>
      <c r="AN93" s="498"/>
      <c r="AO93" s="562"/>
      <c r="AP93" s="511">
        <v>17.540103045001977</v>
      </c>
      <c r="AR93" s="564">
        <v>0</v>
      </c>
    </row>
    <row r="94" spans="1:44" x14ac:dyDescent="0.25">
      <c r="A94" s="559">
        <v>5556</v>
      </c>
      <c r="B94" s="560" t="s">
        <v>37</v>
      </c>
      <c r="C94" s="488">
        <v>727093.42</v>
      </c>
      <c r="D94" s="488">
        <v>82905.86</v>
      </c>
      <c r="E94" s="488"/>
      <c r="F94" s="489">
        <v>2630</v>
      </c>
      <c r="G94" s="488">
        <v>-2154.6</v>
      </c>
      <c r="H94" s="488">
        <v>117.05</v>
      </c>
      <c r="I94" s="488"/>
      <c r="J94" s="488">
        <v>1973.2</v>
      </c>
      <c r="K94" s="488">
        <v>1835.65</v>
      </c>
      <c r="L94" s="488">
        <v>91735</v>
      </c>
      <c r="M94" s="367">
        <f t="shared" si="4"/>
        <v>906135.58000000007</v>
      </c>
      <c r="N94" s="492">
        <v>2851.9</v>
      </c>
      <c r="O94" s="492">
        <v>321.8</v>
      </c>
      <c r="P94" s="492">
        <v>18612</v>
      </c>
      <c r="Q94" s="492">
        <v>3151.83</v>
      </c>
      <c r="R94" s="492"/>
      <c r="S94" s="488">
        <v>-192.11</v>
      </c>
      <c r="T94" s="367">
        <f t="shared" si="5"/>
        <v>930881.00000000012</v>
      </c>
      <c r="U94" s="490">
        <v>-1539.69</v>
      </c>
      <c r="V94" s="492"/>
      <c r="W94" s="492">
        <v>0</v>
      </c>
      <c r="X94" s="496">
        <v>69</v>
      </c>
      <c r="Y94" s="497">
        <v>1.2</v>
      </c>
      <c r="Z94" s="498">
        <v>436</v>
      </c>
      <c r="AA94" s="561"/>
      <c r="AB94" s="503"/>
      <c r="AC94" s="330">
        <f>AB94/VPI!R94</f>
        <v>0</v>
      </c>
      <c r="AD94" s="332">
        <f t="shared" si="6"/>
        <v>0</v>
      </c>
      <c r="AE94" s="330">
        <f>AD94/VPI!R94</f>
        <v>0</v>
      </c>
      <c r="AF94" s="503"/>
      <c r="AG94" s="503"/>
      <c r="AH94" s="503"/>
      <c r="AI94" s="562"/>
      <c r="AJ94" s="498"/>
      <c r="AK94" s="330">
        <f>AJ94/VPI!R94</f>
        <v>0</v>
      </c>
      <c r="AL94" s="332">
        <f t="shared" si="7"/>
        <v>0</v>
      </c>
      <c r="AM94" s="330">
        <f>AL94/VPI!R94</f>
        <v>0</v>
      </c>
      <c r="AN94" s="498"/>
      <c r="AO94" s="562"/>
      <c r="AP94" s="511">
        <v>15.350197509297775</v>
      </c>
      <c r="AR94" s="564">
        <v>0</v>
      </c>
    </row>
    <row r="95" spans="1:44" x14ac:dyDescent="0.25">
      <c r="A95" s="559">
        <v>5557</v>
      </c>
      <c r="B95" s="560" t="s">
        <v>38</v>
      </c>
      <c r="C95" s="488">
        <v>262205.37</v>
      </c>
      <c r="D95" s="488">
        <v>25615.040000000001</v>
      </c>
      <c r="E95" s="514"/>
      <c r="F95" s="489">
        <v>1006.6</v>
      </c>
      <c r="G95" s="488">
        <v>-930.4</v>
      </c>
      <c r="H95" s="488">
        <v>-241.15</v>
      </c>
      <c r="I95" s="488"/>
      <c r="J95" s="488">
        <v>816.58</v>
      </c>
      <c r="K95" s="488">
        <v>936.95</v>
      </c>
      <c r="L95" s="488">
        <v>37745.699999999997</v>
      </c>
      <c r="M95" s="367">
        <f t="shared" si="4"/>
        <v>327154.68999999994</v>
      </c>
      <c r="N95" s="492">
        <v>0</v>
      </c>
      <c r="O95" s="492"/>
      <c r="P95" s="492">
        <v>5346</v>
      </c>
      <c r="Q95" s="492">
        <v>1573.51</v>
      </c>
      <c r="R95" s="492">
        <v>12761.1</v>
      </c>
      <c r="S95" s="488">
        <v>-110.46</v>
      </c>
      <c r="T95" s="367">
        <f t="shared" si="5"/>
        <v>346724.83999999991</v>
      </c>
      <c r="U95" s="490">
        <v>-4292.57</v>
      </c>
      <c r="V95" s="492"/>
      <c r="W95" s="492">
        <v>0</v>
      </c>
      <c r="X95" s="496">
        <v>69</v>
      </c>
      <c r="Y95" s="497">
        <v>1</v>
      </c>
      <c r="Z95" s="498">
        <v>199</v>
      </c>
      <c r="AA95" s="561"/>
      <c r="AB95" s="503"/>
      <c r="AC95" s="330">
        <f>AB95/VPI!R95</f>
        <v>0</v>
      </c>
      <c r="AD95" s="332">
        <f t="shared" si="6"/>
        <v>0</v>
      </c>
      <c r="AE95" s="330">
        <f>AD95/VPI!R95</f>
        <v>0</v>
      </c>
      <c r="AF95" s="503"/>
      <c r="AG95" s="503"/>
      <c r="AH95" s="503"/>
      <c r="AI95" s="562"/>
      <c r="AJ95" s="498"/>
      <c r="AK95" s="330">
        <f>AJ95/VPI!R95</f>
        <v>0</v>
      </c>
      <c r="AL95" s="332">
        <f t="shared" si="7"/>
        <v>0</v>
      </c>
      <c r="AM95" s="330">
        <f>AL95/VPI!R95</f>
        <v>0</v>
      </c>
      <c r="AN95" s="498"/>
      <c r="AO95" s="562"/>
      <c r="AP95" s="511">
        <v>5.678282704025146</v>
      </c>
      <c r="AR95" s="564">
        <v>0</v>
      </c>
    </row>
    <row r="96" spans="1:44" x14ac:dyDescent="0.25">
      <c r="A96" s="559">
        <v>5559</v>
      </c>
      <c r="B96" s="560" t="s">
        <v>39</v>
      </c>
      <c r="C96" s="488">
        <v>908415.69</v>
      </c>
      <c r="D96" s="488">
        <v>258527.39</v>
      </c>
      <c r="E96" s="488"/>
      <c r="F96" s="489"/>
      <c r="G96" s="488">
        <v>28716.55</v>
      </c>
      <c r="H96" s="488">
        <v>6902.9</v>
      </c>
      <c r="I96" s="488"/>
      <c r="J96" s="488">
        <v>6415.18</v>
      </c>
      <c r="K96" s="488">
        <v>-3022</v>
      </c>
      <c r="L96" s="488">
        <v>97936.35</v>
      </c>
      <c r="M96" s="367">
        <f t="shared" si="4"/>
        <v>1303892.06</v>
      </c>
      <c r="N96" s="492">
        <v>7568.85</v>
      </c>
      <c r="O96" s="492">
        <v>78554.8</v>
      </c>
      <c r="P96" s="492">
        <v>29734.1</v>
      </c>
      <c r="Q96" s="492">
        <v>272.25</v>
      </c>
      <c r="R96" s="492">
        <v>25764.3</v>
      </c>
      <c r="S96" s="488">
        <v>3358.34</v>
      </c>
      <c r="T96" s="367">
        <f t="shared" si="5"/>
        <v>1449144.7000000004</v>
      </c>
      <c r="U96" s="490">
        <v>-2238.5</v>
      </c>
      <c r="V96" s="492"/>
      <c r="W96" s="492">
        <v>-1068.0999999999999</v>
      </c>
      <c r="X96" s="496">
        <v>66</v>
      </c>
      <c r="Y96" s="497">
        <v>1</v>
      </c>
      <c r="Z96" s="498">
        <v>459</v>
      </c>
      <c r="AA96" s="561"/>
      <c r="AB96" s="503"/>
      <c r="AC96" s="330">
        <f>AB96/VPI!R96</f>
        <v>0</v>
      </c>
      <c r="AD96" s="332">
        <f t="shared" si="6"/>
        <v>0</v>
      </c>
      <c r="AE96" s="330">
        <f>AD96/VPI!R96</f>
        <v>0</v>
      </c>
      <c r="AF96" s="503"/>
      <c r="AG96" s="503"/>
      <c r="AH96" s="503"/>
      <c r="AI96" s="562"/>
      <c r="AJ96" s="498"/>
      <c r="AK96" s="330">
        <f>AJ96/VPI!R96</f>
        <v>0</v>
      </c>
      <c r="AL96" s="332">
        <f t="shared" si="7"/>
        <v>0</v>
      </c>
      <c r="AM96" s="330">
        <f>AL96/VPI!R96</f>
        <v>0</v>
      </c>
      <c r="AN96" s="498"/>
      <c r="AO96" s="562"/>
      <c r="AP96" s="511">
        <v>27.34908404387318</v>
      </c>
      <c r="AR96" s="564">
        <v>0</v>
      </c>
    </row>
    <row r="97" spans="1:44" x14ac:dyDescent="0.25">
      <c r="A97" s="559">
        <v>5560</v>
      </c>
      <c r="B97" s="560" t="s">
        <v>40</v>
      </c>
      <c r="C97" s="488">
        <v>478079.28</v>
      </c>
      <c r="D97" s="488">
        <v>49402.55</v>
      </c>
      <c r="E97" s="488"/>
      <c r="F97" s="489"/>
      <c r="G97" s="488">
        <v>1692.1</v>
      </c>
      <c r="H97" s="488">
        <v>478.1</v>
      </c>
      <c r="I97" s="488"/>
      <c r="J97" s="488">
        <v>-2510.0700000000002</v>
      </c>
      <c r="K97" s="488"/>
      <c r="L97" s="488">
        <v>45699.35</v>
      </c>
      <c r="M97" s="367">
        <f t="shared" si="4"/>
        <v>572841.31000000006</v>
      </c>
      <c r="N97" s="492">
        <v>0</v>
      </c>
      <c r="O97" s="492">
        <v>12935.1</v>
      </c>
      <c r="P97" s="492">
        <v>18150</v>
      </c>
      <c r="Q97" s="492">
        <v>13.33</v>
      </c>
      <c r="R97" s="492">
        <v>26065.65</v>
      </c>
      <c r="S97" s="488">
        <v>204.61</v>
      </c>
      <c r="T97" s="367">
        <f t="shared" si="5"/>
        <v>630210</v>
      </c>
      <c r="U97" s="490">
        <v>-9657.3700000000008</v>
      </c>
      <c r="V97" s="492"/>
      <c r="W97" s="492">
        <v>0</v>
      </c>
      <c r="X97" s="496">
        <v>70</v>
      </c>
      <c r="Y97" s="497">
        <v>1</v>
      </c>
      <c r="Z97" s="498">
        <v>237</v>
      </c>
      <c r="AA97" s="561"/>
      <c r="AB97" s="503"/>
      <c r="AC97" s="330">
        <f>AB97/VPI!R97</f>
        <v>0</v>
      </c>
      <c r="AD97" s="332">
        <f t="shared" si="6"/>
        <v>0</v>
      </c>
      <c r="AE97" s="330">
        <f>AD97/VPI!R97</f>
        <v>0</v>
      </c>
      <c r="AF97" s="503"/>
      <c r="AG97" s="503"/>
      <c r="AH97" s="503"/>
      <c r="AI97" s="562"/>
      <c r="AJ97" s="498"/>
      <c r="AK97" s="330">
        <f>AJ97/VPI!R97</f>
        <v>0</v>
      </c>
      <c r="AL97" s="332">
        <f t="shared" si="7"/>
        <v>0</v>
      </c>
      <c r="AM97" s="330">
        <f>AL97/VPI!R97</f>
        <v>0</v>
      </c>
      <c r="AN97" s="498"/>
      <c r="AO97" s="562"/>
      <c r="AP97" s="511">
        <v>21.797164720138724</v>
      </c>
      <c r="AR97" s="564">
        <v>0</v>
      </c>
    </row>
    <row r="98" spans="1:44" x14ac:dyDescent="0.25">
      <c r="A98" s="559">
        <v>5561</v>
      </c>
      <c r="B98" s="560" t="s">
        <v>41</v>
      </c>
      <c r="C98" s="488">
        <v>7822554.3899999997</v>
      </c>
      <c r="D98" s="488">
        <v>3443666.77</v>
      </c>
      <c r="E98" s="488"/>
      <c r="F98" s="489"/>
      <c r="G98" s="488">
        <v>360260.4</v>
      </c>
      <c r="H98" s="488">
        <v>20153.2</v>
      </c>
      <c r="I98" s="488"/>
      <c r="J98" s="488">
        <v>102156.73</v>
      </c>
      <c r="K98" s="488">
        <v>31478.35</v>
      </c>
      <c r="L98" s="488">
        <v>676517.45</v>
      </c>
      <c r="M98" s="367">
        <f t="shared" si="4"/>
        <v>12456787.289999999</v>
      </c>
      <c r="N98" s="492">
        <v>374458.05</v>
      </c>
      <c r="O98" s="492">
        <v>211946.7</v>
      </c>
      <c r="P98" s="492">
        <v>365977.7</v>
      </c>
      <c r="Q98" s="492">
        <v>21206.959999999999</v>
      </c>
      <c r="R98" s="492">
        <v>214030.95</v>
      </c>
      <c r="S98" s="488">
        <v>35866.85</v>
      </c>
      <c r="T98" s="367">
        <f t="shared" si="5"/>
        <v>13680274.499999998</v>
      </c>
      <c r="U98" s="490">
        <v>-108409.74</v>
      </c>
      <c r="V98" s="492"/>
      <c r="W98" s="492">
        <v>-30613.200000000001</v>
      </c>
      <c r="X98" s="496">
        <v>69</v>
      </c>
      <c r="Y98" s="497">
        <v>1</v>
      </c>
      <c r="Z98" s="498">
        <v>3386</v>
      </c>
      <c r="AA98" s="561"/>
      <c r="AB98" s="503"/>
      <c r="AC98" s="330">
        <f>AB98/VPI!R98</f>
        <v>0</v>
      </c>
      <c r="AD98" s="332">
        <f t="shared" si="6"/>
        <v>0</v>
      </c>
      <c r="AE98" s="330">
        <f>AD98/VPI!R98</f>
        <v>0</v>
      </c>
      <c r="AF98" s="503"/>
      <c r="AG98" s="503"/>
      <c r="AH98" s="503"/>
      <c r="AI98" s="562"/>
      <c r="AJ98" s="498"/>
      <c r="AK98" s="330">
        <f>AJ98/VPI!R98</f>
        <v>0</v>
      </c>
      <c r="AL98" s="332">
        <f t="shared" si="7"/>
        <v>0</v>
      </c>
      <c r="AM98" s="330">
        <f>AL98/VPI!R98</f>
        <v>0</v>
      </c>
      <c r="AN98" s="498"/>
      <c r="AO98" s="562"/>
      <c r="AP98" s="511">
        <v>18.579130948141472</v>
      </c>
      <c r="AR98" s="564">
        <v>0</v>
      </c>
    </row>
    <row r="99" spans="1:44" x14ac:dyDescent="0.25">
      <c r="A99" s="559">
        <v>5562</v>
      </c>
      <c r="B99" s="560" t="s">
        <v>42</v>
      </c>
      <c r="C99" s="488">
        <v>172301.77</v>
      </c>
      <c r="D99" s="488">
        <v>123313.39</v>
      </c>
      <c r="E99" s="488"/>
      <c r="F99" s="489">
        <v>880</v>
      </c>
      <c r="G99" s="488">
        <v>10444.299999999999</v>
      </c>
      <c r="H99" s="488">
        <v>326.25</v>
      </c>
      <c r="I99" s="488"/>
      <c r="J99" s="488">
        <v>3256.09</v>
      </c>
      <c r="K99" s="488">
        <v>1837</v>
      </c>
      <c r="L99" s="488">
        <v>39064.449999999997</v>
      </c>
      <c r="M99" s="367">
        <f t="shared" si="4"/>
        <v>351423.25</v>
      </c>
      <c r="N99" s="492">
        <v>702.35</v>
      </c>
      <c r="O99" s="492">
        <v>14295</v>
      </c>
      <c r="P99" s="492">
        <v>23320</v>
      </c>
      <c r="Q99" s="492">
        <v>2221.9299999999998</v>
      </c>
      <c r="R99" s="492">
        <v>42154.05</v>
      </c>
      <c r="S99" s="488">
        <v>1015.49</v>
      </c>
      <c r="T99" s="367">
        <f t="shared" si="5"/>
        <v>435132.06999999995</v>
      </c>
      <c r="U99" s="490">
        <v>-1531.71</v>
      </c>
      <c r="V99" s="492"/>
      <c r="W99" s="492">
        <v>0</v>
      </c>
      <c r="X99" s="496">
        <v>70</v>
      </c>
      <c r="Y99" s="497">
        <v>1.2</v>
      </c>
      <c r="Z99" s="498">
        <v>134</v>
      </c>
      <c r="AA99" s="561"/>
      <c r="AB99" s="503"/>
      <c r="AC99" s="330">
        <f>AB99/VPI!R99</f>
        <v>0</v>
      </c>
      <c r="AD99" s="332">
        <f t="shared" si="6"/>
        <v>0</v>
      </c>
      <c r="AE99" s="330">
        <f>AD99/VPI!R99</f>
        <v>0</v>
      </c>
      <c r="AF99" s="503"/>
      <c r="AG99" s="503"/>
      <c r="AH99" s="503"/>
      <c r="AI99" s="562"/>
      <c r="AJ99" s="498"/>
      <c r="AK99" s="330">
        <f>AJ99/VPI!R99</f>
        <v>0</v>
      </c>
      <c r="AL99" s="332">
        <f t="shared" si="7"/>
        <v>0</v>
      </c>
      <c r="AM99" s="330">
        <f>AL99/VPI!R99</f>
        <v>0</v>
      </c>
      <c r="AN99" s="498"/>
      <c r="AO99" s="562"/>
      <c r="AP99" s="511">
        <v>17.72689841641424</v>
      </c>
      <c r="AR99" s="564">
        <v>0</v>
      </c>
    </row>
    <row r="100" spans="1:44" x14ac:dyDescent="0.25">
      <c r="A100" s="559">
        <v>5563</v>
      </c>
      <c r="B100" s="560" t="s">
        <v>244</v>
      </c>
      <c r="C100" s="488">
        <v>181985.3</v>
      </c>
      <c r="D100" s="488">
        <v>19639.46</v>
      </c>
      <c r="E100" s="488"/>
      <c r="F100" s="489">
        <v>528</v>
      </c>
      <c r="G100" s="488">
        <v>1758.7</v>
      </c>
      <c r="H100" s="488">
        <v>57.6</v>
      </c>
      <c r="I100" s="488"/>
      <c r="J100" s="488">
        <v>6530.68</v>
      </c>
      <c r="K100" s="488"/>
      <c r="L100" s="488">
        <v>23378.25</v>
      </c>
      <c r="M100" s="367">
        <f t="shared" si="4"/>
        <v>233877.99</v>
      </c>
      <c r="N100" s="492">
        <v>0</v>
      </c>
      <c r="O100" s="492">
        <v>2841.9</v>
      </c>
      <c r="P100" s="492">
        <v>19956.400000000001</v>
      </c>
      <c r="Q100" s="492"/>
      <c r="R100" s="492"/>
      <c r="S100" s="488">
        <v>171.25</v>
      </c>
      <c r="T100" s="367">
        <f t="shared" si="5"/>
        <v>256847.53999999998</v>
      </c>
      <c r="U100" s="490">
        <v>-1110.71</v>
      </c>
      <c r="V100" s="492"/>
      <c r="W100" s="492">
        <v>-39.35</v>
      </c>
      <c r="X100" s="496">
        <v>80</v>
      </c>
      <c r="Y100" s="497">
        <v>1</v>
      </c>
      <c r="Z100" s="498">
        <v>145</v>
      </c>
      <c r="AA100" s="561"/>
      <c r="AB100" s="503"/>
      <c r="AC100" s="330">
        <f>AB100/VPI!R100</f>
        <v>0</v>
      </c>
      <c r="AD100" s="332">
        <f t="shared" si="6"/>
        <v>0</v>
      </c>
      <c r="AE100" s="330">
        <f>AD100/VPI!R100</f>
        <v>0</v>
      </c>
      <c r="AF100" s="503"/>
      <c r="AG100" s="503"/>
      <c r="AH100" s="503"/>
      <c r="AI100" s="562"/>
      <c r="AJ100" s="498"/>
      <c r="AK100" s="330">
        <f>AJ100/VPI!R100</f>
        <v>0</v>
      </c>
      <c r="AL100" s="332">
        <f t="shared" si="7"/>
        <v>0</v>
      </c>
      <c r="AM100" s="330">
        <f>AL100/VPI!R100</f>
        <v>0</v>
      </c>
      <c r="AN100" s="498"/>
      <c r="AO100" s="562"/>
      <c r="AP100" s="511">
        <v>-21.517164151226787</v>
      </c>
      <c r="AR100" s="564">
        <v>0</v>
      </c>
    </row>
    <row r="101" spans="1:44" x14ac:dyDescent="0.25">
      <c r="A101" s="559">
        <v>5564</v>
      </c>
      <c r="B101" s="560" t="s">
        <v>245</v>
      </c>
      <c r="C101" s="488">
        <v>141680.17000000001</v>
      </c>
      <c r="D101" s="488">
        <v>17811.099999999999</v>
      </c>
      <c r="E101" s="488"/>
      <c r="F101" s="489"/>
      <c r="G101" s="488">
        <v>34.85</v>
      </c>
      <c r="H101" s="488">
        <v>23.75</v>
      </c>
      <c r="I101" s="488"/>
      <c r="J101" s="488"/>
      <c r="K101" s="488"/>
      <c r="L101" s="488">
        <v>11636.85</v>
      </c>
      <c r="M101" s="367">
        <f t="shared" si="4"/>
        <v>171186.72000000003</v>
      </c>
      <c r="N101" s="492">
        <v>0</v>
      </c>
      <c r="O101" s="492"/>
      <c r="P101" s="492">
        <v>4840</v>
      </c>
      <c r="Q101" s="492"/>
      <c r="R101" s="492">
        <v>5401.7</v>
      </c>
      <c r="S101" s="488">
        <v>5.53</v>
      </c>
      <c r="T101" s="367">
        <f t="shared" si="5"/>
        <v>181433.95000000004</v>
      </c>
      <c r="U101" s="490">
        <v>-959.19</v>
      </c>
      <c r="V101" s="492"/>
      <c r="W101" s="492">
        <v>0</v>
      </c>
      <c r="X101" s="496">
        <v>76</v>
      </c>
      <c r="Y101" s="497">
        <v>0.8</v>
      </c>
      <c r="Z101" s="498">
        <v>102</v>
      </c>
      <c r="AA101" s="561"/>
      <c r="AB101" s="503"/>
      <c r="AC101" s="330">
        <f>AB101/VPI!R101</f>
        <v>0</v>
      </c>
      <c r="AD101" s="332">
        <f t="shared" si="6"/>
        <v>0</v>
      </c>
      <c r="AE101" s="330">
        <f>AD101/VPI!R101</f>
        <v>0</v>
      </c>
      <c r="AF101" s="503"/>
      <c r="AG101" s="503"/>
      <c r="AH101" s="503"/>
      <c r="AI101" s="562"/>
      <c r="AJ101" s="498"/>
      <c r="AK101" s="330">
        <f>AJ101/VPI!R101</f>
        <v>0</v>
      </c>
      <c r="AL101" s="332">
        <f t="shared" si="7"/>
        <v>0</v>
      </c>
      <c r="AM101" s="330">
        <f>AL101/VPI!R101</f>
        <v>0</v>
      </c>
      <c r="AN101" s="498"/>
      <c r="AO101" s="562"/>
      <c r="AP101" s="511">
        <v>5.3887721471215375</v>
      </c>
      <c r="AR101" s="564">
        <v>0</v>
      </c>
    </row>
    <row r="102" spans="1:44" x14ac:dyDescent="0.25">
      <c r="A102" s="559">
        <v>5565</v>
      </c>
      <c r="B102" s="560" t="s">
        <v>246</v>
      </c>
      <c r="C102" s="488">
        <v>785770.3</v>
      </c>
      <c r="D102" s="488">
        <v>106626.97</v>
      </c>
      <c r="E102" s="488"/>
      <c r="F102" s="489"/>
      <c r="G102" s="488">
        <v>138579.79999999999</v>
      </c>
      <c r="H102" s="488">
        <v>144113.4</v>
      </c>
      <c r="I102" s="488"/>
      <c r="J102" s="488">
        <v>8085.24</v>
      </c>
      <c r="K102" s="488">
        <v>24297.35</v>
      </c>
      <c r="L102" s="488">
        <v>133104.95000000001</v>
      </c>
      <c r="M102" s="367">
        <f t="shared" si="4"/>
        <v>1340578.01</v>
      </c>
      <c r="N102" s="492">
        <v>179567.65</v>
      </c>
      <c r="O102" s="492"/>
      <c r="P102" s="492">
        <v>42297.599999999999</v>
      </c>
      <c r="Q102" s="492">
        <v>6031.64</v>
      </c>
      <c r="R102" s="492">
        <v>1609.35</v>
      </c>
      <c r="S102" s="488">
        <v>26653.4</v>
      </c>
      <c r="T102" s="367">
        <f t="shared" si="5"/>
        <v>1596737.65</v>
      </c>
      <c r="U102" s="490">
        <v>-8525.65</v>
      </c>
      <c r="V102" s="492"/>
      <c r="W102" s="492">
        <v>0</v>
      </c>
      <c r="X102" s="496">
        <v>63.5</v>
      </c>
      <c r="Y102" s="497">
        <v>1</v>
      </c>
      <c r="Z102" s="498">
        <v>498</v>
      </c>
      <c r="AA102" s="561"/>
      <c r="AB102" s="503"/>
      <c r="AC102" s="330">
        <f>AB102/VPI!R102</f>
        <v>0</v>
      </c>
      <c r="AD102" s="332">
        <f t="shared" si="6"/>
        <v>0</v>
      </c>
      <c r="AE102" s="330">
        <f>AD102/VPI!R102</f>
        <v>0</v>
      </c>
      <c r="AF102" s="503"/>
      <c r="AG102" s="503"/>
      <c r="AH102" s="503"/>
      <c r="AI102" s="562"/>
      <c r="AJ102" s="498"/>
      <c r="AK102" s="330">
        <f>AJ102/VPI!R102</f>
        <v>0</v>
      </c>
      <c r="AL102" s="332">
        <f t="shared" si="7"/>
        <v>0</v>
      </c>
      <c r="AM102" s="330">
        <f>AL102/VPI!R102</f>
        <v>0</v>
      </c>
      <c r="AN102" s="498"/>
      <c r="AO102" s="562"/>
      <c r="AP102" s="511">
        <v>8.170122786920075</v>
      </c>
      <c r="AR102" s="564">
        <v>0</v>
      </c>
    </row>
    <row r="103" spans="1:44" x14ac:dyDescent="0.25">
      <c r="A103" s="559">
        <v>5566</v>
      </c>
      <c r="B103" s="560" t="s">
        <v>247</v>
      </c>
      <c r="C103" s="488">
        <v>629908.12</v>
      </c>
      <c r="D103" s="488">
        <v>60204.59</v>
      </c>
      <c r="E103" s="488"/>
      <c r="F103" s="489">
        <v>2710</v>
      </c>
      <c r="G103" s="488">
        <v>8595.9500000000007</v>
      </c>
      <c r="H103" s="488">
        <v>3395.65</v>
      </c>
      <c r="I103" s="488"/>
      <c r="J103" s="488">
        <v>16478.22</v>
      </c>
      <c r="K103" s="488">
        <v>2971.7</v>
      </c>
      <c r="L103" s="488">
        <v>87990.6</v>
      </c>
      <c r="M103" s="367">
        <f t="shared" si="4"/>
        <v>812254.82999999984</v>
      </c>
      <c r="N103" s="492">
        <v>37527.599999999999</v>
      </c>
      <c r="O103" s="492">
        <v>21129.200000000001</v>
      </c>
      <c r="P103" s="492">
        <v>29170.799999999999</v>
      </c>
      <c r="Q103" s="492">
        <v>1084.58</v>
      </c>
      <c r="R103" s="492">
        <v>48741</v>
      </c>
      <c r="S103" s="488">
        <v>1130.6099999999999</v>
      </c>
      <c r="T103" s="367">
        <f t="shared" si="5"/>
        <v>951038.61999999976</v>
      </c>
      <c r="U103" s="490">
        <v>-1957.21</v>
      </c>
      <c r="V103" s="492"/>
      <c r="W103" s="492">
        <v>0</v>
      </c>
      <c r="X103" s="496">
        <v>81</v>
      </c>
      <c r="Y103" s="497">
        <v>1.5</v>
      </c>
      <c r="Z103" s="498">
        <v>415</v>
      </c>
      <c r="AA103" s="561"/>
      <c r="AB103" s="503"/>
      <c r="AC103" s="330">
        <f>AB103/VPI!R103</f>
        <v>0</v>
      </c>
      <c r="AD103" s="332">
        <f t="shared" si="6"/>
        <v>0</v>
      </c>
      <c r="AE103" s="330">
        <f>AD103/VPI!R103</f>
        <v>0</v>
      </c>
      <c r="AF103" s="503"/>
      <c r="AG103" s="503"/>
      <c r="AH103" s="503"/>
      <c r="AI103" s="562"/>
      <c r="AJ103" s="498"/>
      <c r="AK103" s="330">
        <f>AJ103/VPI!R103</f>
        <v>0</v>
      </c>
      <c r="AL103" s="332">
        <f t="shared" si="7"/>
        <v>0</v>
      </c>
      <c r="AM103" s="330">
        <f>AL103/VPI!R103</f>
        <v>0</v>
      </c>
      <c r="AN103" s="498"/>
      <c r="AO103" s="562"/>
      <c r="AP103" s="511">
        <v>-9.1553073964454228</v>
      </c>
      <c r="AR103" s="564">
        <v>0</v>
      </c>
    </row>
    <row r="104" spans="1:44" x14ac:dyDescent="0.25">
      <c r="A104" s="559">
        <v>5568</v>
      </c>
      <c r="B104" s="560" t="s">
        <v>107</v>
      </c>
      <c r="C104" s="488">
        <v>5722806.9100000001</v>
      </c>
      <c r="D104" s="488">
        <v>936462.63</v>
      </c>
      <c r="E104" s="488"/>
      <c r="F104" s="489"/>
      <c r="G104" s="488">
        <v>194752.3</v>
      </c>
      <c r="H104" s="488">
        <v>84464.85</v>
      </c>
      <c r="I104" s="488">
        <v>-76631.100000000006</v>
      </c>
      <c r="J104" s="488">
        <v>130143.15</v>
      </c>
      <c r="K104" s="488">
        <v>58462.05</v>
      </c>
      <c r="L104" s="488">
        <v>681790.85</v>
      </c>
      <c r="M104" s="367">
        <f t="shared" si="4"/>
        <v>7732251.6399999997</v>
      </c>
      <c r="N104" s="492">
        <v>2503659.4500000002</v>
      </c>
      <c r="O104" s="492">
        <v>68948.5</v>
      </c>
      <c r="P104" s="492">
        <v>334631.55</v>
      </c>
      <c r="Q104" s="492">
        <v>37357.18</v>
      </c>
      <c r="R104" s="492">
        <v>155452.04999999999</v>
      </c>
      <c r="S104" s="488">
        <v>26325.66</v>
      </c>
      <c r="T104" s="367">
        <f t="shared" si="5"/>
        <v>10858626.030000001</v>
      </c>
      <c r="U104" s="490">
        <v>-187398.59</v>
      </c>
      <c r="V104" s="492"/>
      <c r="W104" s="492">
        <v>-981.35</v>
      </c>
      <c r="X104" s="496">
        <v>70</v>
      </c>
      <c r="Y104" s="497">
        <v>1</v>
      </c>
      <c r="Z104" s="498">
        <v>5051</v>
      </c>
      <c r="AA104" s="561"/>
      <c r="AB104" s="503"/>
      <c r="AC104" s="330">
        <f>AB104/VPI!R104</f>
        <v>0</v>
      </c>
      <c r="AD104" s="332">
        <f t="shared" si="6"/>
        <v>0</v>
      </c>
      <c r="AE104" s="330">
        <f>AD104/VPI!R104</f>
        <v>0</v>
      </c>
      <c r="AF104" s="503"/>
      <c r="AG104" s="503"/>
      <c r="AH104" s="503"/>
      <c r="AI104" s="562"/>
      <c r="AJ104" s="498"/>
      <c r="AK104" s="330">
        <f>AJ104/VPI!R104</f>
        <v>0</v>
      </c>
      <c r="AL104" s="332">
        <f t="shared" si="7"/>
        <v>0</v>
      </c>
      <c r="AM104" s="330">
        <f>AL104/VPI!R104</f>
        <v>0</v>
      </c>
      <c r="AN104" s="498"/>
      <c r="AO104" s="562"/>
      <c r="AP104" s="511">
        <v>-10.373470593013675</v>
      </c>
      <c r="AR104" s="564">
        <v>0</v>
      </c>
    </row>
    <row r="105" spans="1:44" x14ac:dyDescent="0.25">
      <c r="A105" s="559">
        <v>5571</v>
      </c>
      <c r="B105" s="560" t="s">
        <v>342</v>
      </c>
      <c r="C105" s="488">
        <v>1492410.08</v>
      </c>
      <c r="D105" s="488">
        <v>190172.32</v>
      </c>
      <c r="E105" s="488"/>
      <c r="F105" s="489"/>
      <c r="G105" s="488">
        <v>805.45</v>
      </c>
      <c r="H105" s="488">
        <v>246.5</v>
      </c>
      <c r="I105" s="488"/>
      <c r="J105" s="488">
        <v>3925.56</v>
      </c>
      <c r="K105" s="488">
        <v>9101.2000000000007</v>
      </c>
      <c r="L105" s="488">
        <v>206232.1</v>
      </c>
      <c r="M105" s="367">
        <f t="shared" si="4"/>
        <v>1902893.2100000002</v>
      </c>
      <c r="N105" s="492">
        <v>39846.949999999997</v>
      </c>
      <c r="O105" s="492">
        <v>131749.29999999999</v>
      </c>
      <c r="P105" s="492">
        <v>79423.850000000006</v>
      </c>
      <c r="Q105" s="492">
        <v>566.16999999999996</v>
      </c>
      <c r="R105" s="492">
        <v>72185.850000000006</v>
      </c>
      <c r="S105" s="488">
        <v>99.18</v>
      </c>
      <c r="T105" s="367">
        <f t="shared" si="5"/>
        <v>2226764.5100000002</v>
      </c>
      <c r="U105" s="490">
        <v>-13682.47</v>
      </c>
      <c r="V105" s="492"/>
      <c r="W105" s="492">
        <v>-24.05</v>
      </c>
      <c r="X105" s="496">
        <v>71.5</v>
      </c>
      <c r="Y105" s="497">
        <v>1.2</v>
      </c>
      <c r="Z105" s="498">
        <v>865</v>
      </c>
      <c r="AA105" s="561"/>
      <c r="AB105" s="503"/>
      <c r="AC105" s="330">
        <f>AB105/VPI!R105</f>
        <v>0</v>
      </c>
      <c r="AD105" s="332">
        <f t="shared" si="6"/>
        <v>0</v>
      </c>
      <c r="AE105" s="330">
        <f>AD105/VPI!R105</f>
        <v>0</v>
      </c>
      <c r="AF105" s="503"/>
      <c r="AG105" s="503"/>
      <c r="AH105" s="503"/>
      <c r="AI105" s="562"/>
      <c r="AJ105" s="498"/>
      <c r="AK105" s="330">
        <f>AJ105/VPI!R105</f>
        <v>0</v>
      </c>
      <c r="AL105" s="332">
        <f t="shared" si="7"/>
        <v>0</v>
      </c>
      <c r="AM105" s="330">
        <f>AL105/VPI!R105</f>
        <v>0</v>
      </c>
      <c r="AN105" s="498"/>
      <c r="AO105" s="562"/>
      <c r="AP105" s="511">
        <v>13.746841835059898</v>
      </c>
      <c r="AR105" s="564">
        <v>0</v>
      </c>
    </row>
    <row r="106" spans="1:44" x14ac:dyDescent="0.25">
      <c r="A106" s="559">
        <v>5581</v>
      </c>
      <c r="B106" s="560" t="s">
        <v>316</v>
      </c>
      <c r="C106" s="488">
        <v>12133609.210000001</v>
      </c>
      <c r="D106" s="488">
        <v>1949879.57</v>
      </c>
      <c r="E106" s="488"/>
      <c r="F106" s="489"/>
      <c r="G106" s="488">
        <v>393702.5</v>
      </c>
      <c r="H106" s="488">
        <v>17428.3</v>
      </c>
      <c r="I106" s="488">
        <v>844.17</v>
      </c>
      <c r="J106" s="488">
        <v>89351.05</v>
      </c>
      <c r="K106" s="488">
        <v>43911.3</v>
      </c>
      <c r="L106" s="488">
        <v>1511768.05</v>
      </c>
      <c r="M106" s="367">
        <f t="shared" si="4"/>
        <v>16140494.150000004</v>
      </c>
      <c r="N106" s="492">
        <v>9643.15</v>
      </c>
      <c r="O106" s="492">
        <v>164698.9</v>
      </c>
      <c r="P106" s="492">
        <v>647280.15</v>
      </c>
      <c r="Q106" s="492">
        <v>1148.98</v>
      </c>
      <c r="R106" s="492">
        <v>452687.25</v>
      </c>
      <c r="S106" s="488">
        <v>38762.99</v>
      </c>
      <c r="T106" s="367">
        <f t="shared" si="5"/>
        <v>17454715.570000004</v>
      </c>
      <c r="U106" s="490">
        <v>-54414.71</v>
      </c>
      <c r="V106" s="492"/>
      <c r="W106" s="492">
        <v>-13468.27</v>
      </c>
      <c r="X106" s="496">
        <v>72</v>
      </c>
      <c r="Y106" s="497">
        <v>1.5</v>
      </c>
      <c r="Z106" s="498">
        <v>3896</v>
      </c>
      <c r="AA106" s="561"/>
      <c r="AB106" s="503"/>
      <c r="AC106" s="330">
        <f>AB106/VPI!R106</f>
        <v>0</v>
      </c>
      <c r="AD106" s="332">
        <f t="shared" si="6"/>
        <v>0</v>
      </c>
      <c r="AE106" s="330">
        <f>AD106/VPI!R106</f>
        <v>0</v>
      </c>
      <c r="AF106" s="503"/>
      <c r="AG106" s="503"/>
      <c r="AH106" s="503"/>
      <c r="AI106" s="562"/>
      <c r="AJ106" s="498"/>
      <c r="AK106" s="330">
        <f>AJ106/VPI!R106</f>
        <v>0</v>
      </c>
      <c r="AL106" s="332">
        <f t="shared" si="7"/>
        <v>0</v>
      </c>
      <c r="AM106" s="330">
        <f>AL106/VPI!R106</f>
        <v>0</v>
      </c>
      <c r="AN106" s="508"/>
      <c r="AO106" s="562"/>
      <c r="AP106" s="511">
        <v>28.559170342675312</v>
      </c>
      <c r="AR106" s="564">
        <v>1</v>
      </c>
    </row>
    <row r="107" spans="1:44" x14ac:dyDescent="0.25">
      <c r="A107" s="559">
        <v>5582</v>
      </c>
      <c r="B107" s="560" t="s">
        <v>317</v>
      </c>
      <c r="C107" s="488">
        <v>10003720.369999999</v>
      </c>
      <c r="D107" s="488">
        <v>1127170.44</v>
      </c>
      <c r="E107" s="488"/>
      <c r="F107" s="489"/>
      <c r="G107" s="488">
        <v>255476.65</v>
      </c>
      <c r="H107" s="488">
        <v>263270.25</v>
      </c>
      <c r="I107" s="488">
        <v>74875.25</v>
      </c>
      <c r="J107" s="488">
        <v>283581.8</v>
      </c>
      <c r="K107" s="488">
        <v>87239.65</v>
      </c>
      <c r="L107" s="488">
        <v>1007288.35</v>
      </c>
      <c r="M107" s="367">
        <f t="shared" si="4"/>
        <v>13102622.76</v>
      </c>
      <c r="N107" s="492">
        <v>485177</v>
      </c>
      <c r="O107" s="492">
        <v>51950</v>
      </c>
      <c r="P107" s="492">
        <v>394940.15</v>
      </c>
      <c r="Q107" s="492">
        <v>46511.49</v>
      </c>
      <c r="R107" s="492">
        <v>255781.45</v>
      </c>
      <c r="S107" s="488">
        <v>48909.45</v>
      </c>
      <c r="T107" s="367">
        <f t="shared" si="5"/>
        <v>14385892.299999999</v>
      </c>
      <c r="U107" s="490">
        <v>-96355.06</v>
      </c>
      <c r="V107" s="492"/>
      <c r="W107" s="492">
        <v>-1676.85</v>
      </c>
      <c r="X107" s="496">
        <v>73</v>
      </c>
      <c r="Y107" s="497">
        <v>1</v>
      </c>
      <c r="Z107" s="498">
        <v>4842</v>
      </c>
      <c r="AA107" s="561"/>
      <c r="AB107" s="503"/>
      <c r="AC107" s="330">
        <f>AB107/VPI!R107</f>
        <v>0</v>
      </c>
      <c r="AD107" s="332">
        <f t="shared" si="6"/>
        <v>0</v>
      </c>
      <c r="AE107" s="330">
        <f>AD107/VPI!R107</f>
        <v>0</v>
      </c>
      <c r="AF107" s="503"/>
      <c r="AG107" s="503"/>
      <c r="AH107" s="503"/>
      <c r="AI107" s="562"/>
      <c r="AJ107" s="498"/>
      <c r="AK107" s="330">
        <f>AJ107/VPI!R107</f>
        <v>0</v>
      </c>
      <c r="AL107" s="332">
        <f t="shared" si="7"/>
        <v>0</v>
      </c>
      <c r="AM107" s="330">
        <f>AL107/VPI!R107</f>
        <v>0</v>
      </c>
      <c r="AN107" s="498"/>
      <c r="AO107" s="562"/>
      <c r="AP107" s="511">
        <v>15.050137718322691</v>
      </c>
      <c r="AR107" s="564">
        <v>0</v>
      </c>
    </row>
    <row r="108" spans="1:44" x14ac:dyDescent="0.25">
      <c r="A108" s="559">
        <v>5583</v>
      </c>
      <c r="B108" s="560" t="s">
        <v>318</v>
      </c>
      <c r="C108" s="488">
        <v>12929445.279999999</v>
      </c>
      <c r="D108" s="488">
        <v>1588903.63</v>
      </c>
      <c r="E108" s="488"/>
      <c r="F108" s="489"/>
      <c r="G108" s="488">
        <v>3878956</v>
      </c>
      <c r="H108" s="488">
        <v>373182.15</v>
      </c>
      <c r="I108" s="488"/>
      <c r="J108" s="488">
        <v>988484.17</v>
      </c>
      <c r="K108" s="488">
        <v>362541.35</v>
      </c>
      <c r="L108" s="488">
        <v>3288126.1</v>
      </c>
      <c r="M108" s="367">
        <f t="shared" si="4"/>
        <v>23409638.680000003</v>
      </c>
      <c r="N108" s="492">
        <v>3168631.6</v>
      </c>
      <c r="O108" s="492">
        <v>32399.599999999999</v>
      </c>
      <c r="P108" s="492">
        <v>1734680.7</v>
      </c>
      <c r="Q108" s="492">
        <v>79838.33</v>
      </c>
      <c r="R108" s="492">
        <v>423529.05</v>
      </c>
      <c r="S108" s="488">
        <v>400907.9</v>
      </c>
      <c r="T108" s="367">
        <f t="shared" si="5"/>
        <v>29249625.860000003</v>
      </c>
      <c r="U108" s="490">
        <v>-274418.74</v>
      </c>
      <c r="V108" s="492"/>
      <c r="W108" s="492">
        <v>-6411.42</v>
      </c>
      <c r="X108" s="496">
        <v>63.5</v>
      </c>
      <c r="Y108" s="497">
        <v>1</v>
      </c>
      <c r="Z108" s="498">
        <v>9327</v>
      </c>
      <c r="AA108" s="561"/>
      <c r="AB108" s="503"/>
      <c r="AC108" s="330">
        <f>AB108/VPI!R108</f>
        <v>0</v>
      </c>
      <c r="AD108" s="332">
        <f t="shared" si="6"/>
        <v>0</v>
      </c>
      <c r="AE108" s="330">
        <f>AD108/VPI!R108</f>
        <v>0</v>
      </c>
      <c r="AF108" s="503"/>
      <c r="AG108" s="503"/>
      <c r="AH108" s="503"/>
      <c r="AI108" s="562"/>
      <c r="AJ108" s="498"/>
      <c r="AK108" s="330">
        <f>AJ108/VPI!R108</f>
        <v>0</v>
      </c>
      <c r="AL108" s="332">
        <f t="shared" si="7"/>
        <v>0</v>
      </c>
      <c r="AM108" s="330">
        <f>AL108/VPI!R108</f>
        <v>0</v>
      </c>
      <c r="AN108" s="498"/>
      <c r="AO108" s="562"/>
      <c r="AP108" s="511">
        <v>12.652542986177469</v>
      </c>
      <c r="AR108" s="564">
        <v>1</v>
      </c>
    </row>
    <row r="109" spans="1:44" x14ac:dyDescent="0.25">
      <c r="A109" s="559">
        <v>5584</v>
      </c>
      <c r="B109" s="560" t="s">
        <v>319</v>
      </c>
      <c r="C109" s="488">
        <v>23308513.989999998</v>
      </c>
      <c r="D109" s="488">
        <v>4638194.1399999997</v>
      </c>
      <c r="E109" s="488"/>
      <c r="F109" s="489"/>
      <c r="G109" s="488">
        <v>1168378.3</v>
      </c>
      <c r="H109" s="488">
        <v>233420.7</v>
      </c>
      <c r="I109" s="488">
        <v>475572.67</v>
      </c>
      <c r="J109" s="488">
        <v>445564.76</v>
      </c>
      <c r="K109" s="488">
        <v>343799.25</v>
      </c>
      <c r="L109" s="488">
        <v>2608250.75</v>
      </c>
      <c r="M109" s="367">
        <f t="shared" si="4"/>
        <v>33221694.560000002</v>
      </c>
      <c r="N109" s="492">
        <v>364987.25</v>
      </c>
      <c r="O109" s="492">
        <v>967545.9</v>
      </c>
      <c r="P109" s="492">
        <v>1284814.6499999999</v>
      </c>
      <c r="Q109" s="492">
        <v>155599.62</v>
      </c>
      <c r="R109" s="492">
        <v>1065674.3999999999</v>
      </c>
      <c r="S109" s="488">
        <v>132166.99</v>
      </c>
      <c r="T109" s="367">
        <f t="shared" si="5"/>
        <v>37192483.369999997</v>
      </c>
      <c r="U109" s="490">
        <v>-113106.02</v>
      </c>
      <c r="V109" s="492"/>
      <c r="W109" s="492">
        <v>-65853.75</v>
      </c>
      <c r="X109" s="496">
        <v>64.5</v>
      </c>
      <c r="Y109" s="497">
        <v>1</v>
      </c>
      <c r="Z109" s="498">
        <v>9910</v>
      </c>
      <c r="AA109" s="561"/>
      <c r="AB109" s="503"/>
      <c r="AC109" s="330">
        <f>AB109/VPI!R109</f>
        <v>0</v>
      </c>
      <c r="AD109" s="332">
        <f t="shared" si="6"/>
        <v>0</v>
      </c>
      <c r="AE109" s="330">
        <f>AD109/VPI!R109</f>
        <v>0</v>
      </c>
      <c r="AF109" s="503"/>
      <c r="AG109" s="503"/>
      <c r="AH109" s="503"/>
      <c r="AI109" s="562"/>
      <c r="AJ109" s="498"/>
      <c r="AK109" s="330">
        <f>AJ109/VPI!R109</f>
        <v>0</v>
      </c>
      <c r="AL109" s="332">
        <f t="shared" si="7"/>
        <v>0</v>
      </c>
      <c r="AM109" s="330">
        <f>AL109/VPI!R109</f>
        <v>0</v>
      </c>
      <c r="AN109" s="498"/>
      <c r="AO109" s="562"/>
      <c r="AP109" s="511">
        <v>20.75046650698302</v>
      </c>
      <c r="AR109" s="564">
        <v>0</v>
      </c>
    </row>
    <row r="110" spans="1:44" x14ac:dyDescent="0.25">
      <c r="A110" s="559">
        <v>5585</v>
      </c>
      <c r="B110" s="560" t="s">
        <v>320</v>
      </c>
      <c r="C110" s="488">
        <v>9643642.6899999995</v>
      </c>
      <c r="D110" s="488">
        <v>4211526.04</v>
      </c>
      <c r="E110" s="488"/>
      <c r="F110" s="489"/>
      <c r="G110" s="488">
        <v>81912.800000000003</v>
      </c>
      <c r="H110" s="488">
        <v>3399.3</v>
      </c>
      <c r="I110" s="488">
        <v>446383.87</v>
      </c>
      <c r="J110" s="488">
        <v>-23392.42</v>
      </c>
      <c r="K110" s="488">
        <v>13177.5</v>
      </c>
      <c r="L110" s="488">
        <v>749165.3</v>
      </c>
      <c r="M110" s="367">
        <f t="shared" si="4"/>
        <v>15125815.080000002</v>
      </c>
      <c r="N110" s="492">
        <v>2231.5500000000002</v>
      </c>
      <c r="O110" s="492">
        <v>9333</v>
      </c>
      <c r="P110" s="492">
        <v>483752.95</v>
      </c>
      <c r="Q110" s="492">
        <v>32.26</v>
      </c>
      <c r="R110" s="492">
        <v>237994.45</v>
      </c>
      <c r="S110" s="488">
        <v>8043.55</v>
      </c>
      <c r="T110" s="367">
        <f t="shared" si="5"/>
        <v>15867202.840000002</v>
      </c>
      <c r="U110" s="490">
        <v>-38656.949999999997</v>
      </c>
      <c r="V110" s="492"/>
      <c r="W110" s="492">
        <v>-96612.98</v>
      </c>
      <c r="X110" s="496">
        <v>59</v>
      </c>
      <c r="Y110" s="497">
        <v>1.25</v>
      </c>
      <c r="Z110" s="498">
        <v>1493</v>
      </c>
      <c r="AA110" s="561"/>
      <c r="AB110" s="503"/>
      <c r="AC110" s="330">
        <f>AB110/VPI!R110</f>
        <v>0</v>
      </c>
      <c r="AD110" s="332">
        <f t="shared" si="6"/>
        <v>0</v>
      </c>
      <c r="AE110" s="330">
        <f>AD110/VPI!R110</f>
        <v>0</v>
      </c>
      <c r="AF110" s="503"/>
      <c r="AG110" s="503"/>
      <c r="AH110" s="503"/>
      <c r="AI110" s="562"/>
      <c r="AJ110" s="498"/>
      <c r="AK110" s="330">
        <f>AJ110/VPI!R110</f>
        <v>0</v>
      </c>
      <c r="AL110" s="332">
        <f t="shared" si="7"/>
        <v>0</v>
      </c>
      <c r="AM110" s="330">
        <f>AL110/VPI!R110</f>
        <v>0</v>
      </c>
      <c r="AN110" s="498"/>
      <c r="AO110" s="562"/>
      <c r="AP110" s="511">
        <v>48</v>
      </c>
      <c r="AR110" s="564">
        <v>0</v>
      </c>
    </row>
    <row r="111" spans="1:44" x14ac:dyDescent="0.25">
      <c r="A111" s="559">
        <v>5586</v>
      </c>
      <c r="B111" s="560" t="s">
        <v>108</v>
      </c>
      <c r="C111" s="514">
        <v>318237396.47000003</v>
      </c>
      <c r="D111" s="488">
        <v>46380779.259999998</v>
      </c>
      <c r="E111" s="488"/>
      <c r="F111" s="489"/>
      <c r="G111" s="488">
        <v>101369627.75</v>
      </c>
      <c r="H111" s="488">
        <v>6947948.6500000004</v>
      </c>
      <c r="I111" s="488">
        <v>5151386.58</v>
      </c>
      <c r="J111" s="488">
        <v>23601773.73</v>
      </c>
      <c r="K111" s="488">
        <v>6920743.0999999996</v>
      </c>
      <c r="L111" s="488">
        <v>45900984.799999997</v>
      </c>
      <c r="M111" s="367">
        <f t="shared" si="4"/>
        <v>554510640.34000003</v>
      </c>
      <c r="N111" s="492">
        <v>15234706.550000001</v>
      </c>
      <c r="O111" s="492">
        <v>13739099.199999999</v>
      </c>
      <c r="P111" s="492">
        <v>10873032</v>
      </c>
      <c r="Q111" s="492">
        <v>1965143.05</v>
      </c>
      <c r="R111" s="492">
        <v>9999543.5</v>
      </c>
      <c r="S111" s="488">
        <v>10212596.560000001</v>
      </c>
      <c r="T111" s="367">
        <f t="shared" si="5"/>
        <v>616534761.19999993</v>
      </c>
      <c r="U111" s="490">
        <v>-6500421.8200000003</v>
      </c>
      <c r="V111" s="492"/>
      <c r="W111" s="492">
        <v>-2033938.45</v>
      </c>
      <c r="X111" s="496">
        <v>78.5</v>
      </c>
      <c r="Y111" s="497">
        <v>1.5</v>
      </c>
      <c r="Z111" s="498">
        <v>144365</v>
      </c>
      <c r="AA111" s="561"/>
      <c r="AB111" s="503"/>
      <c r="AC111" s="330">
        <f>AB111/VPI!R111</f>
        <v>0</v>
      </c>
      <c r="AD111" s="332">
        <f t="shared" si="6"/>
        <v>0</v>
      </c>
      <c r="AE111" s="330">
        <f>AD111/VPI!R111</f>
        <v>0</v>
      </c>
      <c r="AF111" s="503"/>
      <c r="AG111" s="503"/>
      <c r="AH111" s="503"/>
      <c r="AI111" s="562"/>
      <c r="AJ111" s="498"/>
      <c r="AK111" s="330">
        <f>AJ111/VPI!R111</f>
        <v>0</v>
      </c>
      <c r="AL111" s="332">
        <f t="shared" si="7"/>
        <v>0</v>
      </c>
      <c r="AM111" s="330">
        <f>AL111/VPI!R111</f>
        <v>0</v>
      </c>
      <c r="AN111" s="498"/>
      <c r="AO111" s="562"/>
      <c r="AP111" s="511">
        <v>8.0215805367122304</v>
      </c>
      <c r="AR111" s="564">
        <v>1</v>
      </c>
    </row>
    <row r="112" spans="1:44" x14ac:dyDescent="0.25">
      <c r="A112" s="559">
        <v>5587</v>
      </c>
      <c r="B112" s="560" t="s">
        <v>109</v>
      </c>
      <c r="C112" s="488">
        <v>24791892.699999999</v>
      </c>
      <c r="D112" s="488">
        <v>4464097.4000000004</v>
      </c>
      <c r="E112" s="488"/>
      <c r="F112" s="489"/>
      <c r="G112" s="488">
        <v>2344804.25</v>
      </c>
      <c r="H112" s="488">
        <v>549547.30000000005</v>
      </c>
      <c r="I112" s="488">
        <v>264034.8</v>
      </c>
      <c r="J112" s="488">
        <v>417556.47999999998</v>
      </c>
      <c r="K112" s="488">
        <v>401064.95</v>
      </c>
      <c r="L112" s="488">
        <v>3292580.85</v>
      </c>
      <c r="M112" s="367">
        <f t="shared" si="4"/>
        <v>36525578.730000004</v>
      </c>
      <c r="N112" s="492">
        <v>659328.30000000005</v>
      </c>
      <c r="O112" s="492">
        <v>610064.1</v>
      </c>
      <c r="P112" s="492">
        <v>1277837.1499999999</v>
      </c>
      <c r="Q112" s="492">
        <v>382598.33</v>
      </c>
      <c r="R112" s="492">
        <v>2251702.85</v>
      </c>
      <c r="S112" s="488">
        <v>272890.57</v>
      </c>
      <c r="T112" s="367">
        <f t="shared" si="5"/>
        <v>41980000.030000001</v>
      </c>
      <c r="U112" s="490">
        <v>-506346.92</v>
      </c>
      <c r="V112" s="492"/>
      <c r="W112" s="492">
        <v>-67379.3</v>
      </c>
      <c r="X112" s="496">
        <v>73.5</v>
      </c>
      <c r="Y112" s="497">
        <v>1.2</v>
      </c>
      <c r="Z112" s="498">
        <v>9274</v>
      </c>
      <c r="AA112" s="561"/>
      <c r="AB112" s="503"/>
      <c r="AC112" s="330">
        <f>AB112/VPI!R112</f>
        <v>0</v>
      </c>
      <c r="AD112" s="332">
        <f t="shared" si="6"/>
        <v>0</v>
      </c>
      <c r="AE112" s="330">
        <f>AD112/VPI!R112</f>
        <v>0</v>
      </c>
      <c r="AF112" s="503"/>
      <c r="AG112" s="503"/>
      <c r="AH112" s="503"/>
      <c r="AI112" s="562"/>
      <c r="AJ112" s="498"/>
      <c r="AK112" s="330">
        <f>AJ112/VPI!R112</f>
        <v>0</v>
      </c>
      <c r="AL112" s="332">
        <f t="shared" si="7"/>
        <v>0</v>
      </c>
      <c r="AM112" s="330">
        <f>AL112/VPI!R112</f>
        <v>0</v>
      </c>
      <c r="AN112" s="498"/>
      <c r="AO112" s="562"/>
      <c r="AP112" s="511">
        <v>22.243088738577747</v>
      </c>
      <c r="AR112" s="564">
        <v>0</v>
      </c>
    </row>
    <row r="113" spans="1:44" x14ac:dyDescent="0.25">
      <c r="A113" s="559">
        <v>5588</v>
      </c>
      <c r="B113" s="560" t="s">
        <v>110</v>
      </c>
      <c r="C113" s="488">
        <v>4202060.21</v>
      </c>
      <c r="D113" s="488">
        <v>1543289.4</v>
      </c>
      <c r="E113" s="488"/>
      <c r="F113" s="489"/>
      <c r="G113" s="488">
        <v>385415.95</v>
      </c>
      <c r="H113" s="488">
        <v>422969.4</v>
      </c>
      <c r="I113" s="488">
        <v>482104.17</v>
      </c>
      <c r="J113" s="488">
        <v>532266.81000000006</v>
      </c>
      <c r="K113" s="488">
        <v>45110.45</v>
      </c>
      <c r="L113" s="488">
        <v>393882.1</v>
      </c>
      <c r="M113" s="367">
        <f t="shared" si="4"/>
        <v>8007098.4899999993</v>
      </c>
      <c r="N113" s="492">
        <v>34307.949999999997</v>
      </c>
      <c r="O113" s="492"/>
      <c r="P113" s="492">
        <v>180785</v>
      </c>
      <c r="Q113" s="492">
        <v>4235.54</v>
      </c>
      <c r="R113" s="492">
        <v>412128.85</v>
      </c>
      <c r="S113" s="488">
        <v>76217.67</v>
      </c>
      <c r="T113" s="367">
        <f t="shared" si="5"/>
        <v>8714773.5</v>
      </c>
      <c r="U113" s="490">
        <v>-26440.61</v>
      </c>
      <c r="V113" s="492"/>
      <c r="W113" s="492">
        <v>-21580.19</v>
      </c>
      <c r="X113" s="496">
        <v>66.5</v>
      </c>
      <c r="Y113" s="497">
        <v>0.7</v>
      </c>
      <c r="Z113" s="498">
        <v>1538</v>
      </c>
      <c r="AA113" s="561"/>
      <c r="AB113" s="503"/>
      <c r="AC113" s="330">
        <f>AB113/VPI!R113</f>
        <v>0</v>
      </c>
      <c r="AD113" s="332">
        <f t="shared" si="6"/>
        <v>0</v>
      </c>
      <c r="AE113" s="330">
        <f>AD113/VPI!R113</f>
        <v>0</v>
      </c>
      <c r="AF113" s="503"/>
      <c r="AG113" s="503"/>
      <c r="AH113" s="503"/>
      <c r="AI113" s="562"/>
      <c r="AJ113" s="498"/>
      <c r="AK113" s="330">
        <f>AJ113/VPI!R113</f>
        <v>0</v>
      </c>
      <c r="AL113" s="332">
        <f t="shared" si="7"/>
        <v>0</v>
      </c>
      <c r="AM113" s="330">
        <f>AL113/VPI!R113</f>
        <v>0</v>
      </c>
      <c r="AN113" s="498"/>
      <c r="AO113" s="562"/>
      <c r="AP113" s="511">
        <v>37.922897705806214</v>
      </c>
      <c r="AR113" s="564">
        <v>1</v>
      </c>
    </row>
    <row r="114" spans="1:44" x14ac:dyDescent="0.25">
      <c r="A114" s="559">
        <v>5589</v>
      </c>
      <c r="B114" s="560" t="s">
        <v>111</v>
      </c>
      <c r="C114" s="488">
        <v>19848562.120000001</v>
      </c>
      <c r="D114" s="488">
        <v>2395732.08</v>
      </c>
      <c r="E114" s="488"/>
      <c r="F114" s="489"/>
      <c r="G114" s="488">
        <v>5226255.3</v>
      </c>
      <c r="H114" s="488">
        <v>342016.45</v>
      </c>
      <c r="I114" s="488">
        <v>93420.75</v>
      </c>
      <c r="J114" s="488">
        <v>1595548.79</v>
      </c>
      <c r="K114" s="488">
        <v>410387.75</v>
      </c>
      <c r="L114" s="488">
        <v>3075254.5</v>
      </c>
      <c r="M114" s="367">
        <f t="shared" si="4"/>
        <v>32987177.740000002</v>
      </c>
      <c r="N114" s="492">
        <v>1476159.9</v>
      </c>
      <c r="O114" s="492">
        <v>253297.2</v>
      </c>
      <c r="P114" s="492">
        <v>1790987.9</v>
      </c>
      <c r="Q114" s="492">
        <v>132294.89000000001</v>
      </c>
      <c r="R114" s="492">
        <v>1094941.95</v>
      </c>
      <c r="S114" s="488">
        <v>524998.02</v>
      </c>
      <c r="T114" s="367">
        <f t="shared" si="5"/>
        <v>38259857.600000009</v>
      </c>
      <c r="U114" s="490">
        <v>-278698.36</v>
      </c>
      <c r="V114" s="492"/>
      <c r="W114" s="492">
        <v>-10902.52</v>
      </c>
      <c r="X114" s="496">
        <v>72.5</v>
      </c>
      <c r="Y114" s="497">
        <v>1.3</v>
      </c>
      <c r="Z114" s="498">
        <v>12439</v>
      </c>
      <c r="AA114" s="561"/>
      <c r="AB114" s="503"/>
      <c r="AC114" s="330">
        <f>AB114/VPI!R114</f>
        <v>0</v>
      </c>
      <c r="AD114" s="332">
        <f t="shared" si="6"/>
        <v>0</v>
      </c>
      <c r="AE114" s="330">
        <f>AD114/VPI!R114</f>
        <v>0</v>
      </c>
      <c r="AF114" s="503"/>
      <c r="AG114" s="503"/>
      <c r="AH114" s="503"/>
      <c r="AI114" s="562"/>
      <c r="AJ114" s="498"/>
      <c r="AK114" s="330">
        <f>AJ114/VPI!R114</f>
        <v>0</v>
      </c>
      <c r="AL114" s="332">
        <f t="shared" si="7"/>
        <v>0</v>
      </c>
      <c r="AM114" s="330">
        <f>AL114/VPI!R114</f>
        <v>0</v>
      </c>
      <c r="AN114" s="498"/>
      <c r="AO114" s="562"/>
      <c r="AP114" s="511">
        <v>2.641308766660079</v>
      </c>
      <c r="AR114" s="564">
        <v>1</v>
      </c>
    </row>
    <row r="115" spans="1:44" x14ac:dyDescent="0.25">
      <c r="A115" s="559">
        <v>5590</v>
      </c>
      <c r="B115" s="560" t="s">
        <v>112</v>
      </c>
      <c r="C115" s="488">
        <v>58895447.159999996</v>
      </c>
      <c r="D115" s="488">
        <v>17306196.34</v>
      </c>
      <c r="E115" s="488"/>
      <c r="F115" s="489"/>
      <c r="G115" s="488">
        <v>9449279.8000000007</v>
      </c>
      <c r="H115" s="488">
        <v>2398765.75</v>
      </c>
      <c r="I115" s="488">
        <v>3146844.32</v>
      </c>
      <c r="J115" s="488">
        <v>843176.92</v>
      </c>
      <c r="K115" s="488">
        <v>569851.19999999995</v>
      </c>
      <c r="L115" s="488">
        <v>3999307.4</v>
      </c>
      <c r="M115" s="367">
        <f t="shared" si="4"/>
        <v>96608868.890000001</v>
      </c>
      <c r="N115" s="492">
        <v>203130.75</v>
      </c>
      <c r="O115" s="492">
        <v>4476051.8</v>
      </c>
      <c r="P115" s="492">
        <v>3228065.95</v>
      </c>
      <c r="Q115" s="492">
        <v>128321.58</v>
      </c>
      <c r="R115" s="492">
        <v>3184257.5</v>
      </c>
      <c r="S115" s="488">
        <v>1117079.19</v>
      </c>
      <c r="T115" s="367">
        <f t="shared" si="5"/>
        <v>108945775.66</v>
      </c>
      <c r="U115" s="490">
        <v>-412092.12</v>
      </c>
      <c r="V115" s="492"/>
      <c r="W115" s="492">
        <v>-1222768.8400000001</v>
      </c>
      <c r="X115" s="496">
        <v>61</v>
      </c>
      <c r="Y115" s="497">
        <v>0.7</v>
      </c>
      <c r="Z115" s="498">
        <v>19298</v>
      </c>
      <c r="AA115" s="561"/>
      <c r="AB115" s="503"/>
      <c r="AC115" s="330">
        <f>AB115/VPI!R115</f>
        <v>0</v>
      </c>
      <c r="AD115" s="332">
        <f t="shared" si="6"/>
        <v>0</v>
      </c>
      <c r="AE115" s="330">
        <f>AD115/VPI!R115</f>
        <v>0</v>
      </c>
      <c r="AF115" s="503"/>
      <c r="AG115" s="503"/>
      <c r="AH115" s="503"/>
      <c r="AI115" s="562"/>
      <c r="AJ115" s="498"/>
      <c r="AK115" s="330">
        <f>AJ115/VPI!R115</f>
        <v>0</v>
      </c>
      <c r="AL115" s="332">
        <f t="shared" si="7"/>
        <v>0</v>
      </c>
      <c r="AM115" s="330">
        <f>AL115/VPI!R115</f>
        <v>0</v>
      </c>
      <c r="AN115" s="498"/>
      <c r="AO115" s="562"/>
      <c r="AP115" s="511">
        <v>25.930333698814831</v>
      </c>
      <c r="AR115" s="564">
        <v>1</v>
      </c>
    </row>
    <row r="116" spans="1:44" x14ac:dyDescent="0.25">
      <c r="A116" s="559">
        <v>5591</v>
      </c>
      <c r="B116" s="560" t="s">
        <v>323</v>
      </c>
      <c r="C116" s="488">
        <v>30146345.469999999</v>
      </c>
      <c r="D116" s="488">
        <v>3047954.22</v>
      </c>
      <c r="E116" s="488"/>
      <c r="F116" s="489"/>
      <c r="G116" s="488">
        <v>7730381.75</v>
      </c>
      <c r="H116" s="488">
        <v>638933.19999999995</v>
      </c>
      <c r="I116" s="488"/>
      <c r="J116" s="488">
        <v>2798282.34</v>
      </c>
      <c r="K116" s="488">
        <v>952349</v>
      </c>
      <c r="L116" s="488">
        <v>5582045.0999999996</v>
      </c>
      <c r="M116" s="367">
        <f t="shared" si="4"/>
        <v>50896291.080000006</v>
      </c>
      <c r="N116" s="492">
        <v>3253812.45</v>
      </c>
      <c r="O116" s="492">
        <v>432226.6</v>
      </c>
      <c r="P116" s="492">
        <v>3023381.45</v>
      </c>
      <c r="Q116" s="492">
        <v>238519.38</v>
      </c>
      <c r="R116" s="492">
        <v>1628888.7</v>
      </c>
      <c r="S116" s="488">
        <v>788963.83999999997</v>
      </c>
      <c r="T116" s="367">
        <f t="shared" si="5"/>
        <v>60262083.500000022</v>
      </c>
      <c r="U116" s="490">
        <v>-1000061.92</v>
      </c>
      <c r="V116" s="492"/>
      <c r="W116" s="492">
        <v>-3440.69</v>
      </c>
      <c r="X116" s="496">
        <v>77</v>
      </c>
      <c r="Y116" s="497">
        <v>1.4</v>
      </c>
      <c r="Z116" s="498">
        <v>21466</v>
      </c>
      <c r="AA116" s="561"/>
      <c r="AB116" s="503"/>
      <c r="AC116" s="330">
        <f>AB116/VPI!R116</f>
        <v>0</v>
      </c>
      <c r="AD116" s="332">
        <f t="shared" si="6"/>
        <v>0</v>
      </c>
      <c r="AE116" s="330">
        <f>AD116/VPI!R116</f>
        <v>0</v>
      </c>
      <c r="AF116" s="503"/>
      <c r="AG116" s="503"/>
      <c r="AH116" s="503"/>
      <c r="AI116" s="562"/>
      <c r="AJ116" s="498"/>
      <c r="AK116" s="330">
        <f>AJ116/VPI!R116</f>
        <v>0</v>
      </c>
      <c r="AL116" s="332">
        <f t="shared" si="7"/>
        <v>0</v>
      </c>
      <c r="AM116" s="330">
        <f>AL116/VPI!R116</f>
        <v>0</v>
      </c>
      <c r="AN116" s="498"/>
      <c r="AO116" s="562"/>
      <c r="AP116" s="511">
        <v>-12.972254796124142</v>
      </c>
      <c r="AR116" s="564">
        <v>1</v>
      </c>
    </row>
    <row r="117" spans="1:44" x14ac:dyDescent="0.25">
      <c r="A117" s="559">
        <v>5592</v>
      </c>
      <c r="B117" s="560" t="s">
        <v>191</v>
      </c>
      <c r="C117" s="488">
        <v>6646609.1500000004</v>
      </c>
      <c r="D117" s="488">
        <v>924832.3</v>
      </c>
      <c r="E117" s="488"/>
      <c r="F117" s="489"/>
      <c r="G117" s="488">
        <v>772979.05</v>
      </c>
      <c r="H117" s="488">
        <v>118591.4</v>
      </c>
      <c r="I117" s="488"/>
      <c r="J117" s="488">
        <v>275419.84999999998</v>
      </c>
      <c r="K117" s="488">
        <v>125910.1</v>
      </c>
      <c r="L117" s="488">
        <v>996924.95</v>
      </c>
      <c r="M117" s="367">
        <f t="shared" si="4"/>
        <v>9861266.7999999989</v>
      </c>
      <c r="N117" s="492">
        <v>788199.3</v>
      </c>
      <c r="O117" s="492">
        <v>43750</v>
      </c>
      <c r="P117" s="492">
        <v>364420.1</v>
      </c>
      <c r="Q117" s="492">
        <v>24896.83</v>
      </c>
      <c r="R117" s="492">
        <v>164730</v>
      </c>
      <c r="S117" s="488">
        <v>84060.68</v>
      </c>
      <c r="T117" s="367">
        <f t="shared" si="5"/>
        <v>11331323.709999999</v>
      </c>
      <c r="U117" s="490">
        <v>-178172.66</v>
      </c>
      <c r="V117" s="492"/>
      <c r="W117" s="492">
        <v>-5166.05</v>
      </c>
      <c r="X117" s="496">
        <v>70.5</v>
      </c>
      <c r="Y117" s="497">
        <v>1.25</v>
      </c>
      <c r="Z117" s="498">
        <v>3992</v>
      </c>
      <c r="AA117" s="561"/>
      <c r="AB117" s="503"/>
      <c r="AC117" s="330">
        <f>AB117/VPI!R117</f>
        <v>0</v>
      </c>
      <c r="AD117" s="332">
        <f t="shared" si="6"/>
        <v>0</v>
      </c>
      <c r="AE117" s="330">
        <f>AD117/VPI!R117</f>
        <v>0</v>
      </c>
      <c r="AF117" s="503"/>
      <c r="AG117" s="503"/>
      <c r="AH117" s="503"/>
      <c r="AI117" s="562"/>
      <c r="AJ117" s="498"/>
      <c r="AK117" s="330">
        <f>AJ117/VPI!R117</f>
        <v>0</v>
      </c>
      <c r="AL117" s="332">
        <f t="shared" si="7"/>
        <v>0</v>
      </c>
      <c r="AM117" s="330">
        <f>AL117/VPI!R117</f>
        <v>0</v>
      </c>
      <c r="AN117" s="498"/>
      <c r="AO117" s="562"/>
      <c r="AP117" s="511">
        <v>7.3296023541040771</v>
      </c>
      <c r="AR117" s="564">
        <v>0</v>
      </c>
    </row>
    <row r="118" spans="1:44" x14ac:dyDescent="0.25">
      <c r="A118" s="559">
        <v>5601</v>
      </c>
      <c r="B118" s="560" t="s">
        <v>253</v>
      </c>
      <c r="C118" s="488">
        <v>5333718.3099999996</v>
      </c>
      <c r="D118" s="488">
        <v>884389.41</v>
      </c>
      <c r="E118" s="488"/>
      <c r="F118" s="489"/>
      <c r="G118" s="488">
        <v>105017.45</v>
      </c>
      <c r="H118" s="488">
        <v>17695.349999999999</v>
      </c>
      <c r="I118" s="488">
        <v>-68579.350000000006</v>
      </c>
      <c r="J118" s="488">
        <v>77122.63</v>
      </c>
      <c r="K118" s="488">
        <v>29634.95</v>
      </c>
      <c r="L118" s="488">
        <v>524168.8</v>
      </c>
      <c r="M118" s="367">
        <f t="shared" si="4"/>
        <v>6903167.5499999998</v>
      </c>
      <c r="N118" s="492">
        <v>79986.5</v>
      </c>
      <c r="O118" s="492">
        <v>69311.5</v>
      </c>
      <c r="P118" s="492">
        <v>209240.5</v>
      </c>
      <c r="Q118" s="492">
        <v>2301</v>
      </c>
      <c r="R118" s="492">
        <v>122681.25</v>
      </c>
      <c r="S118" s="488">
        <v>11569.83</v>
      </c>
      <c r="T118" s="367">
        <f t="shared" si="5"/>
        <v>7398258.1299999999</v>
      </c>
      <c r="U118" s="490">
        <v>-22511.03</v>
      </c>
      <c r="V118" s="492"/>
      <c r="W118" s="492">
        <v>-8062.39</v>
      </c>
      <c r="X118" s="496">
        <v>67.5</v>
      </c>
      <c r="Y118" s="497">
        <v>1</v>
      </c>
      <c r="Z118" s="498">
        <v>2230</v>
      </c>
      <c r="AA118" s="561"/>
      <c r="AB118" s="503"/>
      <c r="AC118" s="330">
        <f>AB118/VPI!R118</f>
        <v>0</v>
      </c>
      <c r="AD118" s="332">
        <f t="shared" si="6"/>
        <v>0</v>
      </c>
      <c r="AE118" s="330">
        <f>AD118/VPI!R118</f>
        <v>0</v>
      </c>
      <c r="AF118" s="503"/>
      <c r="AG118" s="503"/>
      <c r="AH118" s="503"/>
      <c r="AI118" s="562"/>
      <c r="AJ118" s="498"/>
      <c r="AK118" s="330">
        <f>AJ118/VPI!R118</f>
        <v>0</v>
      </c>
      <c r="AL118" s="332">
        <f t="shared" si="7"/>
        <v>0</v>
      </c>
      <c r="AM118" s="330">
        <f>AL118/VPI!R118</f>
        <v>0</v>
      </c>
      <c r="AN118" s="498"/>
      <c r="AO118" s="562"/>
      <c r="AP118" s="511">
        <v>25.31622882504039</v>
      </c>
      <c r="AR118" s="564">
        <v>1</v>
      </c>
    </row>
    <row r="119" spans="1:44" x14ac:dyDescent="0.25">
      <c r="A119" s="559">
        <v>5604</v>
      </c>
      <c r="B119" s="560" t="s">
        <v>128</v>
      </c>
      <c r="C119" s="488">
        <v>3782785.41</v>
      </c>
      <c r="D119" s="488">
        <v>705814.93</v>
      </c>
      <c r="E119" s="488"/>
      <c r="F119" s="489"/>
      <c r="G119" s="488">
        <v>202135.45</v>
      </c>
      <c r="H119" s="488">
        <v>20017.5</v>
      </c>
      <c r="I119" s="488"/>
      <c r="J119" s="488">
        <v>75666.44</v>
      </c>
      <c r="K119" s="488">
        <v>32919.65</v>
      </c>
      <c r="L119" s="488">
        <v>431001.15</v>
      </c>
      <c r="M119" s="367">
        <f t="shared" si="4"/>
        <v>5250340.5300000012</v>
      </c>
      <c r="N119" s="492">
        <v>132569.70000000001</v>
      </c>
      <c r="O119" s="492">
        <v>2927.1</v>
      </c>
      <c r="P119" s="492">
        <v>161765.45000000001</v>
      </c>
      <c r="Q119" s="492">
        <v>18677.52</v>
      </c>
      <c r="R119" s="492">
        <v>149221.29999999999</v>
      </c>
      <c r="S119" s="488">
        <v>20945.43</v>
      </c>
      <c r="T119" s="367">
        <f t="shared" si="5"/>
        <v>5736447.0300000003</v>
      </c>
      <c r="U119" s="490">
        <v>-64137.120000000003</v>
      </c>
      <c r="V119" s="492"/>
      <c r="W119" s="492">
        <v>-2371.85</v>
      </c>
      <c r="X119" s="496">
        <v>69</v>
      </c>
      <c r="Y119" s="497">
        <v>1</v>
      </c>
      <c r="Z119" s="498">
        <v>2068</v>
      </c>
      <c r="AA119" s="561"/>
      <c r="AB119" s="503"/>
      <c r="AC119" s="330">
        <f>AB119/VPI!R119</f>
        <v>0</v>
      </c>
      <c r="AD119" s="332">
        <f t="shared" si="6"/>
        <v>0</v>
      </c>
      <c r="AE119" s="330">
        <f>AD119/VPI!R119</f>
        <v>0</v>
      </c>
      <c r="AF119" s="503"/>
      <c r="AG119" s="503"/>
      <c r="AH119" s="503"/>
      <c r="AI119" s="562"/>
      <c r="AJ119" s="498"/>
      <c r="AK119" s="330">
        <f>AJ119/VPI!R119</f>
        <v>0</v>
      </c>
      <c r="AL119" s="332">
        <f t="shared" si="7"/>
        <v>0</v>
      </c>
      <c r="AM119" s="330">
        <f>AL119/VPI!R119</f>
        <v>0</v>
      </c>
      <c r="AN119" s="498"/>
      <c r="AO119" s="562"/>
      <c r="AP119" s="511">
        <v>15.688114675342243</v>
      </c>
      <c r="AR119" s="564">
        <v>0</v>
      </c>
    </row>
    <row r="120" spans="1:44" x14ac:dyDescent="0.25">
      <c r="A120" s="559">
        <v>5606</v>
      </c>
      <c r="B120" s="560" t="s">
        <v>129</v>
      </c>
      <c r="C120" s="488">
        <v>35274798.049999997</v>
      </c>
      <c r="D120" s="488">
        <v>9284791.5800000001</v>
      </c>
      <c r="E120" s="488"/>
      <c r="F120" s="489"/>
      <c r="G120" s="488">
        <v>1797176.56</v>
      </c>
      <c r="H120" s="488">
        <v>2608220.7000000002</v>
      </c>
      <c r="I120" s="488">
        <v>1157579.3400000001</v>
      </c>
      <c r="J120" s="488">
        <v>161565.45000000001</v>
      </c>
      <c r="K120" s="488">
        <v>208963</v>
      </c>
      <c r="L120" s="488">
        <v>2483225.7999999998</v>
      </c>
      <c r="M120" s="367">
        <f t="shared" si="4"/>
        <v>52976320.480000004</v>
      </c>
      <c r="N120" s="492">
        <v>111976.8</v>
      </c>
      <c r="O120" s="492">
        <v>3525621.5</v>
      </c>
      <c r="P120" s="492">
        <v>2514474.75</v>
      </c>
      <c r="Q120" s="492">
        <v>48994.89</v>
      </c>
      <c r="R120" s="492">
        <v>2484608.5</v>
      </c>
      <c r="S120" s="488">
        <v>415357.75</v>
      </c>
      <c r="T120" s="367">
        <f t="shared" si="5"/>
        <v>62077354.670000002</v>
      </c>
      <c r="U120" s="490">
        <v>-233483.2</v>
      </c>
      <c r="V120" s="492"/>
      <c r="W120" s="492">
        <v>-417653.11</v>
      </c>
      <c r="X120" s="496">
        <v>54</v>
      </c>
      <c r="Y120" s="497">
        <v>0.7</v>
      </c>
      <c r="Z120" s="498">
        <v>10796</v>
      </c>
      <c r="AA120" s="561"/>
      <c r="AB120" s="503"/>
      <c r="AC120" s="330">
        <f>AB120/VPI!R120</f>
        <v>0</v>
      </c>
      <c r="AD120" s="332">
        <f t="shared" si="6"/>
        <v>0</v>
      </c>
      <c r="AE120" s="330">
        <f>AD120/VPI!R120</f>
        <v>0</v>
      </c>
      <c r="AF120" s="503"/>
      <c r="AG120" s="503"/>
      <c r="AH120" s="503"/>
      <c r="AI120" s="562"/>
      <c r="AJ120" s="498"/>
      <c r="AK120" s="330">
        <f>AJ120/VPI!R120</f>
        <v>0</v>
      </c>
      <c r="AL120" s="332">
        <f t="shared" si="7"/>
        <v>0</v>
      </c>
      <c r="AM120" s="330">
        <f>AL120/VPI!R120</f>
        <v>0</v>
      </c>
      <c r="AN120" s="498"/>
      <c r="AO120" s="562"/>
      <c r="AP120" s="511">
        <v>37.439728651455148</v>
      </c>
      <c r="AR120" s="564">
        <v>1</v>
      </c>
    </row>
    <row r="121" spans="1:44" x14ac:dyDescent="0.25">
      <c r="A121" s="559">
        <v>5607</v>
      </c>
      <c r="B121" s="560" t="s">
        <v>255</v>
      </c>
      <c r="C121" s="488">
        <v>5836783.04</v>
      </c>
      <c r="D121" s="488">
        <v>1145981.76</v>
      </c>
      <c r="E121" s="488"/>
      <c r="F121" s="489"/>
      <c r="G121" s="488">
        <v>854879.65</v>
      </c>
      <c r="H121" s="488">
        <v>173717.4</v>
      </c>
      <c r="I121" s="488">
        <v>11.45</v>
      </c>
      <c r="J121" s="488">
        <v>263748.02</v>
      </c>
      <c r="K121" s="488">
        <v>113200.45</v>
      </c>
      <c r="L121" s="488">
        <v>944015.95</v>
      </c>
      <c r="M121" s="367">
        <f t="shared" si="4"/>
        <v>9332337.7200000007</v>
      </c>
      <c r="N121" s="492">
        <v>306935.90000000002</v>
      </c>
      <c r="O121" s="492">
        <v>7504.5</v>
      </c>
      <c r="P121" s="492">
        <v>776363.45</v>
      </c>
      <c r="Q121" s="492">
        <v>3238.17</v>
      </c>
      <c r="R121" s="492">
        <v>318757.5</v>
      </c>
      <c r="S121" s="488">
        <v>96980.08</v>
      </c>
      <c r="T121" s="367">
        <f t="shared" si="5"/>
        <v>10842117.32</v>
      </c>
      <c r="U121" s="490">
        <v>-81954.31</v>
      </c>
      <c r="V121" s="492"/>
      <c r="W121" s="492">
        <v>-3346.3</v>
      </c>
      <c r="X121" s="496">
        <v>68.5</v>
      </c>
      <c r="Y121" s="497">
        <v>1.1499999999999999</v>
      </c>
      <c r="Z121" s="498">
        <v>3012</v>
      </c>
      <c r="AA121" s="561"/>
      <c r="AB121" s="503"/>
      <c r="AC121" s="330">
        <f>AB121/VPI!R121</f>
        <v>0</v>
      </c>
      <c r="AD121" s="332">
        <f t="shared" si="6"/>
        <v>0</v>
      </c>
      <c r="AE121" s="330">
        <f>AD121/VPI!R121</f>
        <v>0</v>
      </c>
      <c r="AF121" s="503"/>
      <c r="AG121" s="503"/>
      <c r="AH121" s="503"/>
      <c r="AI121" s="562"/>
      <c r="AJ121" s="498"/>
      <c r="AK121" s="330">
        <f>AJ121/VPI!R121</f>
        <v>0</v>
      </c>
      <c r="AL121" s="332">
        <f t="shared" si="7"/>
        <v>0</v>
      </c>
      <c r="AM121" s="330">
        <f>AL121/VPI!R121</f>
        <v>0</v>
      </c>
      <c r="AN121" s="498"/>
      <c r="AO121" s="562"/>
      <c r="AP121" s="511">
        <v>19.169989434320737</v>
      </c>
      <c r="AR121" s="564">
        <v>1</v>
      </c>
    </row>
    <row r="122" spans="1:44" x14ac:dyDescent="0.25">
      <c r="A122" s="559">
        <v>5609</v>
      </c>
      <c r="B122" s="560" t="s">
        <v>114</v>
      </c>
      <c r="C122" s="488">
        <v>654395.37</v>
      </c>
      <c r="D122" s="488">
        <v>123981.2</v>
      </c>
      <c r="E122" s="488"/>
      <c r="F122" s="489"/>
      <c r="G122" s="488">
        <v>4583.45</v>
      </c>
      <c r="H122" s="488">
        <v>733.1</v>
      </c>
      <c r="I122" s="488"/>
      <c r="J122" s="488">
        <v>22720.53</v>
      </c>
      <c r="K122" s="488">
        <v>1397.9</v>
      </c>
      <c r="L122" s="488">
        <v>65962.149999999994</v>
      </c>
      <c r="M122" s="367">
        <f t="shared" si="4"/>
        <v>873773.7</v>
      </c>
      <c r="N122" s="492">
        <v>0</v>
      </c>
      <c r="O122" s="492"/>
      <c r="P122" s="492">
        <v>440</v>
      </c>
      <c r="Q122" s="492"/>
      <c r="R122" s="492">
        <v>15709.45</v>
      </c>
      <c r="S122" s="488">
        <v>501.26</v>
      </c>
      <c r="T122" s="367">
        <f t="shared" si="5"/>
        <v>890424.40999999992</v>
      </c>
      <c r="U122" s="490">
        <v>-7134.72</v>
      </c>
      <c r="V122" s="492"/>
      <c r="W122" s="492">
        <v>-386.9</v>
      </c>
      <c r="X122" s="496">
        <v>62</v>
      </c>
      <c r="Y122" s="497">
        <v>1</v>
      </c>
      <c r="Z122" s="498">
        <v>326</v>
      </c>
      <c r="AA122" s="561"/>
      <c r="AB122" s="503"/>
      <c r="AC122" s="330">
        <f>AB122/VPI!R122</f>
        <v>0</v>
      </c>
      <c r="AD122" s="332">
        <f t="shared" si="6"/>
        <v>0</v>
      </c>
      <c r="AE122" s="330">
        <f>AD122/VPI!R122</f>
        <v>0</v>
      </c>
      <c r="AF122" s="503"/>
      <c r="AG122" s="503"/>
      <c r="AH122" s="503"/>
      <c r="AI122" s="562"/>
      <c r="AJ122" s="498"/>
      <c r="AK122" s="330">
        <f>AJ122/VPI!R122</f>
        <v>0</v>
      </c>
      <c r="AL122" s="332">
        <f t="shared" si="7"/>
        <v>0</v>
      </c>
      <c r="AM122" s="330">
        <f>AL122/VPI!R122</f>
        <v>0</v>
      </c>
      <c r="AN122" s="498"/>
      <c r="AO122" s="562"/>
      <c r="AP122" s="511">
        <v>26.711092197325819</v>
      </c>
      <c r="AR122" s="564">
        <v>1</v>
      </c>
    </row>
    <row r="123" spans="1:44" x14ac:dyDescent="0.25">
      <c r="A123" s="559">
        <v>5610</v>
      </c>
      <c r="B123" s="560" t="s">
        <v>115</v>
      </c>
      <c r="C123" s="488">
        <v>1012775.48</v>
      </c>
      <c r="D123" s="488">
        <v>247296.36</v>
      </c>
      <c r="E123" s="488"/>
      <c r="F123" s="489"/>
      <c r="G123" s="488">
        <v>9706.0499999999993</v>
      </c>
      <c r="H123" s="488">
        <v>3463.85</v>
      </c>
      <c r="I123" s="488">
        <v>701.95</v>
      </c>
      <c r="J123" s="488">
        <v>2721.32</v>
      </c>
      <c r="K123" s="488">
        <v>6811.15</v>
      </c>
      <c r="L123" s="488">
        <v>135805.85</v>
      </c>
      <c r="M123" s="367">
        <f t="shared" si="4"/>
        <v>1419282.01</v>
      </c>
      <c r="N123" s="492">
        <v>0</v>
      </c>
      <c r="O123" s="492">
        <v>2784.8</v>
      </c>
      <c r="P123" s="492">
        <v>15532</v>
      </c>
      <c r="Q123" s="492">
        <v>1886.67</v>
      </c>
      <c r="R123" s="492">
        <v>20515</v>
      </c>
      <c r="S123" s="488">
        <v>1241.71</v>
      </c>
      <c r="T123" s="367">
        <f t="shared" si="5"/>
        <v>1461242.19</v>
      </c>
      <c r="U123" s="490">
        <v>-7396.19</v>
      </c>
      <c r="V123" s="492"/>
      <c r="W123" s="492">
        <v>-3733.36</v>
      </c>
      <c r="X123" s="496">
        <v>72</v>
      </c>
      <c r="Y123" s="497">
        <v>1.2</v>
      </c>
      <c r="Z123" s="498">
        <v>391</v>
      </c>
      <c r="AA123" s="561"/>
      <c r="AB123" s="503"/>
      <c r="AC123" s="330">
        <f>AB123/VPI!R123</f>
        <v>0</v>
      </c>
      <c r="AD123" s="332">
        <f t="shared" si="6"/>
        <v>0</v>
      </c>
      <c r="AE123" s="330">
        <f>AD123/VPI!R123</f>
        <v>0</v>
      </c>
      <c r="AF123" s="503"/>
      <c r="AG123" s="503"/>
      <c r="AH123" s="503"/>
      <c r="AI123" s="562"/>
      <c r="AJ123" s="498"/>
      <c r="AK123" s="330">
        <f>AJ123/VPI!R123</f>
        <v>0</v>
      </c>
      <c r="AL123" s="332">
        <f t="shared" si="7"/>
        <v>0</v>
      </c>
      <c r="AM123" s="330">
        <f>AL123/VPI!R123</f>
        <v>0</v>
      </c>
      <c r="AN123" s="498"/>
      <c r="AO123" s="562"/>
      <c r="AP123" s="511">
        <v>29.58728808069289</v>
      </c>
      <c r="AR123" s="564">
        <v>1</v>
      </c>
    </row>
    <row r="124" spans="1:44" x14ac:dyDescent="0.25">
      <c r="A124" s="559">
        <v>5611</v>
      </c>
      <c r="B124" s="560" t="s">
        <v>252</v>
      </c>
      <c r="C124" s="488">
        <v>7319069.5099999998</v>
      </c>
      <c r="D124" s="488">
        <v>1320481.25</v>
      </c>
      <c r="E124" s="488"/>
      <c r="F124" s="489"/>
      <c r="G124" s="488">
        <v>338140.2</v>
      </c>
      <c r="H124" s="488">
        <v>19831.150000000001</v>
      </c>
      <c r="I124" s="488">
        <v>120612.73</v>
      </c>
      <c r="J124" s="488">
        <v>92950.86</v>
      </c>
      <c r="K124" s="488">
        <v>26490.85</v>
      </c>
      <c r="L124" s="488">
        <v>861738.35</v>
      </c>
      <c r="M124" s="367">
        <f t="shared" si="4"/>
        <v>10099314.899999999</v>
      </c>
      <c r="N124" s="492">
        <v>137808.85</v>
      </c>
      <c r="O124" s="492">
        <v>172772.5</v>
      </c>
      <c r="P124" s="492">
        <v>518607.15</v>
      </c>
      <c r="Q124" s="492">
        <v>10803.51</v>
      </c>
      <c r="R124" s="492">
        <v>688752.8</v>
      </c>
      <c r="S124" s="488">
        <v>33750.910000000003</v>
      </c>
      <c r="T124" s="367">
        <f t="shared" si="5"/>
        <v>11661810.619999999</v>
      </c>
      <c r="U124" s="490">
        <v>-60652.71</v>
      </c>
      <c r="V124" s="492"/>
      <c r="W124" s="492">
        <v>-10289.61</v>
      </c>
      <c r="X124" s="496">
        <v>69</v>
      </c>
      <c r="Y124" s="497">
        <v>1.2</v>
      </c>
      <c r="Z124" s="498">
        <v>3448</v>
      </c>
      <c r="AA124" s="561"/>
      <c r="AB124" s="503"/>
      <c r="AC124" s="330">
        <f>AB124/VPI!R124</f>
        <v>0</v>
      </c>
      <c r="AD124" s="332">
        <f t="shared" si="6"/>
        <v>0</v>
      </c>
      <c r="AE124" s="330">
        <f>AD124/VPI!R124</f>
        <v>0</v>
      </c>
      <c r="AF124" s="503"/>
      <c r="AG124" s="503"/>
      <c r="AH124" s="503"/>
      <c r="AI124" s="562"/>
      <c r="AJ124" s="498"/>
      <c r="AK124" s="330">
        <f>AJ124/VPI!R124</f>
        <v>0</v>
      </c>
      <c r="AL124" s="332">
        <f t="shared" si="7"/>
        <v>0</v>
      </c>
      <c r="AM124" s="330">
        <f>AL124/VPI!R124</f>
        <v>0</v>
      </c>
      <c r="AN124" s="498"/>
      <c r="AO124" s="562"/>
      <c r="AP124" s="511">
        <v>19.552240447261376</v>
      </c>
      <c r="AR124" s="564">
        <v>1</v>
      </c>
    </row>
    <row r="125" spans="1:44" x14ac:dyDescent="0.25">
      <c r="A125" s="559">
        <v>5613</v>
      </c>
      <c r="B125" s="560" t="s">
        <v>341</v>
      </c>
      <c r="C125" s="488">
        <v>16270538.310000001</v>
      </c>
      <c r="D125" s="488">
        <v>4260769.8600000003</v>
      </c>
      <c r="E125" s="488"/>
      <c r="F125" s="489"/>
      <c r="G125" s="488">
        <v>223476.65</v>
      </c>
      <c r="H125" s="488">
        <v>36284.400000000001</v>
      </c>
      <c r="I125" s="488">
        <v>20990.15</v>
      </c>
      <c r="J125" s="488">
        <v>420595.92</v>
      </c>
      <c r="K125" s="488">
        <v>46058.25</v>
      </c>
      <c r="L125" s="488">
        <v>2439141</v>
      </c>
      <c r="M125" s="367">
        <f t="shared" si="4"/>
        <v>23717854.539999999</v>
      </c>
      <c r="N125" s="492">
        <v>53138.9</v>
      </c>
      <c r="O125" s="492">
        <v>290390.2</v>
      </c>
      <c r="P125" s="492">
        <v>946699.8</v>
      </c>
      <c r="Q125" s="492">
        <v>33134.18</v>
      </c>
      <c r="R125" s="492">
        <v>1344731.35</v>
      </c>
      <c r="S125" s="488">
        <v>24491.27</v>
      </c>
      <c r="T125" s="367">
        <f t="shared" si="5"/>
        <v>26410440.239999998</v>
      </c>
      <c r="U125" s="490">
        <v>-160073.73000000001</v>
      </c>
      <c r="V125" s="492"/>
      <c r="W125" s="492">
        <v>-62761.26</v>
      </c>
      <c r="X125" s="496">
        <v>62.5</v>
      </c>
      <c r="Y125" s="497">
        <v>1.5</v>
      </c>
      <c r="Z125" s="498">
        <v>5411</v>
      </c>
      <c r="AA125" s="561"/>
      <c r="AB125" s="503"/>
      <c r="AC125" s="330">
        <f>AB125/VPI!R125</f>
        <v>0</v>
      </c>
      <c r="AD125" s="332">
        <f t="shared" si="6"/>
        <v>0</v>
      </c>
      <c r="AE125" s="330">
        <f>AD125/VPI!R125</f>
        <v>0</v>
      </c>
      <c r="AF125" s="503"/>
      <c r="AG125" s="503"/>
      <c r="AH125" s="503"/>
      <c r="AI125" s="562"/>
      <c r="AJ125" s="498"/>
      <c r="AK125" s="330">
        <f>AJ125/VPI!R125</f>
        <v>0</v>
      </c>
      <c r="AL125" s="332">
        <f t="shared" si="7"/>
        <v>0</v>
      </c>
      <c r="AM125" s="330">
        <f>AL125/VPI!R125</f>
        <v>0</v>
      </c>
      <c r="AN125" s="498"/>
      <c r="AO125" s="562"/>
      <c r="AP125" s="511">
        <v>29.513141729454865</v>
      </c>
      <c r="AR125" s="564">
        <v>1</v>
      </c>
    </row>
    <row r="126" spans="1:44" x14ac:dyDescent="0.25">
      <c r="A126" s="559">
        <v>5621</v>
      </c>
      <c r="B126" s="560" t="s">
        <v>332</v>
      </c>
      <c r="C126" s="488">
        <v>1262173.76</v>
      </c>
      <c r="D126" s="488">
        <v>128586.42</v>
      </c>
      <c r="E126" s="488"/>
      <c r="F126" s="489"/>
      <c r="G126" s="488">
        <v>225069.8</v>
      </c>
      <c r="H126" s="488">
        <v>22793.75</v>
      </c>
      <c r="I126" s="488"/>
      <c r="J126" s="488">
        <v>94589.08</v>
      </c>
      <c r="K126" s="488">
        <v>35577.75</v>
      </c>
      <c r="L126" s="488">
        <v>341524.45</v>
      </c>
      <c r="M126" s="367">
        <f t="shared" si="4"/>
        <v>2110315.0100000002</v>
      </c>
      <c r="N126" s="492">
        <v>281467.34999999998</v>
      </c>
      <c r="O126" s="492">
        <v>6863.2</v>
      </c>
      <c r="P126" s="492">
        <v>192587.75</v>
      </c>
      <c r="Q126" s="492"/>
      <c r="R126" s="492">
        <v>42234.6</v>
      </c>
      <c r="S126" s="488">
        <v>23369.53</v>
      </c>
      <c r="T126" s="367">
        <f t="shared" si="5"/>
        <v>2656837.4400000004</v>
      </c>
      <c r="U126" s="490">
        <v>-7774.95</v>
      </c>
      <c r="V126" s="492"/>
      <c r="W126" s="492">
        <v>-22.65</v>
      </c>
      <c r="X126" s="496">
        <v>62</v>
      </c>
      <c r="Y126" s="497">
        <v>1.1000000000000001</v>
      </c>
      <c r="Z126" s="498">
        <v>578</v>
      </c>
      <c r="AA126" s="561"/>
      <c r="AB126" s="503"/>
      <c r="AC126" s="330">
        <f>AB126/VPI!R126</f>
        <v>0</v>
      </c>
      <c r="AD126" s="332">
        <f t="shared" si="6"/>
        <v>0</v>
      </c>
      <c r="AE126" s="330">
        <f>AD126/VPI!R126</f>
        <v>0</v>
      </c>
      <c r="AF126" s="503"/>
      <c r="AG126" s="503"/>
      <c r="AH126" s="503"/>
      <c r="AI126" s="562"/>
      <c r="AJ126" s="498"/>
      <c r="AK126" s="330">
        <f>AJ126/VPI!R126</f>
        <v>0</v>
      </c>
      <c r="AL126" s="332">
        <f t="shared" si="7"/>
        <v>0</v>
      </c>
      <c r="AM126" s="330">
        <f>AL126/VPI!R126</f>
        <v>0</v>
      </c>
      <c r="AN126" s="498"/>
      <c r="AO126" s="562"/>
      <c r="AP126" s="511">
        <v>33.879483037069917</v>
      </c>
      <c r="AR126" s="564">
        <v>0</v>
      </c>
    </row>
    <row r="127" spans="1:44" x14ac:dyDescent="0.25">
      <c r="A127" s="559">
        <v>5622</v>
      </c>
      <c r="B127" s="560" t="s">
        <v>130</v>
      </c>
      <c r="C127" s="488">
        <v>1513141.97</v>
      </c>
      <c r="D127" s="488">
        <v>269850.37</v>
      </c>
      <c r="E127" s="488"/>
      <c r="F127" s="489"/>
      <c r="G127" s="488">
        <v>69461.149999999994</v>
      </c>
      <c r="H127" s="488">
        <v>7400.6</v>
      </c>
      <c r="I127" s="488"/>
      <c r="J127" s="488">
        <v>8129.29</v>
      </c>
      <c r="K127" s="488">
        <v>7305.7</v>
      </c>
      <c r="L127" s="488">
        <v>164127.5</v>
      </c>
      <c r="M127" s="367">
        <f t="shared" si="4"/>
        <v>2039416.5799999998</v>
      </c>
      <c r="N127" s="492">
        <v>29575.9</v>
      </c>
      <c r="O127" s="492"/>
      <c r="P127" s="492">
        <v>51098.7</v>
      </c>
      <c r="Q127" s="492">
        <v>505.07</v>
      </c>
      <c r="R127" s="492">
        <v>52659.6</v>
      </c>
      <c r="S127" s="488">
        <v>7246.82</v>
      </c>
      <c r="T127" s="367">
        <f t="shared" si="5"/>
        <v>2180502.6699999995</v>
      </c>
      <c r="U127" s="490">
        <v>-13188.96</v>
      </c>
      <c r="V127" s="492"/>
      <c r="W127" s="492">
        <v>-417.04</v>
      </c>
      <c r="X127" s="496">
        <v>68</v>
      </c>
      <c r="Y127" s="497">
        <v>1</v>
      </c>
      <c r="Z127" s="498">
        <v>614</v>
      </c>
      <c r="AA127" s="561"/>
      <c r="AB127" s="503"/>
      <c r="AC127" s="330">
        <f>AB127/VPI!R127</f>
        <v>0</v>
      </c>
      <c r="AD127" s="332">
        <f t="shared" si="6"/>
        <v>0</v>
      </c>
      <c r="AE127" s="330">
        <f>AD127/VPI!R127</f>
        <v>0</v>
      </c>
      <c r="AF127" s="503"/>
      <c r="AG127" s="503"/>
      <c r="AH127" s="503"/>
      <c r="AI127" s="562"/>
      <c r="AJ127" s="498"/>
      <c r="AK127" s="330">
        <f>AJ127/VPI!R127</f>
        <v>0</v>
      </c>
      <c r="AL127" s="332">
        <f t="shared" si="7"/>
        <v>0</v>
      </c>
      <c r="AM127" s="330">
        <f>AL127/VPI!R127</f>
        <v>0</v>
      </c>
      <c r="AN127" s="498"/>
      <c r="AO127" s="562"/>
      <c r="AP127" s="511">
        <v>28.944995059568772</v>
      </c>
      <c r="AR127" s="564">
        <v>0</v>
      </c>
    </row>
    <row r="128" spans="1:44" x14ac:dyDescent="0.25">
      <c r="A128" s="559">
        <v>5623</v>
      </c>
      <c r="B128" s="560" t="s">
        <v>131</v>
      </c>
      <c r="C128" s="488">
        <v>2582526.08</v>
      </c>
      <c r="D128" s="488">
        <v>1544275.85</v>
      </c>
      <c r="E128" s="488"/>
      <c r="F128" s="489"/>
      <c r="G128" s="488">
        <v>6822.1</v>
      </c>
      <c r="H128" s="488">
        <v>219753.4</v>
      </c>
      <c r="I128" s="488">
        <v>162115.85</v>
      </c>
      <c r="J128" s="488">
        <v>-2896.32</v>
      </c>
      <c r="K128" s="488">
        <v>3049</v>
      </c>
      <c r="L128" s="488">
        <v>383053.6</v>
      </c>
      <c r="M128" s="367">
        <f t="shared" si="4"/>
        <v>4898699.5599999996</v>
      </c>
      <c r="N128" s="492">
        <v>7618.5</v>
      </c>
      <c r="O128" s="492">
        <v>63250</v>
      </c>
      <c r="P128" s="492">
        <v>178146.55</v>
      </c>
      <c r="Q128" s="492">
        <v>964.09</v>
      </c>
      <c r="R128" s="492"/>
      <c r="S128" s="488">
        <v>21362.41</v>
      </c>
      <c r="T128" s="367">
        <f t="shared" si="5"/>
        <v>5170041.1099999994</v>
      </c>
      <c r="U128" s="490">
        <v>-7832.05</v>
      </c>
      <c r="V128" s="492"/>
      <c r="W128" s="492">
        <v>-12338.85</v>
      </c>
      <c r="X128" s="496">
        <v>52</v>
      </c>
      <c r="Y128" s="497">
        <v>1</v>
      </c>
      <c r="Z128" s="498">
        <v>687</v>
      </c>
      <c r="AA128" s="561"/>
      <c r="AB128" s="503"/>
      <c r="AC128" s="330">
        <f>AB128/VPI!R128</f>
        <v>0</v>
      </c>
      <c r="AD128" s="332">
        <f t="shared" si="6"/>
        <v>0</v>
      </c>
      <c r="AE128" s="330">
        <f>AD128/VPI!R128</f>
        <v>0</v>
      </c>
      <c r="AF128" s="503"/>
      <c r="AG128" s="503"/>
      <c r="AH128" s="503"/>
      <c r="AI128" s="562"/>
      <c r="AJ128" s="498"/>
      <c r="AK128" s="330">
        <f>AJ128/VPI!R128</f>
        <v>0</v>
      </c>
      <c r="AL128" s="332">
        <f t="shared" si="7"/>
        <v>0</v>
      </c>
      <c r="AM128" s="330">
        <f>AL128/VPI!R128</f>
        <v>0</v>
      </c>
      <c r="AN128" s="498"/>
      <c r="AO128" s="562"/>
      <c r="AP128" s="511">
        <v>42.9994402979002</v>
      </c>
      <c r="AR128" s="564">
        <v>1</v>
      </c>
    </row>
    <row r="129" spans="1:50" x14ac:dyDescent="0.25">
      <c r="A129" s="559">
        <v>5624</v>
      </c>
      <c r="B129" s="560" t="s">
        <v>350</v>
      </c>
      <c r="C129" s="488">
        <v>17103998.77</v>
      </c>
      <c r="D129" s="488">
        <v>1613071.8</v>
      </c>
      <c r="E129" s="488"/>
      <c r="F129" s="489"/>
      <c r="G129" s="488">
        <v>2700699.75</v>
      </c>
      <c r="H129" s="488">
        <v>391330.05</v>
      </c>
      <c r="I129" s="488"/>
      <c r="J129" s="488">
        <v>847901.82</v>
      </c>
      <c r="K129" s="488">
        <v>490647</v>
      </c>
      <c r="L129" s="488">
        <v>3178778.45</v>
      </c>
      <c r="M129" s="367">
        <f t="shared" ref="M129:M191" si="8">SUM(C129:L129)</f>
        <v>26326427.640000001</v>
      </c>
      <c r="N129" s="492">
        <v>1181413.95</v>
      </c>
      <c r="O129" s="492">
        <v>353474.1</v>
      </c>
      <c r="P129" s="492">
        <v>1491805</v>
      </c>
      <c r="Q129" s="492">
        <v>29595.65</v>
      </c>
      <c r="R129" s="492">
        <v>800497.25</v>
      </c>
      <c r="S129" s="488">
        <v>291528.43</v>
      </c>
      <c r="T129" s="367">
        <f t="shared" ref="T129:T191" si="9">SUM(M129:S129)</f>
        <v>30474742.02</v>
      </c>
      <c r="U129" s="490">
        <v>-249617.01</v>
      </c>
      <c r="V129" s="492"/>
      <c r="W129" s="492">
        <v>-3052.1</v>
      </c>
      <c r="X129" s="496">
        <v>62.5</v>
      </c>
      <c r="Y129" s="497">
        <v>1.25</v>
      </c>
      <c r="Z129" s="498">
        <v>10645</v>
      </c>
      <c r="AA129" s="561"/>
      <c r="AB129" s="503"/>
      <c r="AC129" s="330">
        <f>AB129/VPI!R129</f>
        <v>0</v>
      </c>
      <c r="AD129" s="332">
        <f t="shared" si="6"/>
        <v>0</v>
      </c>
      <c r="AE129" s="330">
        <f>AD129/VPI!R129</f>
        <v>0</v>
      </c>
      <c r="AF129" s="503"/>
      <c r="AG129" s="503"/>
      <c r="AH129" s="503"/>
      <c r="AI129" s="562"/>
      <c r="AJ129" s="498"/>
      <c r="AK129" s="330">
        <f>AJ129/VPI!R129</f>
        <v>0</v>
      </c>
      <c r="AL129" s="332">
        <f t="shared" si="7"/>
        <v>0</v>
      </c>
      <c r="AM129" s="330">
        <f>AL129/VPI!R129</f>
        <v>0</v>
      </c>
      <c r="AN129" s="498"/>
      <c r="AO129" s="562"/>
      <c r="AP129" s="511">
        <v>20.538265730546637</v>
      </c>
      <c r="AR129" s="564">
        <v>1</v>
      </c>
    </row>
    <row r="130" spans="1:50" x14ac:dyDescent="0.25">
      <c r="A130" s="559">
        <v>5627</v>
      </c>
      <c r="B130" s="560" t="s">
        <v>220</v>
      </c>
      <c r="C130" s="488">
        <v>10701556.99</v>
      </c>
      <c r="D130" s="488">
        <v>666831.11</v>
      </c>
      <c r="E130" s="488"/>
      <c r="F130" s="489"/>
      <c r="G130" s="488">
        <v>1154028.8999999999</v>
      </c>
      <c r="H130" s="488">
        <v>258418.3</v>
      </c>
      <c r="I130" s="488"/>
      <c r="J130" s="488">
        <v>1008499.9</v>
      </c>
      <c r="K130" s="488">
        <v>397209.75</v>
      </c>
      <c r="L130" s="488">
        <v>1882577.1</v>
      </c>
      <c r="M130" s="367">
        <f t="shared" si="8"/>
        <v>16069122.050000001</v>
      </c>
      <c r="N130" s="492">
        <v>500773.4</v>
      </c>
      <c r="O130" s="492">
        <v>75198.899999999994</v>
      </c>
      <c r="P130" s="492">
        <v>527485.80000000005</v>
      </c>
      <c r="Q130" s="492">
        <v>47005.56</v>
      </c>
      <c r="R130" s="492">
        <v>69842.05</v>
      </c>
      <c r="S130" s="488">
        <v>133170.94</v>
      </c>
      <c r="T130" s="367">
        <f t="shared" si="9"/>
        <v>17422598.700000003</v>
      </c>
      <c r="U130" s="490">
        <v>-293203.90000000002</v>
      </c>
      <c r="V130" s="492"/>
      <c r="W130" s="492">
        <v>-2450.71</v>
      </c>
      <c r="X130" s="496">
        <v>77.5</v>
      </c>
      <c r="Y130" s="497">
        <v>1.5</v>
      </c>
      <c r="Z130" s="498">
        <v>9337</v>
      </c>
      <c r="AA130" s="561"/>
      <c r="AB130" s="503"/>
      <c r="AC130" s="330">
        <f>AB130/VPI!R130</f>
        <v>0</v>
      </c>
      <c r="AD130" s="332">
        <f t="shared" si="6"/>
        <v>0</v>
      </c>
      <c r="AE130" s="330">
        <f>AD130/VPI!R130</f>
        <v>0</v>
      </c>
      <c r="AF130" s="503"/>
      <c r="AG130" s="503"/>
      <c r="AH130" s="503"/>
      <c r="AI130" s="562"/>
      <c r="AJ130" s="498"/>
      <c r="AK130" s="330">
        <f>AJ130/VPI!R130</f>
        <v>0</v>
      </c>
      <c r="AL130" s="332">
        <f t="shared" si="7"/>
        <v>0</v>
      </c>
      <c r="AM130" s="330">
        <f>AL130/VPI!R130</f>
        <v>0</v>
      </c>
      <c r="AN130" s="498"/>
      <c r="AO130" s="562"/>
      <c r="AP130" s="511">
        <v>-13.259536208510648</v>
      </c>
      <c r="AR130" s="564">
        <v>1</v>
      </c>
    </row>
    <row r="131" spans="1:50" x14ac:dyDescent="0.25">
      <c r="A131" s="559">
        <v>5628</v>
      </c>
      <c r="B131" s="560" t="s">
        <v>221</v>
      </c>
      <c r="C131" s="488">
        <v>1718574.32</v>
      </c>
      <c r="D131" s="488">
        <v>0</v>
      </c>
      <c r="E131" s="488"/>
      <c r="F131" s="489"/>
      <c r="G131" s="488">
        <v>9381.7999999999993</v>
      </c>
      <c r="H131" s="488">
        <v>586.25</v>
      </c>
      <c r="I131" s="488"/>
      <c r="J131" s="488">
        <v>23677.25</v>
      </c>
      <c r="K131" s="488">
        <v>-6306</v>
      </c>
      <c r="L131" s="488">
        <v>113188.3</v>
      </c>
      <c r="M131" s="367">
        <f t="shared" si="8"/>
        <v>1859101.9200000002</v>
      </c>
      <c r="N131" s="492">
        <v>3831.1</v>
      </c>
      <c r="O131" s="492">
        <v>92961</v>
      </c>
      <c r="P131" s="492">
        <v>42020</v>
      </c>
      <c r="Q131" s="492"/>
      <c r="R131" s="492">
        <v>37829.15</v>
      </c>
      <c r="S131" s="488">
        <v>939.83</v>
      </c>
      <c r="T131" s="367">
        <f t="shared" si="9"/>
        <v>2036683.0000000002</v>
      </c>
      <c r="U131" s="490">
        <v>-16900.490000000002</v>
      </c>
      <c r="V131" s="492"/>
      <c r="W131" s="492">
        <v>-1659.3</v>
      </c>
      <c r="X131" s="496">
        <v>62</v>
      </c>
      <c r="Y131" s="497">
        <v>1</v>
      </c>
      <c r="Z131" s="498">
        <v>422</v>
      </c>
      <c r="AA131" s="561"/>
      <c r="AB131" s="503"/>
      <c r="AC131" s="330">
        <f>AB131/VPI!R131</f>
        <v>0</v>
      </c>
      <c r="AD131" s="332">
        <f t="shared" si="6"/>
        <v>0</v>
      </c>
      <c r="AE131" s="330">
        <f>AD131/VPI!R131</f>
        <v>0</v>
      </c>
      <c r="AF131" s="503"/>
      <c r="AG131" s="503"/>
      <c r="AH131" s="503"/>
      <c r="AI131" s="562"/>
      <c r="AJ131" s="498"/>
      <c r="AK131" s="330">
        <f>AJ131/VPI!R131</f>
        <v>0</v>
      </c>
      <c r="AL131" s="332">
        <f t="shared" si="7"/>
        <v>0</v>
      </c>
      <c r="AM131" s="330">
        <f>AL131/VPI!R131</f>
        <v>0</v>
      </c>
      <c r="AN131" s="498"/>
      <c r="AO131" s="562"/>
      <c r="AP131" s="511">
        <v>32.834550525635485</v>
      </c>
      <c r="AR131" s="564">
        <v>0</v>
      </c>
    </row>
    <row r="132" spans="1:50" x14ac:dyDescent="0.25">
      <c r="A132" s="559">
        <v>5629</v>
      </c>
      <c r="B132" s="560" t="s">
        <v>134</v>
      </c>
      <c r="C132" s="488">
        <v>679203.64</v>
      </c>
      <c r="D132" s="488">
        <v>81648.740000000005</v>
      </c>
      <c r="E132" s="488"/>
      <c r="F132" s="489"/>
      <c r="G132" s="488">
        <v>5333.25</v>
      </c>
      <c r="H132" s="488">
        <v>513.75</v>
      </c>
      <c r="I132" s="488"/>
      <c r="J132" s="488">
        <v>812.77</v>
      </c>
      <c r="K132" s="488">
        <v>537</v>
      </c>
      <c r="L132" s="488">
        <v>39015</v>
      </c>
      <c r="M132" s="367">
        <f t="shared" si="8"/>
        <v>807064.15</v>
      </c>
      <c r="N132" s="492">
        <v>0</v>
      </c>
      <c r="O132" s="492"/>
      <c r="P132" s="492">
        <v>13915</v>
      </c>
      <c r="Q132" s="492"/>
      <c r="R132" s="492">
        <v>23934.3</v>
      </c>
      <c r="S132" s="488">
        <v>551.28</v>
      </c>
      <c r="T132" s="367">
        <f t="shared" si="9"/>
        <v>845464.7300000001</v>
      </c>
      <c r="U132" s="490">
        <v>-68.489999999999995</v>
      </c>
      <c r="V132" s="492"/>
      <c r="W132" s="492">
        <v>-70.849999999999994</v>
      </c>
      <c r="X132" s="496">
        <v>72</v>
      </c>
      <c r="Y132" s="497">
        <v>1</v>
      </c>
      <c r="Z132" s="498">
        <v>219</v>
      </c>
      <c r="AA132" s="561"/>
      <c r="AB132" s="503"/>
      <c r="AC132" s="330">
        <f>AB132/VPI!R132</f>
        <v>0</v>
      </c>
      <c r="AD132" s="332">
        <f t="shared" si="6"/>
        <v>0</v>
      </c>
      <c r="AE132" s="330">
        <f>AD132/VPI!R132</f>
        <v>0</v>
      </c>
      <c r="AF132" s="503"/>
      <c r="AG132" s="503"/>
      <c r="AH132" s="503"/>
      <c r="AI132" s="562"/>
      <c r="AJ132" s="498"/>
      <c r="AK132" s="330">
        <f>AJ132/VPI!R132</f>
        <v>0</v>
      </c>
      <c r="AL132" s="332">
        <f t="shared" si="7"/>
        <v>0</v>
      </c>
      <c r="AM132" s="330">
        <f>AL132/VPI!R132</f>
        <v>0</v>
      </c>
      <c r="AN132" s="498"/>
      <c r="AO132" s="562"/>
      <c r="AP132" s="511">
        <v>27.270505252024943</v>
      </c>
      <c r="AR132" s="564">
        <v>0</v>
      </c>
    </row>
    <row r="133" spans="1:50" x14ac:dyDescent="0.25">
      <c r="A133" s="559">
        <v>5631</v>
      </c>
      <c r="B133" s="560" t="s">
        <v>135</v>
      </c>
      <c r="C133" s="488">
        <v>1977859</v>
      </c>
      <c r="D133" s="488">
        <v>502846.23</v>
      </c>
      <c r="E133" s="488"/>
      <c r="F133" s="489"/>
      <c r="G133" s="488">
        <v>190140.15</v>
      </c>
      <c r="H133" s="488">
        <v>1939.25</v>
      </c>
      <c r="I133" s="488">
        <v>195003.85</v>
      </c>
      <c r="J133" s="488">
        <v>12061.65</v>
      </c>
      <c r="K133" s="488">
        <v>2656.15</v>
      </c>
      <c r="L133" s="488">
        <v>222279.95</v>
      </c>
      <c r="M133" s="367">
        <f t="shared" si="8"/>
        <v>3104786.23</v>
      </c>
      <c r="N133" s="492">
        <v>0</v>
      </c>
      <c r="O133" s="492"/>
      <c r="P133" s="492">
        <v>151201.45000000001</v>
      </c>
      <c r="Q133" s="492"/>
      <c r="R133" s="492">
        <v>175528.95</v>
      </c>
      <c r="S133" s="488">
        <v>18109.98</v>
      </c>
      <c r="T133" s="367">
        <f t="shared" si="9"/>
        <v>3449626.6100000003</v>
      </c>
      <c r="U133" s="490">
        <v>-31988.799999999999</v>
      </c>
      <c r="V133" s="492"/>
      <c r="W133" s="492">
        <v>-3390.71</v>
      </c>
      <c r="X133" s="496">
        <v>65</v>
      </c>
      <c r="Y133" s="497">
        <v>1</v>
      </c>
      <c r="Z133" s="498">
        <v>742</v>
      </c>
      <c r="AA133" s="561"/>
      <c r="AB133" s="503"/>
      <c r="AC133" s="330">
        <f>AB133/VPI!R133</f>
        <v>0</v>
      </c>
      <c r="AD133" s="332">
        <f t="shared" si="6"/>
        <v>0</v>
      </c>
      <c r="AE133" s="330">
        <f>AD133/VPI!R133</f>
        <v>0</v>
      </c>
      <c r="AF133" s="503"/>
      <c r="AG133" s="503"/>
      <c r="AH133" s="503"/>
      <c r="AI133" s="562"/>
      <c r="AJ133" s="498"/>
      <c r="AK133" s="330">
        <f>AJ133/VPI!R133</f>
        <v>0</v>
      </c>
      <c r="AL133" s="332">
        <f t="shared" si="7"/>
        <v>0</v>
      </c>
      <c r="AM133" s="330">
        <f>AL133/VPI!R133</f>
        <v>0</v>
      </c>
      <c r="AN133" s="498"/>
      <c r="AO133" s="562"/>
      <c r="AP133" s="511">
        <v>30.876343488098705</v>
      </c>
      <c r="AR133" s="564">
        <v>0</v>
      </c>
    </row>
    <row r="134" spans="1:50" x14ac:dyDescent="0.25">
      <c r="A134" s="559">
        <v>5632</v>
      </c>
      <c r="B134" s="560" t="s">
        <v>136</v>
      </c>
      <c r="C134" s="488">
        <v>3916181.59</v>
      </c>
      <c r="D134" s="488">
        <v>676625.06</v>
      </c>
      <c r="E134" s="488"/>
      <c r="F134" s="489"/>
      <c r="G134" s="488">
        <v>305007</v>
      </c>
      <c r="H134" s="488">
        <v>13218.75</v>
      </c>
      <c r="I134" s="488"/>
      <c r="J134" s="488">
        <v>244661.84</v>
      </c>
      <c r="K134" s="488">
        <v>26164.6</v>
      </c>
      <c r="L134" s="488">
        <v>390482.4</v>
      </c>
      <c r="M134" s="367">
        <f t="shared" si="8"/>
        <v>5572341.2400000002</v>
      </c>
      <c r="N134" s="492">
        <v>137381.25</v>
      </c>
      <c r="O134" s="492">
        <v>34124</v>
      </c>
      <c r="P134" s="492">
        <v>237047.35</v>
      </c>
      <c r="Q134" s="492">
        <v>14714.24</v>
      </c>
      <c r="R134" s="492">
        <v>169251.65</v>
      </c>
      <c r="S134" s="488">
        <v>30003.54</v>
      </c>
      <c r="T134" s="367">
        <f t="shared" si="9"/>
        <v>6194863.2700000005</v>
      </c>
      <c r="U134" s="490">
        <v>-46486.239999999998</v>
      </c>
      <c r="V134" s="492"/>
      <c r="W134" s="492">
        <v>-2029.35</v>
      </c>
      <c r="X134" s="496">
        <v>62</v>
      </c>
      <c r="Y134" s="497">
        <v>1</v>
      </c>
      <c r="Z134" s="498">
        <v>1821</v>
      </c>
      <c r="AA134" s="561"/>
      <c r="AB134" s="503"/>
      <c r="AC134" s="330">
        <f>AB134/VPI!R134</f>
        <v>0</v>
      </c>
      <c r="AD134" s="332">
        <f t="shared" si="6"/>
        <v>0</v>
      </c>
      <c r="AE134" s="330">
        <f>AD134/VPI!R134</f>
        <v>0</v>
      </c>
      <c r="AF134" s="503"/>
      <c r="AG134" s="503"/>
      <c r="AH134" s="503"/>
      <c r="AI134" s="562"/>
      <c r="AJ134" s="498"/>
      <c r="AK134" s="330">
        <f>AJ134/VPI!R134</f>
        <v>0</v>
      </c>
      <c r="AL134" s="332">
        <f t="shared" si="7"/>
        <v>0</v>
      </c>
      <c r="AM134" s="330">
        <f>AL134/VPI!R134</f>
        <v>0</v>
      </c>
      <c r="AN134" s="498"/>
      <c r="AO134" s="562"/>
      <c r="AP134" s="511">
        <v>24.898941948876917</v>
      </c>
      <c r="AR134" s="564">
        <v>0</v>
      </c>
    </row>
    <row r="135" spans="1:50" x14ac:dyDescent="0.25">
      <c r="A135" s="559">
        <v>5633</v>
      </c>
      <c r="B135" s="560" t="s">
        <v>137</v>
      </c>
      <c r="C135" s="488">
        <v>6177596.3300000001</v>
      </c>
      <c r="D135" s="488">
        <v>1367891.77</v>
      </c>
      <c r="E135" s="488"/>
      <c r="F135" s="489"/>
      <c r="G135" s="488">
        <v>381518.2</v>
      </c>
      <c r="H135" s="488">
        <v>65227.9</v>
      </c>
      <c r="I135" s="488"/>
      <c r="J135" s="488">
        <v>221652.51</v>
      </c>
      <c r="K135" s="488">
        <v>241.85</v>
      </c>
      <c r="L135" s="488">
        <v>703148.8</v>
      </c>
      <c r="M135" s="367">
        <f t="shared" si="8"/>
        <v>8917277.3599999994</v>
      </c>
      <c r="N135" s="492">
        <v>284462.05</v>
      </c>
      <c r="O135" s="492">
        <v>259472.8</v>
      </c>
      <c r="P135" s="492">
        <v>460639.7</v>
      </c>
      <c r="Q135" s="492">
        <v>6283.42</v>
      </c>
      <c r="R135" s="492">
        <v>368326</v>
      </c>
      <c r="S135" s="488">
        <v>42120.94</v>
      </c>
      <c r="T135" s="367">
        <f t="shared" si="9"/>
        <v>10338582.27</v>
      </c>
      <c r="U135" s="490">
        <v>-85067.25</v>
      </c>
      <c r="V135" s="492"/>
      <c r="W135" s="492">
        <v>-10287.950000000001</v>
      </c>
      <c r="X135" s="496">
        <v>60.5</v>
      </c>
      <c r="Y135" s="497">
        <v>1</v>
      </c>
      <c r="Z135" s="498">
        <v>2910</v>
      </c>
      <c r="AA135" s="561"/>
      <c r="AB135" s="503"/>
      <c r="AC135" s="330">
        <f>AB135/VPI!R135</f>
        <v>0</v>
      </c>
      <c r="AD135" s="332">
        <f t="shared" ref="AD135:AD198" si="10">AF135-AB135</f>
        <v>0</v>
      </c>
      <c r="AE135" s="330">
        <f>AD135/VPI!R135</f>
        <v>0</v>
      </c>
      <c r="AF135" s="503"/>
      <c r="AG135" s="503"/>
      <c r="AH135" s="503"/>
      <c r="AI135" s="562"/>
      <c r="AJ135" s="498"/>
      <c r="AK135" s="330">
        <f>AJ135/VPI!R135</f>
        <v>0</v>
      </c>
      <c r="AL135" s="332">
        <f t="shared" ref="AL135:AL198" si="11">AN135-AJ135</f>
        <v>0</v>
      </c>
      <c r="AM135" s="330">
        <f>AL135/VPI!R135</f>
        <v>0</v>
      </c>
      <c r="AN135" s="498"/>
      <c r="AO135" s="562"/>
      <c r="AP135" s="511">
        <v>26.139340208247781</v>
      </c>
      <c r="AR135" s="564">
        <v>0</v>
      </c>
    </row>
    <row r="136" spans="1:50" x14ac:dyDescent="0.25">
      <c r="A136" s="559">
        <v>5634</v>
      </c>
      <c r="B136" s="560" t="s">
        <v>138</v>
      </c>
      <c r="C136" s="488">
        <v>9182212.6400000006</v>
      </c>
      <c r="D136" s="488">
        <v>1748517.04</v>
      </c>
      <c r="E136" s="488"/>
      <c r="F136" s="489"/>
      <c r="G136" s="488">
        <v>147573.15</v>
      </c>
      <c r="H136" s="488">
        <v>14888.85</v>
      </c>
      <c r="I136" s="488">
        <v>23297.200000000001</v>
      </c>
      <c r="J136" s="488">
        <v>41863.08</v>
      </c>
      <c r="K136" s="488">
        <v>30300.799999999999</v>
      </c>
      <c r="L136" s="488">
        <v>770083.9</v>
      </c>
      <c r="M136" s="367">
        <f t="shared" si="8"/>
        <v>11958736.66</v>
      </c>
      <c r="N136" s="492">
        <v>63745.35</v>
      </c>
      <c r="O136" s="492">
        <v>747901.4</v>
      </c>
      <c r="P136" s="492">
        <v>503956.15</v>
      </c>
      <c r="Q136" s="492">
        <v>29323.51</v>
      </c>
      <c r="R136" s="492">
        <v>289991.05</v>
      </c>
      <c r="S136" s="488">
        <v>15317.54</v>
      </c>
      <c r="T136" s="367">
        <f t="shared" si="9"/>
        <v>13608971.66</v>
      </c>
      <c r="U136" s="490">
        <v>-18616.57</v>
      </c>
      <c r="V136" s="492"/>
      <c r="W136" s="492">
        <v>-10775</v>
      </c>
      <c r="X136" s="496">
        <v>66</v>
      </c>
      <c r="Y136" s="497">
        <v>1</v>
      </c>
      <c r="Z136" s="498">
        <v>3181</v>
      </c>
      <c r="AA136" s="561"/>
      <c r="AB136" s="503"/>
      <c r="AC136" s="330">
        <f>AB136/VPI!R136</f>
        <v>0</v>
      </c>
      <c r="AD136" s="332">
        <f t="shared" si="10"/>
        <v>0</v>
      </c>
      <c r="AE136" s="330">
        <f>AD136/VPI!R136</f>
        <v>0</v>
      </c>
      <c r="AF136" s="503"/>
      <c r="AG136" s="503"/>
      <c r="AH136" s="503"/>
      <c r="AI136" s="562"/>
      <c r="AJ136" s="498"/>
      <c r="AK136" s="330">
        <f>AJ136/VPI!R136</f>
        <v>0</v>
      </c>
      <c r="AL136" s="332">
        <f t="shared" si="11"/>
        <v>0</v>
      </c>
      <c r="AM136" s="330">
        <f>AL136/VPI!R136</f>
        <v>0</v>
      </c>
      <c r="AN136" s="498"/>
      <c r="AO136" s="562"/>
      <c r="AP136" s="511">
        <v>27.513515370306823</v>
      </c>
      <c r="AR136" s="564">
        <v>0</v>
      </c>
    </row>
    <row r="137" spans="1:50" x14ac:dyDescent="0.25">
      <c r="A137" s="559">
        <v>5635</v>
      </c>
      <c r="B137" s="560" t="s">
        <v>139</v>
      </c>
      <c r="C137" s="488">
        <v>20953332.850000001</v>
      </c>
      <c r="D137" s="488">
        <v>3360432.73</v>
      </c>
      <c r="E137" s="488"/>
      <c r="F137" s="489"/>
      <c r="G137" s="488">
        <v>1383704.5</v>
      </c>
      <c r="H137" s="488">
        <v>847704.3</v>
      </c>
      <c r="I137" s="488">
        <v>195689.7</v>
      </c>
      <c r="J137" s="488">
        <v>1821293.91</v>
      </c>
      <c r="K137" s="488">
        <v>490959.2</v>
      </c>
      <c r="L137" s="488">
        <v>3160902.75</v>
      </c>
      <c r="M137" s="367">
        <f t="shared" si="8"/>
        <v>32214019.940000001</v>
      </c>
      <c r="N137" s="492">
        <v>2685309.25</v>
      </c>
      <c r="O137" s="492">
        <v>779542</v>
      </c>
      <c r="P137" s="492">
        <v>2095756.8</v>
      </c>
      <c r="Q137" s="492">
        <v>59962.04</v>
      </c>
      <c r="R137" s="492">
        <v>1083074.25</v>
      </c>
      <c r="S137" s="488">
        <v>210385.78</v>
      </c>
      <c r="T137" s="367">
        <f t="shared" si="9"/>
        <v>39128050.059999995</v>
      </c>
      <c r="U137" s="490">
        <v>-312250.90000000002</v>
      </c>
      <c r="V137" s="492"/>
      <c r="W137" s="492">
        <v>-47751.29</v>
      </c>
      <c r="X137" s="496">
        <v>62.5</v>
      </c>
      <c r="Y137" s="497">
        <v>1.2</v>
      </c>
      <c r="Z137" s="498">
        <v>13334</v>
      </c>
      <c r="AA137" s="561"/>
      <c r="AB137" s="503"/>
      <c r="AC137" s="330">
        <f>AB137/VPI!R137</f>
        <v>0</v>
      </c>
      <c r="AD137" s="332">
        <f t="shared" si="10"/>
        <v>0</v>
      </c>
      <c r="AE137" s="330">
        <f>AD137/VPI!R137</f>
        <v>0</v>
      </c>
      <c r="AF137" s="503"/>
      <c r="AG137" s="503"/>
      <c r="AH137" s="503"/>
      <c r="AI137" s="562"/>
      <c r="AJ137" s="498"/>
      <c r="AK137" s="330">
        <f>AJ137/VPI!R137</f>
        <v>0</v>
      </c>
      <c r="AL137" s="332">
        <f t="shared" si="11"/>
        <v>0</v>
      </c>
      <c r="AM137" s="330">
        <f>AL137/VPI!R137</f>
        <v>0</v>
      </c>
      <c r="AN137" s="498"/>
      <c r="AO137" s="562"/>
      <c r="AP137" s="511">
        <v>11.334243809462643</v>
      </c>
      <c r="AR137" s="564">
        <v>1</v>
      </c>
    </row>
    <row r="138" spans="1:50" x14ac:dyDescent="0.25">
      <c r="A138" s="559">
        <v>5636</v>
      </c>
      <c r="B138" s="560" t="s">
        <v>140</v>
      </c>
      <c r="C138" s="488">
        <v>6309461.2599999998</v>
      </c>
      <c r="D138" s="488">
        <v>938611.99</v>
      </c>
      <c r="E138" s="488"/>
      <c r="F138" s="489"/>
      <c r="G138" s="488">
        <v>4426543.25</v>
      </c>
      <c r="H138" s="488">
        <v>244917.2</v>
      </c>
      <c r="I138" s="488">
        <v>40281.1</v>
      </c>
      <c r="J138" s="488">
        <v>446627.81</v>
      </c>
      <c r="K138" s="488">
        <v>303477.45</v>
      </c>
      <c r="L138" s="488">
        <v>1252057.3999999999</v>
      </c>
      <c r="M138" s="367">
        <f t="shared" si="8"/>
        <v>13961977.459999999</v>
      </c>
      <c r="N138" s="492">
        <v>670981.55000000005</v>
      </c>
      <c r="O138" s="492">
        <v>538231.6</v>
      </c>
      <c r="P138" s="492">
        <v>587618.44999999995</v>
      </c>
      <c r="Q138" s="492">
        <v>4666.38</v>
      </c>
      <c r="R138" s="492">
        <v>634036.30000000005</v>
      </c>
      <c r="S138" s="488">
        <v>440443.21</v>
      </c>
      <c r="T138" s="367">
        <f t="shared" si="9"/>
        <v>16837954.949999999</v>
      </c>
      <c r="U138" s="490">
        <v>-203100.75</v>
      </c>
      <c r="V138" s="492"/>
      <c r="W138" s="492">
        <v>-1738.77</v>
      </c>
      <c r="X138" s="496">
        <v>60</v>
      </c>
      <c r="Y138" s="497">
        <v>1</v>
      </c>
      <c r="Z138" s="498">
        <v>2920</v>
      </c>
      <c r="AA138" s="561"/>
      <c r="AB138" s="503"/>
      <c r="AC138" s="330">
        <f>AB138/VPI!R138</f>
        <v>0</v>
      </c>
      <c r="AD138" s="332">
        <f t="shared" si="10"/>
        <v>0</v>
      </c>
      <c r="AE138" s="330">
        <f>AD138/VPI!R138</f>
        <v>0</v>
      </c>
      <c r="AF138" s="503"/>
      <c r="AG138" s="503"/>
      <c r="AH138" s="503"/>
      <c r="AI138" s="562"/>
      <c r="AJ138" s="498"/>
      <c r="AK138" s="330">
        <f>AJ138/VPI!R138</f>
        <v>0</v>
      </c>
      <c r="AL138" s="332">
        <f t="shared" si="11"/>
        <v>0</v>
      </c>
      <c r="AM138" s="330">
        <f>AL138/VPI!R138</f>
        <v>0</v>
      </c>
      <c r="AN138" s="498"/>
      <c r="AO138" s="562"/>
      <c r="AP138" s="511">
        <v>29.967755684176353</v>
      </c>
      <c r="AR138" s="564">
        <v>0</v>
      </c>
    </row>
    <row r="139" spans="1:50" x14ac:dyDescent="0.25">
      <c r="A139" s="559">
        <v>5637</v>
      </c>
      <c r="B139" s="560" t="s">
        <v>141</v>
      </c>
      <c r="C139" s="488">
        <v>2234992.16</v>
      </c>
      <c r="D139" s="488">
        <v>265438.40999999997</v>
      </c>
      <c r="E139" s="488"/>
      <c r="F139" s="489"/>
      <c r="G139" s="488">
        <v>39734.800000000003</v>
      </c>
      <c r="H139" s="488">
        <v>2747.85</v>
      </c>
      <c r="I139" s="488"/>
      <c r="J139" s="488">
        <v>72031.02</v>
      </c>
      <c r="K139" s="488">
        <v>7068.35</v>
      </c>
      <c r="L139" s="488">
        <v>306178.5</v>
      </c>
      <c r="M139" s="367">
        <f t="shared" si="8"/>
        <v>2928191.0900000003</v>
      </c>
      <c r="N139" s="492">
        <v>340164.3</v>
      </c>
      <c r="O139" s="492">
        <v>13458.2</v>
      </c>
      <c r="P139" s="492">
        <v>92782.35</v>
      </c>
      <c r="Q139" s="492">
        <v>3343.52</v>
      </c>
      <c r="R139" s="492">
        <v>60005.65</v>
      </c>
      <c r="S139" s="488">
        <v>4005.43</v>
      </c>
      <c r="T139" s="367">
        <f t="shared" si="9"/>
        <v>3441950.5400000005</v>
      </c>
      <c r="U139" s="490">
        <v>-38130.93</v>
      </c>
      <c r="V139" s="492"/>
      <c r="W139" s="492">
        <v>-705</v>
      </c>
      <c r="X139" s="496">
        <v>73</v>
      </c>
      <c r="Y139" s="497">
        <v>1.5</v>
      </c>
      <c r="Z139" s="498">
        <v>1052</v>
      </c>
      <c r="AA139" s="561"/>
      <c r="AB139" s="503"/>
      <c r="AC139" s="330">
        <f>AB139/VPI!R139</f>
        <v>0</v>
      </c>
      <c r="AD139" s="332">
        <f t="shared" si="10"/>
        <v>0</v>
      </c>
      <c r="AE139" s="330">
        <f>AD139/VPI!R139</f>
        <v>0</v>
      </c>
      <c r="AF139" s="503"/>
      <c r="AG139" s="503"/>
      <c r="AH139" s="503"/>
      <c r="AI139" s="562"/>
      <c r="AJ139" s="498"/>
      <c r="AK139" s="330">
        <f>AJ139/VPI!R139</f>
        <v>0</v>
      </c>
      <c r="AL139" s="332">
        <f t="shared" si="11"/>
        <v>0</v>
      </c>
      <c r="AM139" s="330">
        <f>AL139/VPI!R139</f>
        <v>0</v>
      </c>
      <c r="AN139" s="498"/>
      <c r="AO139" s="562"/>
      <c r="AP139" s="511">
        <v>18.615956169376492</v>
      </c>
      <c r="AR139" s="564">
        <v>0</v>
      </c>
    </row>
    <row r="140" spans="1:50" x14ac:dyDescent="0.25">
      <c r="A140" s="559">
        <v>5638</v>
      </c>
      <c r="B140" s="560" t="s">
        <v>142</v>
      </c>
      <c r="C140" s="488">
        <v>6454684.5700000003</v>
      </c>
      <c r="D140" s="488">
        <v>1245910.43</v>
      </c>
      <c r="E140" s="488"/>
      <c r="F140" s="489"/>
      <c r="G140" s="488">
        <v>524951.4</v>
      </c>
      <c r="H140" s="488">
        <v>81302.7</v>
      </c>
      <c r="I140" s="488">
        <v>24073.35</v>
      </c>
      <c r="J140" s="488">
        <v>126094.53</v>
      </c>
      <c r="K140" s="488">
        <v>77534.600000000006</v>
      </c>
      <c r="L140" s="488">
        <v>735391</v>
      </c>
      <c r="M140" s="367">
        <f t="shared" si="8"/>
        <v>9269942.5800000001</v>
      </c>
      <c r="N140" s="492">
        <v>328627.84999999998</v>
      </c>
      <c r="O140" s="492">
        <v>10898612.199999999</v>
      </c>
      <c r="P140" s="492">
        <v>383120.4</v>
      </c>
      <c r="Q140" s="492">
        <v>2326.1999999999998</v>
      </c>
      <c r="R140" s="492">
        <v>401844.35</v>
      </c>
      <c r="S140" s="488">
        <v>57159.96</v>
      </c>
      <c r="T140" s="367">
        <f t="shared" si="9"/>
        <v>21341633.539999999</v>
      </c>
      <c r="U140" s="490">
        <v>-55063.14</v>
      </c>
      <c r="V140" s="492"/>
      <c r="W140" s="492">
        <v>-6475.53</v>
      </c>
      <c r="X140" s="496">
        <v>55</v>
      </c>
      <c r="Y140" s="497">
        <v>1</v>
      </c>
      <c r="Z140" s="498">
        <v>2693</v>
      </c>
      <c r="AA140" s="561"/>
      <c r="AB140" s="503"/>
      <c r="AC140" s="330">
        <f>AB140/VPI!R140</f>
        <v>0</v>
      </c>
      <c r="AD140" s="332">
        <f t="shared" si="10"/>
        <v>0</v>
      </c>
      <c r="AE140" s="330">
        <f>AD140/VPI!R140</f>
        <v>0</v>
      </c>
      <c r="AF140" s="503"/>
      <c r="AG140" s="503"/>
      <c r="AH140" s="503"/>
      <c r="AI140" s="562"/>
      <c r="AJ140" s="498"/>
      <c r="AK140" s="330">
        <f>AJ140/VPI!R140</f>
        <v>0</v>
      </c>
      <c r="AL140" s="332">
        <f t="shared" si="11"/>
        <v>0</v>
      </c>
      <c r="AM140" s="330">
        <f>AL140/VPI!R140</f>
        <v>0</v>
      </c>
      <c r="AN140" s="498"/>
      <c r="AO140" s="562"/>
      <c r="AP140" s="511">
        <v>27.737744388108133</v>
      </c>
      <c r="AR140" s="564">
        <v>0</v>
      </c>
    </row>
    <row r="141" spans="1:50" x14ac:dyDescent="0.25">
      <c r="A141" s="559">
        <v>5639</v>
      </c>
      <c r="B141" s="560" t="s">
        <v>143</v>
      </c>
      <c r="C141" s="488">
        <v>2179542.84</v>
      </c>
      <c r="D141" s="488">
        <v>668931.6</v>
      </c>
      <c r="E141" s="488"/>
      <c r="F141" s="489"/>
      <c r="G141" s="488">
        <v>22642.9</v>
      </c>
      <c r="H141" s="488">
        <v>7071.8</v>
      </c>
      <c r="I141" s="488"/>
      <c r="J141" s="488">
        <v>20450.27</v>
      </c>
      <c r="K141" s="488">
        <v>2936.85</v>
      </c>
      <c r="L141" s="488">
        <v>270371.40000000002</v>
      </c>
      <c r="M141" s="367">
        <f t="shared" si="8"/>
        <v>3171947.6599999997</v>
      </c>
      <c r="N141" s="492">
        <v>11000.25</v>
      </c>
      <c r="O141" s="492">
        <v>226149.6</v>
      </c>
      <c r="P141" s="492">
        <v>77436.2</v>
      </c>
      <c r="Q141" s="492">
        <v>177.12</v>
      </c>
      <c r="R141" s="492">
        <v>217505.2</v>
      </c>
      <c r="S141" s="488">
        <v>2801.62</v>
      </c>
      <c r="T141" s="367">
        <f t="shared" si="9"/>
        <v>3707017.6500000004</v>
      </c>
      <c r="U141" s="490">
        <v>-9079.9599999999991</v>
      </c>
      <c r="V141" s="492"/>
      <c r="W141" s="492">
        <v>-4055.4</v>
      </c>
      <c r="X141" s="496">
        <v>61</v>
      </c>
      <c r="Y141" s="497">
        <v>1.25</v>
      </c>
      <c r="Z141" s="498">
        <v>833</v>
      </c>
      <c r="AA141" s="561"/>
      <c r="AB141" s="503"/>
      <c r="AC141" s="330">
        <f>AB141/VPI!R141</f>
        <v>0</v>
      </c>
      <c r="AD141" s="332">
        <f t="shared" si="10"/>
        <v>0</v>
      </c>
      <c r="AE141" s="330">
        <f>AD141/VPI!R141</f>
        <v>0</v>
      </c>
      <c r="AF141" s="503"/>
      <c r="AG141" s="503"/>
      <c r="AH141" s="503"/>
      <c r="AI141" s="562"/>
      <c r="AJ141" s="498"/>
      <c r="AK141" s="330">
        <f>AJ141/VPI!R141</f>
        <v>0</v>
      </c>
      <c r="AL141" s="332">
        <f t="shared" si="11"/>
        <v>0</v>
      </c>
      <c r="AM141" s="330">
        <f>AL141/VPI!R141</f>
        <v>0</v>
      </c>
      <c r="AN141" s="498"/>
      <c r="AO141" s="562"/>
      <c r="AP141" s="511">
        <v>32.097024251248634</v>
      </c>
      <c r="AR141" s="564">
        <v>0</v>
      </c>
    </row>
    <row r="142" spans="1:50" x14ac:dyDescent="0.25">
      <c r="A142" s="559">
        <v>5640</v>
      </c>
      <c r="B142" s="560" t="s">
        <v>144</v>
      </c>
      <c r="C142" s="488">
        <v>2627905.2000000002</v>
      </c>
      <c r="D142" s="488">
        <v>341172.56</v>
      </c>
      <c r="E142" s="488"/>
      <c r="F142" s="489"/>
      <c r="G142" s="488">
        <v>19165.45</v>
      </c>
      <c r="H142" s="488">
        <v>8577.35</v>
      </c>
      <c r="I142" s="488">
        <v>70160.160000000003</v>
      </c>
      <c r="J142" s="488">
        <v>22052.78</v>
      </c>
      <c r="K142" s="488">
        <v>10925.25</v>
      </c>
      <c r="L142" s="488">
        <v>221138.65</v>
      </c>
      <c r="M142" s="367">
        <f t="shared" si="8"/>
        <v>3321097.4000000004</v>
      </c>
      <c r="N142" s="492">
        <v>31301.05</v>
      </c>
      <c r="O142" s="492">
        <v>22125.9</v>
      </c>
      <c r="P142" s="492">
        <v>83050</v>
      </c>
      <c r="Q142" s="492"/>
      <c r="R142" s="492">
        <v>94709.9</v>
      </c>
      <c r="S142" s="488">
        <v>2615.6999999999998</v>
      </c>
      <c r="T142" s="367">
        <f t="shared" si="9"/>
        <v>3554899.95</v>
      </c>
      <c r="U142" s="490">
        <v>-15895.59</v>
      </c>
      <c r="V142" s="492"/>
      <c r="W142" s="492">
        <v>-5744.76</v>
      </c>
      <c r="X142" s="496">
        <v>61.5</v>
      </c>
      <c r="Y142" s="497">
        <v>1</v>
      </c>
      <c r="Z142" s="498">
        <v>732</v>
      </c>
      <c r="AA142" s="561"/>
      <c r="AB142" s="503"/>
      <c r="AC142" s="330">
        <f>AB142/VPI!R142</f>
        <v>0</v>
      </c>
      <c r="AD142" s="332">
        <f t="shared" si="10"/>
        <v>0</v>
      </c>
      <c r="AE142" s="330">
        <f>AD142/VPI!R142</f>
        <v>0</v>
      </c>
      <c r="AF142" s="503"/>
      <c r="AG142" s="503"/>
      <c r="AH142" s="503"/>
      <c r="AI142" s="562"/>
      <c r="AJ142" s="498"/>
      <c r="AK142" s="330">
        <f>AJ142/VPI!R142</f>
        <v>0</v>
      </c>
      <c r="AL142" s="332">
        <f t="shared" si="11"/>
        <v>0</v>
      </c>
      <c r="AM142" s="330">
        <f>AL142/VPI!R142</f>
        <v>0</v>
      </c>
      <c r="AN142" s="498"/>
      <c r="AO142" s="562"/>
      <c r="AP142" s="511">
        <v>36.378430442182662</v>
      </c>
      <c r="AR142" s="564">
        <v>1</v>
      </c>
    </row>
    <row r="143" spans="1:50" s="566" customFormat="1" x14ac:dyDescent="0.25">
      <c r="A143" s="559">
        <v>5642</v>
      </c>
      <c r="B143" s="560" t="s">
        <v>145</v>
      </c>
      <c r="C143" s="488">
        <v>40054130.18</v>
      </c>
      <c r="D143" s="488">
        <v>6196407.1799999997</v>
      </c>
      <c r="E143" s="488"/>
      <c r="F143" s="489"/>
      <c r="G143" s="488">
        <v>20939022.850000001</v>
      </c>
      <c r="H143" s="488">
        <v>828720.35</v>
      </c>
      <c r="I143" s="488">
        <v>434942.74</v>
      </c>
      <c r="J143" s="488">
        <v>1588136.54</v>
      </c>
      <c r="K143" s="488">
        <v>630976.30000000005</v>
      </c>
      <c r="L143" s="488">
        <v>3638740.4</v>
      </c>
      <c r="M143" s="367">
        <f t="shared" si="8"/>
        <v>74311076.540000007</v>
      </c>
      <c r="N143" s="492">
        <v>1804653.8</v>
      </c>
      <c r="O143" s="492">
        <v>4938671.5</v>
      </c>
      <c r="P143" s="492">
        <v>2984352.35</v>
      </c>
      <c r="Q143" s="492">
        <v>45877.11</v>
      </c>
      <c r="R143" s="492">
        <v>2354179.7000000002</v>
      </c>
      <c r="S143" s="488">
        <v>2052346.33</v>
      </c>
      <c r="T143" s="367">
        <f t="shared" si="9"/>
        <v>88491157.329999998</v>
      </c>
      <c r="U143" s="490">
        <v>-490523.91</v>
      </c>
      <c r="V143" s="492"/>
      <c r="W143" s="492">
        <v>-58995.7</v>
      </c>
      <c r="X143" s="496">
        <v>67</v>
      </c>
      <c r="Y143" s="497">
        <v>1</v>
      </c>
      <c r="Z143" s="498">
        <v>17755</v>
      </c>
      <c r="AA143" s="561"/>
      <c r="AB143" s="503"/>
      <c r="AC143" s="330">
        <f>AB143/VPI!R143</f>
        <v>0</v>
      </c>
      <c r="AD143" s="332">
        <f t="shared" si="10"/>
        <v>0</v>
      </c>
      <c r="AE143" s="330">
        <f>AD143/VPI!R143</f>
        <v>0</v>
      </c>
      <c r="AF143" s="503"/>
      <c r="AG143" s="503"/>
      <c r="AH143" s="503"/>
      <c r="AI143" s="562"/>
      <c r="AJ143" s="498"/>
      <c r="AK143" s="330">
        <f>AJ143/VPI!R143</f>
        <v>0</v>
      </c>
      <c r="AL143" s="332">
        <f t="shared" si="11"/>
        <v>0</v>
      </c>
      <c r="AM143" s="330">
        <f>AL143/VPI!R143</f>
        <v>0</v>
      </c>
      <c r="AN143" s="498"/>
      <c r="AO143" s="562"/>
      <c r="AP143" s="511">
        <v>19.477956855533495</v>
      </c>
      <c r="AQ143" s="490"/>
      <c r="AR143" s="564">
        <v>1</v>
      </c>
      <c r="AS143" s="490"/>
      <c r="AT143" s="490"/>
      <c r="AU143" s="490"/>
      <c r="AV143" s="490"/>
      <c r="AW143" s="490"/>
      <c r="AX143" s="490"/>
    </row>
    <row r="144" spans="1:50" x14ac:dyDescent="0.25">
      <c r="A144" s="559">
        <v>5643</v>
      </c>
      <c r="B144" s="560" t="s">
        <v>146</v>
      </c>
      <c r="C144" s="488">
        <v>11153729.02</v>
      </c>
      <c r="D144" s="488">
        <v>2204307.46</v>
      </c>
      <c r="E144" s="488"/>
      <c r="F144" s="489"/>
      <c r="G144" s="488">
        <v>445403.15</v>
      </c>
      <c r="H144" s="488">
        <v>86457.75</v>
      </c>
      <c r="I144" s="488">
        <v>326047.5</v>
      </c>
      <c r="J144" s="488">
        <v>309885.5</v>
      </c>
      <c r="K144" s="488">
        <v>120140.1</v>
      </c>
      <c r="L144" s="488">
        <v>1166644.05</v>
      </c>
      <c r="M144" s="367">
        <f t="shared" si="8"/>
        <v>15812614.530000001</v>
      </c>
      <c r="N144" s="492">
        <v>215359.8</v>
      </c>
      <c r="O144" s="492">
        <v>201440.9</v>
      </c>
      <c r="P144" s="492">
        <v>542787.30000000005</v>
      </c>
      <c r="Q144" s="492">
        <v>60741.61</v>
      </c>
      <c r="R144" s="492">
        <v>570501.44999999995</v>
      </c>
      <c r="S144" s="488">
        <v>50145.89</v>
      </c>
      <c r="T144" s="367">
        <f t="shared" si="9"/>
        <v>17453591.480000004</v>
      </c>
      <c r="U144" s="490">
        <v>-329760.2</v>
      </c>
      <c r="V144" s="492"/>
      <c r="W144" s="492">
        <v>-29536.799999999999</v>
      </c>
      <c r="X144" s="496">
        <v>62.5</v>
      </c>
      <c r="Y144" s="497">
        <v>1</v>
      </c>
      <c r="Z144" s="498">
        <v>5223</v>
      </c>
      <c r="AA144" s="561"/>
      <c r="AB144" s="503"/>
      <c r="AC144" s="330">
        <f>AB144/VPI!R144</f>
        <v>0</v>
      </c>
      <c r="AD144" s="332">
        <f t="shared" si="10"/>
        <v>0</v>
      </c>
      <c r="AE144" s="330">
        <f>AD144/VPI!R144</f>
        <v>0</v>
      </c>
      <c r="AF144" s="503"/>
      <c r="AG144" s="503"/>
      <c r="AH144" s="503"/>
      <c r="AI144" s="562"/>
      <c r="AJ144" s="498"/>
      <c r="AK144" s="330">
        <f>AJ144/VPI!R144</f>
        <v>0</v>
      </c>
      <c r="AL144" s="332">
        <f t="shared" si="11"/>
        <v>0</v>
      </c>
      <c r="AM144" s="330">
        <f>AL144/VPI!R144</f>
        <v>0</v>
      </c>
      <c r="AN144" s="498"/>
      <c r="AO144" s="562"/>
      <c r="AP144" s="511">
        <v>22.821921368269738</v>
      </c>
      <c r="AR144" s="564">
        <v>1</v>
      </c>
    </row>
    <row r="145" spans="1:44" x14ac:dyDescent="0.25">
      <c r="A145" s="559">
        <v>5645</v>
      </c>
      <c r="B145" s="560" t="s">
        <v>262</v>
      </c>
      <c r="C145" s="488">
        <v>933585.18</v>
      </c>
      <c r="D145" s="488">
        <v>159219.29999999999</v>
      </c>
      <c r="E145" s="488"/>
      <c r="F145" s="489"/>
      <c r="G145" s="488">
        <v>150130.75</v>
      </c>
      <c r="H145" s="488">
        <v>46202.1</v>
      </c>
      <c r="I145" s="488"/>
      <c r="J145" s="488">
        <v>34868.29</v>
      </c>
      <c r="K145" s="488">
        <v>22111</v>
      </c>
      <c r="L145" s="488">
        <v>163861.5</v>
      </c>
      <c r="M145" s="367">
        <f t="shared" si="8"/>
        <v>1509978.12</v>
      </c>
      <c r="N145" s="492">
        <v>167801.05</v>
      </c>
      <c r="O145" s="492">
        <v>8705.6</v>
      </c>
      <c r="P145" s="492">
        <v>20973.05</v>
      </c>
      <c r="Q145" s="492">
        <v>1077.3599999999999</v>
      </c>
      <c r="R145" s="492"/>
      <c r="S145" s="488">
        <v>18511.009999999998</v>
      </c>
      <c r="T145" s="367">
        <f t="shared" si="9"/>
        <v>1727046.1900000004</v>
      </c>
      <c r="U145" s="490">
        <v>-9475.92</v>
      </c>
      <c r="V145" s="492"/>
      <c r="W145" s="492">
        <v>-498.45</v>
      </c>
      <c r="X145" s="496">
        <v>56</v>
      </c>
      <c r="Y145" s="497">
        <v>1</v>
      </c>
      <c r="Z145" s="498">
        <v>462</v>
      </c>
      <c r="AA145" s="561"/>
      <c r="AB145" s="503"/>
      <c r="AC145" s="330">
        <f>AB145/VPI!R145</f>
        <v>0</v>
      </c>
      <c r="AD145" s="332">
        <f t="shared" si="10"/>
        <v>0</v>
      </c>
      <c r="AE145" s="330">
        <f>AD145/VPI!R145</f>
        <v>0</v>
      </c>
      <c r="AF145" s="503"/>
      <c r="AG145" s="503"/>
      <c r="AH145" s="503"/>
      <c r="AI145" s="562"/>
      <c r="AJ145" s="498"/>
      <c r="AK145" s="330">
        <f>AJ145/VPI!R145</f>
        <v>0</v>
      </c>
      <c r="AL145" s="332">
        <f t="shared" si="11"/>
        <v>0</v>
      </c>
      <c r="AM145" s="330">
        <f>AL145/VPI!R145</f>
        <v>0</v>
      </c>
      <c r="AN145" s="498"/>
      <c r="AO145" s="562"/>
      <c r="AP145" s="511">
        <v>29.029348948259145</v>
      </c>
      <c r="AR145" s="564">
        <v>0</v>
      </c>
    </row>
    <row r="146" spans="1:44" x14ac:dyDescent="0.25">
      <c r="A146" s="559">
        <v>5646</v>
      </c>
      <c r="B146" s="560" t="s">
        <v>263</v>
      </c>
      <c r="C146" s="488">
        <v>13553835.109999999</v>
      </c>
      <c r="D146" s="488">
        <v>3359114.49</v>
      </c>
      <c r="E146" s="488"/>
      <c r="F146" s="489"/>
      <c r="G146" s="488">
        <v>3490763.3</v>
      </c>
      <c r="H146" s="488">
        <v>6367616</v>
      </c>
      <c r="I146" s="488">
        <v>886118.95</v>
      </c>
      <c r="J146" s="488">
        <v>649399.82999999996</v>
      </c>
      <c r="K146" s="488">
        <v>157724.70000000001</v>
      </c>
      <c r="L146" s="488">
        <v>2123285.75</v>
      </c>
      <c r="M146" s="367">
        <f t="shared" si="8"/>
        <v>30587858.129999999</v>
      </c>
      <c r="N146" s="492">
        <v>773219.15</v>
      </c>
      <c r="O146" s="492">
        <v>417898.8</v>
      </c>
      <c r="P146" s="492">
        <v>1013994.05</v>
      </c>
      <c r="Q146" s="492">
        <v>4140.46</v>
      </c>
      <c r="R146" s="492">
        <v>678284.4</v>
      </c>
      <c r="S146" s="488">
        <v>929485.82</v>
      </c>
      <c r="T146" s="367">
        <f t="shared" si="9"/>
        <v>34404880.809999995</v>
      </c>
      <c r="U146" s="490">
        <v>-149294.24</v>
      </c>
      <c r="V146" s="492"/>
      <c r="W146" s="492">
        <v>-37661.949999999997</v>
      </c>
      <c r="X146" s="496">
        <v>59</v>
      </c>
      <c r="Y146" s="497">
        <v>1.2</v>
      </c>
      <c r="Z146" s="498">
        <v>5907</v>
      </c>
      <c r="AA146" s="561"/>
      <c r="AB146" s="503"/>
      <c r="AC146" s="330">
        <f>AB146/VPI!R146</f>
        <v>0</v>
      </c>
      <c r="AD146" s="332">
        <f t="shared" si="10"/>
        <v>0</v>
      </c>
      <c r="AE146" s="330">
        <f>AD146/VPI!R146</f>
        <v>0</v>
      </c>
      <c r="AF146" s="503"/>
      <c r="AG146" s="503"/>
      <c r="AH146" s="503"/>
      <c r="AI146" s="562"/>
      <c r="AJ146" s="498"/>
      <c r="AK146" s="330">
        <f>AJ146/VPI!R146</f>
        <v>0</v>
      </c>
      <c r="AL146" s="332">
        <f t="shared" si="11"/>
        <v>0</v>
      </c>
      <c r="AM146" s="330">
        <f>AL146/VPI!R146</f>
        <v>0</v>
      </c>
      <c r="AN146" s="498"/>
      <c r="AO146" s="562"/>
      <c r="AP146" s="511">
        <v>34.351540472212001</v>
      </c>
      <c r="AR146" s="564">
        <v>1</v>
      </c>
    </row>
    <row r="147" spans="1:44" x14ac:dyDescent="0.25">
      <c r="A147" s="559">
        <v>5648</v>
      </c>
      <c r="B147" s="560" t="s">
        <v>264</v>
      </c>
      <c r="C147" s="488">
        <v>14297377.470000001</v>
      </c>
      <c r="D147" s="488">
        <v>3697081.74</v>
      </c>
      <c r="E147" s="488"/>
      <c r="F147" s="489"/>
      <c r="G147" s="488">
        <v>597294.80000000005</v>
      </c>
      <c r="H147" s="488">
        <v>168867.25</v>
      </c>
      <c r="I147" s="488">
        <v>430215.02</v>
      </c>
      <c r="J147" s="488">
        <v>825949.63</v>
      </c>
      <c r="K147" s="488">
        <v>149942.1</v>
      </c>
      <c r="L147" s="488">
        <v>1417734.1</v>
      </c>
      <c r="M147" s="367">
        <f t="shared" si="8"/>
        <v>21584462.110000003</v>
      </c>
      <c r="N147" s="492">
        <v>58495.75</v>
      </c>
      <c r="O147" s="492">
        <v>828677</v>
      </c>
      <c r="P147" s="492">
        <v>1177081.75</v>
      </c>
      <c r="Q147" s="492">
        <v>1215.18</v>
      </c>
      <c r="R147" s="492">
        <v>1656444.15</v>
      </c>
      <c r="S147" s="488">
        <v>72236.7</v>
      </c>
      <c r="T147" s="367">
        <f t="shared" si="9"/>
        <v>25378612.640000001</v>
      </c>
      <c r="U147" s="490">
        <v>-35458.910000000003</v>
      </c>
      <c r="V147" s="492"/>
      <c r="W147" s="492">
        <v>-176352.59</v>
      </c>
      <c r="X147" s="496">
        <v>55</v>
      </c>
      <c r="Y147" s="497">
        <v>0.8</v>
      </c>
      <c r="Z147" s="498">
        <v>5138</v>
      </c>
      <c r="AA147" s="561"/>
      <c r="AB147" s="503"/>
      <c r="AC147" s="330">
        <f>AB147/VPI!R147</f>
        <v>0</v>
      </c>
      <c r="AD147" s="332">
        <f t="shared" si="10"/>
        <v>0</v>
      </c>
      <c r="AE147" s="330">
        <f>AD147/VPI!R147</f>
        <v>0</v>
      </c>
      <c r="AF147" s="503"/>
      <c r="AG147" s="503"/>
      <c r="AH147" s="503"/>
      <c r="AI147" s="562"/>
      <c r="AJ147" s="498"/>
      <c r="AK147" s="330">
        <f>AJ147/VPI!R147</f>
        <v>0</v>
      </c>
      <c r="AL147" s="332">
        <f t="shared" si="11"/>
        <v>0</v>
      </c>
      <c r="AM147" s="330">
        <f>AL147/VPI!R147</f>
        <v>0</v>
      </c>
      <c r="AN147" s="498"/>
      <c r="AO147" s="562"/>
      <c r="AP147" s="511">
        <v>33.075261136452326</v>
      </c>
      <c r="AR147" s="564">
        <v>1</v>
      </c>
    </row>
    <row r="148" spans="1:44" x14ac:dyDescent="0.25">
      <c r="A148" s="559">
        <v>5649</v>
      </c>
      <c r="B148" s="560" t="s">
        <v>265</v>
      </c>
      <c r="C148" s="488">
        <v>4177007.45</v>
      </c>
      <c r="D148" s="488">
        <v>625434.22</v>
      </c>
      <c r="E148" s="488"/>
      <c r="F148" s="489"/>
      <c r="G148" s="488">
        <v>10156707.800000001</v>
      </c>
      <c r="H148" s="488">
        <v>977874.6</v>
      </c>
      <c r="I148" s="488">
        <v>-60878.3</v>
      </c>
      <c r="J148" s="488">
        <v>511816.56</v>
      </c>
      <c r="K148" s="488">
        <v>27358.65</v>
      </c>
      <c r="L148" s="488">
        <v>591334.75</v>
      </c>
      <c r="M148" s="367">
        <f t="shared" si="8"/>
        <v>17006655.73</v>
      </c>
      <c r="N148" s="492">
        <v>360571</v>
      </c>
      <c r="O148" s="492">
        <v>702911</v>
      </c>
      <c r="P148" s="492">
        <v>397005</v>
      </c>
      <c r="Q148" s="492">
        <v>24650.97</v>
      </c>
      <c r="R148" s="492">
        <v>412696.95</v>
      </c>
      <c r="S148" s="488">
        <v>1049811.1399999999</v>
      </c>
      <c r="T148" s="367">
        <f t="shared" si="9"/>
        <v>19954301.789999999</v>
      </c>
      <c r="U148" s="490">
        <v>-73853</v>
      </c>
      <c r="V148" s="492"/>
      <c r="W148" s="492">
        <v>-3135.03</v>
      </c>
      <c r="X148" s="496">
        <v>64</v>
      </c>
      <c r="Y148" s="497">
        <v>1</v>
      </c>
      <c r="Z148" s="498">
        <v>1922</v>
      </c>
      <c r="AA148" s="561"/>
      <c r="AB148" s="503"/>
      <c r="AC148" s="330">
        <f>AB148/VPI!R148</f>
        <v>0</v>
      </c>
      <c r="AD148" s="332">
        <f t="shared" si="10"/>
        <v>0</v>
      </c>
      <c r="AE148" s="330">
        <f>AD148/VPI!R148</f>
        <v>0</v>
      </c>
      <c r="AF148" s="503"/>
      <c r="AG148" s="503"/>
      <c r="AH148" s="503"/>
      <c r="AI148" s="562"/>
      <c r="AJ148" s="498"/>
      <c r="AK148" s="330">
        <f>AJ148/VPI!R148</f>
        <v>0</v>
      </c>
      <c r="AL148" s="332">
        <f t="shared" si="11"/>
        <v>0</v>
      </c>
      <c r="AM148" s="330">
        <f>AL148/VPI!R148</f>
        <v>0</v>
      </c>
      <c r="AN148" s="498"/>
      <c r="AO148" s="562"/>
      <c r="AP148" s="511">
        <v>37.892775478483763</v>
      </c>
      <c r="AR148" s="564">
        <v>1</v>
      </c>
    </row>
    <row r="149" spans="1:44" x14ac:dyDescent="0.25">
      <c r="A149" s="567">
        <v>5650</v>
      </c>
      <c r="B149" s="560" t="s">
        <v>266</v>
      </c>
      <c r="C149" s="488">
        <v>1645804.23</v>
      </c>
      <c r="D149" s="488">
        <v>3684947.1</v>
      </c>
      <c r="E149" s="488"/>
      <c r="F149" s="489"/>
      <c r="G149" s="488">
        <v>10321.200000000001</v>
      </c>
      <c r="H149" s="488">
        <v>29.2</v>
      </c>
      <c r="I149" s="488"/>
      <c r="J149" s="488">
        <v>226.87</v>
      </c>
      <c r="K149" s="488"/>
      <c r="L149" s="488">
        <v>57917.5</v>
      </c>
      <c r="M149" s="367">
        <f t="shared" si="8"/>
        <v>5399246.1000000006</v>
      </c>
      <c r="N149" s="492">
        <v>106.8</v>
      </c>
      <c r="O149" s="492">
        <v>779.1</v>
      </c>
      <c r="P149" s="492">
        <v>4714.8</v>
      </c>
      <c r="Q149" s="492"/>
      <c r="R149" s="492"/>
      <c r="S149" s="488">
        <v>975.88</v>
      </c>
      <c r="T149" s="367">
        <f t="shared" si="9"/>
        <v>5405822.6799999997</v>
      </c>
      <c r="U149" s="490">
        <v>0.17</v>
      </c>
      <c r="V149" s="492"/>
      <c r="W149" s="492">
        <v>-8845.1</v>
      </c>
      <c r="X149" s="496">
        <v>56</v>
      </c>
      <c r="Y149" s="497">
        <v>1.25</v>
      </c>
      <c r="Z149" s="498">
        <v>180</v>
      </c>
      <c r="AA149" s="561"/>
      <c r="AB149" s="503"/>
      <c r="AC149" s="330">
        <f>AB149/VPI!R149</f>
        <v>0</v>
      </c>
      <c r="AD149" s="332">
        <f t="shared" si="10"/>
        <v>0</v>
      </c>
      <c r="AE149" s="330">
        <f>AD149/VPI!R149</f>
        <v>0</v>
      </c>
      <c r="AF149" s="503"/>
      <c r="AG149" s="503"/>
      <c r="AH149" s="503"/>
      <c r="AI149" s="562"/>
      <c r="AJ149" s="498"/>
      <c r="AK149" s="330">
        <f>AJ149/VPI!R149</f>
        <v>0</v>
      </c>
      <c r="AL149" s="332">
        <f t="shared" si="11"/>
        <v>0</v>
      </c>
      <c r="AM149" s="330">
        <f>AL149/VPI!R149</f>
        <v>0</v>
      </c>
      <c r="AN149" s="498"/>
      <c r="AO149" s="562"/>
      <c r="AP149" s="511">
        <v>48</v>
      </c>
      <c r="AR149" s="564">
        <v>0</v>
      </c>
    </row>
    <row r="150" spans="1:44" x14ac:dyDescent="0.25">
      <c r="A150" s="559">
        <v>5651</v>
      </c>
      <c r="B150" s="560" t="s">
        <v>267</v>
      </c>
      <c r="C150" s="488">
        <v>2167891.38</v>
      </c>
      <c r="D150" s="488">
        <v>324719.38</v>
      </c>
      <c r="E150" s="488"/>
      <c r="F150" s="489"/>
      <c r="G150" s="488">
        <v>647236.06999999995</v>
      </c>
      <c r="H150" s="488">
        <v>4747.03</v>
      </c>
      <c r="I150" s="488"/>
      <c r="J150" s="488">
        <v>59351.15</v>
      </c>
      <c r="K150" s="488">
        <v>47639.9</v>
      </c>
      <c r="L150" s="488">
        <v>390484.65</v>
      </c>
      <c r="M150" s="367">
        <f t="shared" si="8"/>
        <v>3642069.5599999991</v>
      </c>
      <c r="N150" s="492">
        <v>318288.86</v>
      </c>
      <c r="O150" s="492">
        <v>2157.5</v>
      </c>
      <c r="P150" s="492">
        <v>86955</v>
      </c>
      <c r="Q150" s="492">
        <v>287651.49</v>
      </c>
      <c r="R150" s="492">
        <v>72217.45</v>
      </c>
      <c r="S150" s="488">
        <v>61471.47</v>
      </c>
      <c r="T150" s="367">
        <f t="shared" si="9"/>
        <v>4470811.3299999991</v>
      </c>
      <c r="U150" s="490">
        <v>-275637.71000000002</v>
      </c>
      <c r="V150" s="492"/>
      <c r="W150" s="492">
        <v>-6.9</v>
      </c>
      <c r="X150" s="496">
        <v>60.5</v>
      </c>
      <c r="Y150" s="497">
        <v>1</v>
      </c>
      <c r="Z150" s="498">
        <v>980</v>
      </c>
      <c r="AA150" s="561"/>
      <c r="AB150" s="503"/>
      <c r="AC150" s="330">
        <f>AB150/VPI!R150</f>
        <v>0</v>
      </c>
      <c r="AD150" s="332">
        <f t="shared" si="10"/>
        <v>0</v>
      </c>
      <c r="AE150" s="330">
        <f>AD150/VPI!R150</f>
        <v>0</v>
      </c>
      <c r="AF150" s="503"/>
      <c r="AG150" s="503"/>
      <c r="AH150" s="503"/>
      <c r="AI150" s="562"/>
      <c r="AJ150" s="498"/>
      <c r="AK150" s="330">
        <f>AJ150/VPI!R150</f>
        <v>0</v>
      </c>
      <c r="AL150" s="332">
        <f t="shared" si="11"/>
        <v>0</v>
      </c>
      <c r="AM150" s="330">
        <f>AL150/VPI!R150</f>
        <v>0</v>
      </c>
      <c r="AN150" s="498"/>
      <c r="AO150" s="562"/>
      <c r="AP150" s="511">
        <v>30.381755772084436</v>
      </c>
      <c r="AR150" s="564">
        <v>1</v>
      </c>
    </row>
    <row r="151" spans="1:44" x14ac:dyDescent="0.25">
      <c r="A151" s="559">
        <v>5652</v>
      </c>
      <c r="B151" s="560" t="s">
        <v>178</v>
      </c>
      <c r="C151" s="488">
        <v>1534923.83</v>
      </c>
      <c r="D151" s="488">
        <v>497136.54</v>
      </c>
      <c r="E151" s="488"/>
      <c r="F151" s="489"/>
      <c r="G151" s="488">
        <v>70725.649999999994</v>
      </c>
      <c r="H151" s="488">
        <v>695.45</v>
      </c>
      <c r="I151" s="488"/>
      <c r="J151" s="488">
        <v>-3170.62</v>
      </c>
      <c r="K151" s="488">
        <v>1345.15</v>
      </c>
      <c r="L151" s="488">
        <v>144295.65</v>
      </c>
      <c r="M151" s="367">
        <f t="shared" si="8"/>
        <v>2245951.65</v>
      </c>
      <c r="N151" s="492">
        <v>0</v>
      </c>
      <c r="O151" s="492">
        <v>638514.19999999995</v>
      </c>
      <c r="P151" s="492">
        <v>46365</v>
      </c>
      <c r="Q151" s="492"/>
      <c r="R151" s="492">
        <v>7711.4</v>
      </c>
      <c r="S151" s="488">
        <v>6733.86</v>
      </c>
      <c r="T151" s="367">
        <f t="shared" si="9"/>
        <v>2945276.1099999994</v>
      </c>
      <c r="U151" s="490">
        <v>-6312</v>
      </c>
      <c r="V151" s="492"/>
      <c r="W151" s="492">
        <v>-4117.84</v>
      </c>
      <c r="X151" s="496">
        <v>76</v>
      </c>
      <c r="Y151" s="497">
        <v>1.2</v>
      </c>
      <c r="Z151" s="498">
        <v>609</v>
      </c>
      <c r="AA151" s="561"/>
      <c r="AB151" s="503"/>
      <c r="AC151" s="330">
        <f>AB151/VPI!R151</f>
        <v>0</v>
      </c>
      <c r="AD151" s="332">
        <f t="shared" si="10"/>
        <v>0</v>
      </c>
      <c r="AE151" s="330">
        <f>AD151/VPI!R151</f>
        <v>0</v>
      </c>
      <c r="AF151" s="503"/>
      <c r="AG151" s="503"/>
      <c r="AH151" s="503"/>
      <c r="AI151" s="562"/>
      <c r="AJ151" s="498"/>
      <c r="AK151" s="330">
        <f>AJ151/VPI!R151</f>
        <v>0</v>
      </c>
      <c r="AL151" s="332">
        <f t="shared" si="11"/>
        <v>0</v>
      </c>
      <c r="AM151" s="330">
        <f>AL151/VPI!R151</f>
        <v>0</v>
      </c>
      <c r="AN151" s="498"/>
      <c r="AO151" s="562"/>
      <c r="AP151" s="511">
        <v>24.292980177430934</v>
      </c>
      <c r="AR151" s="564">
        <v>0</v>
      </c>
    </row>
    <row r="152" spans="1:44" x14ac:dyDescent="0.25">
      <c r="A152" s="559">
        <v>5653</v>
      </c>
      <c r="B152" s="560" t="s">
        <v>179</v>
      </c>
      <c r="C152" s="488">
        <v>2887425.15</v>
      </c>
      <c r="D152" s="488">
        <v>887116.3</v>
      </c>
      <c r="E152" s="488"/>
      <c r="F152" s="489"/>
      <c r="G152" s="488">
        <v>28219</v>
      </c>
      <c r="H152" s="488">
        <v>1886.2</v>
      </c>
      <c r="I152" s="488">
        <v>125602.8</v>
      </c>
      <c r="J152" s="488">
        <v>-20648.12</v>
      </c>
      <c r="K152" s="488">
        <v>2841.4</v>
      </c>
      <c r="L152" s="488">
        <v>214246</v>
      </c>
      <c r="M152" s="367">
        <f t="shared" si="8"/>
        <v>4126688.73</v>
      </c>
      <c r="N152" s="492">
        <v>2293.3000000000002</v>
      </c>
      <c r="O152" s="492"/>
      <c r="P152" s="492">
        <v>54655</v>
      </c>
      <c r="Q152" s="492">
        <v>2706.38</v>
      </c>
      <c r="R152" s="492">
        <v>72533.05</v>
      </c>
      <c r="S152" s="488">
        <v>2838.43</v>
      </c>
      <c r="T152" s="367">
        <f t="shared" si="9"/>
        <v>4261714.8899999997</v>
      </c>
      <c r="U152" s="490">
        <v>-224.88</v>
      </c>
      <c r="V152" s="492"/>
      <c r="W152" s="492">
        <v>-13624.17</v>
      </c>
      <c r="X152" s="496">
        <v>62.5</v>
      </c>
      <c r="Y152" s="497">
        <v>0.8</v>
      </c>
      <c r="Z152" s="498">
        <v>882</v>
      </c>
      <c r="AA152" s="561"/>
      <c r="AB152" s="503"/>
      <c r="AC152" s="330">
        <f>AB152/VPI!R152</f>
        <v>0</v>
      </c>
      <c r="AD152" s="332">
        <f t="shared" si="10"/>
        <v>0</v>
      </c>
      <c r="AE152" s="330">
        <f>AD152/VPI!R152</f>
        <v>0</v>
      </c>
      <c r="AF152" s="503"/>
      <c r="AG152" s="503"/>
      <c r="AH152" s="503"/>
      <c r="AI152" s="562"/>
      <c r="AJ152" s="498"/>
      <c r="AK152" s="330">
        <f>AJ152/VPI!R152</f>
        <v>0</v>
      </c>
      <c r="AL152" s="332">
        <f t="shared" si="11"/>
        <v>0</v>
      </c>
      <c r="AM152" s="330">
        <f>AL152/VPI!R152</f>
        <v>0</v>
      </c>
      <c r="AN152" s="498"/>
      <c r="AO152" s="562"/>
      <c r="AP152" s="511">
        <v>36.064957194244457</v>
      </c>
      <c r="AR152" s="564">
        <v>0</v>
      </c>
    </row>
    <row r="153" spans="1:44" x14ac:dyDescent="0.25">
      <c r="A153" s="559">
        <v>5654</v>
      </c>
      <c r="B153" s="560" t="s">
        <v>180</v>
      </c>
      <c r="C153" s="488">
        <v>1276597.98</v>
      </c>
      <c r="D153" s="488">
        <v>232650.99</v>
      </c>
      <c r="E153" s="488"/>
      <c r="F153" s="489"/>
      <c r="G153" s="488">
        <v>25167.7</v>
      </c>
      <c r="H153" s="488">
        <v>562.5</v>
      </c>
      <c r="I153" s="488"/>
      <c r="J153" s="488">
        <v>14989.25</v>
      </c>
      <c r="K153" s="488">
        <v>1902.5</v>
      </c>
      <c r="L153" s="488">
        <v>117055.9</v>
      </c>
      <c r="M153" s="367">
        <f t="shared" si="8"/>
        <v>1668926.8199999998</v>
      </c>
      <c r="N153" s="492">
        <v>5793.5</v>
      </c>
      <c r="O153" s="492">
        <v>7691.5</v>
      </c>
      <c r="P153" s="492">
        <v>40324.35</v>
      </c>
      <c r="Q153" s="492"/>
      <c r="R153" s="492">
        <v>42962</v>
      </c>
      <c r="S153" s="488">
        <v>2425.94</v>
      </c>
      <c r="T153" s="367">
        <f t="shared" si="9"/>
        <v>1768124.1099999999</v>
      </c>
      <c r="U153" s="490">
        <v>-1463.56</v>
      </c>
      <c r="V153" s="492"/>
      <c r="W153" s="492">
        <v>-896.2</v>
      </c>
      <c r="X153" s="496">
        <v>76</v>
      </c>
      <c r="Y153" s="497">
        <v>1</v>
      </c>
      <c r="Z153" s="498">
        <v>571</v>
      </c>
      <c r="AA153" s="561"/>
      <c r="AB153" s="503"/>
      <c r="AC153" s="330">
        <f>AB153/VPI!R153</f>
        <v>0</v>
      </c>
      <c r="AD153" s="332">
        <f t="shared" si="10"/>
        <v>0</v>
      </c>
      <c r="AE153" s="330">
        <f>AD153/VPI!R153</f>
        <v>0</v>
      </c>
      <c r="AF153" s="503"/>
      <c r="AG153" s="503"/>
      <c r="AH153" s="503"/>
      <c r="AI153" s="562"/>
      <c r="AJ153" s="498"/>
      <c r="AK153" s="330">
        <f>AJ153/VPI!R153</f>
        <v>0</v>
      </c>
      <c r="AL153" s="332">
        <f t="shared" si="11"/>
        <v>0</v>
      </c>
      <c r="AM153" s="330">
        <f>AL153/VPI!R153</f>
        <v>0</v>
      </c>
      <c r="AN153" s="498"/>
      <c r="AO153" s="562"/>
      <c r="AP153" s="511">
        <v>20.046301692325233</v>
      </c>
      <c r="AR153" s="564">
        <v>0</v>
      </c>
    </row>
    <row r="154" spans="1:44" x14ac:dyDescent="0.25">
      <c r="A154" s="559">
        <v>5655</v>
      </c>
      <c r="B154" s="560" t="s">
        <v>181</v>
      </c>
      <c r="C154" s="488">
        <v>4497018.3099999996</v>
      </c>
      <c r="D154" s="488">
        <v>760310.17</v>
      </c>
      <c r="E154" s="488"/>
      <c r="F154" s="489"/>
      <c r="G154" s="488">
        <v>44528.65</v>
      </c>
      <c r="H154" s="488">
        <v>-1386.05</v>
      </c>
      <c r="I154" s="488">
        <v>99823.75</v>
      </c>
      <c r="J154" s="488">
        <v>71853.14</v>
      </c>
      <c r="K154" s="488">
        <v>11287.2</v>
      </c>
      <c r="L154" s="488">
        <v>441330.75</v>
      </c>
      <c r="M154" s="367">
        <f t="shared" si="8"/>
        <v>5924765.9199999999</v>
      </c>
      <c r="N154" s="492">
        <v>90095.15</v>
      </c>
      <c r="O154" s="492">
        <v>49298.8</v>
      </c>
      <c r="P154" s="492">
        <v>263834.95</v>
      </c>
      <c r="Q154" s="492">
        <v>-77.61</v>
      </c>
      <c r="R154" s="492">
        <v>96232</v>
      </c>
      <c r="S154" s="488">
        <v>4067.65</v>
      </c>
      <c r="T154" s="367">
        <f t="shared" si="9"/>
        <v>6428216.8600000003</v>
      </c>
      <c r="U154" s="490">
        <v>-76946.17</v>
      </c>
      <c r="V154" s="492"/>
      <c r="W154" s="492">
        <v>-17468.599999999999</v>
      </c>
      <c r="X154" s="496">
        <v>70</v>
      </c>
      <c r="Y154" s="497">
        <v>1</v>
      </c>
      <c r="Z154" s="498">
        <v>1505</v>
      </c>
      <c r="AA154" s="561"/>
      <c r="AB154" s="503"/>
      <c r="AC154" s="330">
        <f>AB154/VPI!R154</f>
        <v>0</v>
      </c>
      <c r="AD154" s="332">
        <f t="shared" si="10"/>
        <v>0</v>
      </c>
      <c r="AE154" s="330">
        <f>AD154/VPI!R154</f>
        <v>0</v>
      </c>
      <c r="AF154" s="503"/>
      <c r="AG154" s="503"/>
      <c r="AH154" s="503"/>
      <c r="AI154" s="568"/>
      <c r="AJ154" s="498"/>
      <c r="AK154" s="330">
        <f>AJ154/VPI!R154</f>
        <v>0</v>
      </c>
      <c r="AL154" s="332">
        <f t="shared" si="11"/>
        <v>0</v>
      </c>
      <c r="AM154" s="330">
        <f>AL154/VPI!R154</f>
        <v>0</v>
      </c>
      <c r="AN154" s="498"/>
      <c r="AO154" s="568"/>
      <c r="AP154" s="511">
        <v>28.348973782055907</v>
      </c>
      <c r="AR154" s="564">
        <v>0</v>
      </c>
    </row>
    <row r="155" spans="1:44" x14ac:dyDescent="0.25">
      <c r="A155" s="559">
        <v>5656</v>
      </c>
      <c r="B155" s="560" t="s">
        <v>393</v>
      </c>
      <c r="C155" s="488">
        <v>8727352.2300000004</v>
      </c>
      <c r="D155" s="488">
        <v>1515278.39</v>
      </c>
      <c r="E155" s="488"/>
      <c r="F155" s="489"/>
      <c r="G155" s="488">
        <v>211043.7</v>
      </c>
      <c r="H155" s="488">
        <v>108898.1</v>
      </c>
      <c r="I155" s="488">
        <v>110822.35</v>
      </c>
      <c r="J155" s="488">
        <v>268468.78999999998</v>
      </c>
      <c r="K155" s="488">
        <v>29950.55</v>
      </c>
      <c r="L155" s="488">
        <v>906768.8</v>
      </c>
      <c r="M155" s="367">
        <f t="shared" si="8"/>
        <v>11878582.91</v>
      </c>
      <c r="N155" s="488">
        <v>111993.15</v>
      </c>
      <c r="O155" s="488">
        <v>-12372.5</v>
      </c>
      <c r="P155" s="488">
        <v>473368.65</v>
      </c>
      <c r="Q155" s="488">
        <v>113227.04</v>
      </c>
      <c r="R155" s="488">
        <v>358309.95</v>
      </c>
      <c r="S155" s="488">
        <v>30165.34</v>
      </c>
      <c r="T155" s="367">
        <f t="shared" si="9"/>
        <v>12953274.539999999</v>
      </c>
      <c r="U155" s="488">
        <v>-90186.51</v>
      </c>
      <c r="V155" s="488"/>
      <c r="W155" s="488">
        <v>-6453.11</v>
      </c>
      <c r="X155" s="488">
        <v>71</v>
      </c>
      <c r="Y155" s="499">
        <v>1</v>
      </c>
      <c r="Z155" s="498">
        <v>4343</v>
      </c>
      <c r="AA155" s="565"/>
      <c r="AB155" s="504"/>
      <c r="AC155" s="330">
        <f>AB155/VPI!R155</f>
        <v>0</v>
      </c>
      <c r="AD155" s="332">
        <f t="shared" si="10"/>
        <v>0</v>
      </c>
      <c r="AE155" s="330">
        <f>AD155/VPI!R155</f>
        <v>0</v>
      </c>
      <c r="AF155" s="504"/>
      <c r="AG155" s="504"/>
      <c r="AH155" s="504"/>
      <c r="AI155" s="565"/>
      <c r="AJ155" s="488"/>
      <c r="AK155" s="330">
        <f>AJ155/VPI!R155</f>
        <v>0</v>
      </c>
      <c r="AL155" s="332">
        <f t="shared" si="11"/>
        <v>0</v>
      </c>
      <c r="AM155" s="330">
        <f>AL155/VPI!R155</f>
        <v>0</v>
      </c>
      <c r="AN155" s="504"/>
      <c r="AO155" s="565"/>
      <c r="AP155" s="511">
        <v>17.243614551652826</v>
      </c>
      <c r="AQ155" s="488"/>
      <c r="AR155" s="564">
        <v>0</v>
      </c>
    </row>
    <row r="156" spans="1:44" x14ac:dyDescent="0.25">
      <c r="A156" s="559">
        <v>5661</v>
      </c>
      <c r="B156" s="560" t="s">
        <v>182</v>
      </c>
      <c r="C156" s="488">
        <v>667597.93999999994</v>
      </c>
      <c r="D156" s="488">
        <v>43567.85</v>
      </c>
      <c r="E156" s="488"/>
      <c r="F156" s="489"/>
      <c r="G156" s="488">
        <v>3190.1</v>
      </c>
      <c r="H156" s="488">
        <v>0.05</v>
      </c>
      <c r="I156" s="488"/>
      <c r="J156" s="488">
        <v>-1028.76</v>
      </c>
      <c r="K156" s="488">
        <v>555</v>
      </c>
      <c r="L156" s="488">
        <v>63012</v>
      </c>
      <c r="M156" s="367">
        <f t="shared" si="8"/>
        <v>776894.17999999993</v>
      </c>
      <c r="N156" s="492">
        <v>16677.45</v>
      </c>
      <c r="O156" s="492"/>
      <c r="P156" s="492">
        <v>55079</v>
      </c>
      <c r="Q156" s="492">
        <v>2946.1</v>
      </c>
      <c r="R156" s="492">
        <v>22601.5</v>
      </c>
      <c r="S156" s="488">
        <v>300.77999999999997</v>
      </c>
      <c r="T156" s="367">
        <f t="shared" si="9"/>
        <v>874499.00999999989</v>
      </c>
      <c r="U156" s="490">
        <v>-62101.57</v>
      </c>
      <c r="V156" s="492"/>
      <c r="W156" s="492">
        <v>0</v>
      </c>
      <c r="X156" s="496">
        <v>71.5</v>
      </c>
      <c r="Y156" s="497">
        <v>1</v>
      </c>
      <c r="Z156" s="498">
        <v>379</v>
      </c>
      <c r="AA156" s="561"/>
      <c r="AB156" s="503"/>
      <c r="AC156" s="330">
        <f>AB156/VPI!R156</f>
        <v>0</v>
      </c>
      <c r="AD156" s="332">
        <f t="shared" si="10"/>
        <v>0</v>
      </c>
      <c r="AE156" s="330">
        <f>AD156/VPI!R156</f>
        <v>0</v>
      </c>
      <c r="AF156" s="503"/>
      <c r="AG156" s="503"/>
      <c r="AH156" s="503"/>
      <c r="AI156" s="568"/>
      <c r="AJ156" s="498"/>
      <c r="AK156" s="330">
        <f>AJ156/VPI!R156</f>
        <v>0</v>
      </c>
      <c r="AL156" s="332">
        <f t="shared" si="11"/>
        <v>0</v>
      </c>
      <c r="AM156" s="330">
        <f>AL156/VPI!R156</f>
        <v>0</v>
      </c>
      <c r="AN156" s="498"/>
      <c r="AO156" s="568"/>
      <c r="AP156" s="511">
        <v>12.26412128816801</v>
      </c>
      <c r="AR156" s="564">
        <v>0</v>
      </c>
    </row>
    <row r="157" spans="1:44" x14ac:dyDescent="0.25">
      <c r="A157" s="559">
        <v>5663</v>
      </c>
      <c r="B157" s="560" t="s">
        <v>183</v>
      </c>
      <c r="C157" s="488">
        <v>476113.03</v>
      </c>
      <c r="D157" s="488">
        <v>47871.91</v>
      </c>
      <c r="E157" s="488"/>
      <c r="F157" s="489">
        <v>1410</v>
      </c>
      <c r="G157" s="488">
        <v>1255.8</v>
      </c>
      <c r="H157" s="488">
        <v>531.20000000000005</v>
      </c>
      <c r="I157" s="488"/>
      <c r="J157" s="488">
        <v>11282.34</v>
      </c>
      <c r="K157" s="488">
        <v>325.2</v>
      </c>
      <c r="L157" s="488">
        <v>33867.949999999997</v>
      </c>
      <c r="M157" s="367">
        <f t="shared" si="8"/>
        <v>572657.42999999993</v>
      </c>
      <c r="N157" s="492">
        <v>0</v>
      </c>
      <c r="O157" s="492">
        <v>14790.6</v>
      </c>
      <c r="P157" s="492">
        <v>15427.5</v>
      </c>
      <c r="Q157" s="492"/>
      <c r="R157" s="492">
        <v>9252.4</v>
      </c>
      <c r="S157" s="488">
        <v>168.49</v>
      </c>
      <c r="T157" s="367">
        <f t="shared" si="9"/>
        <v>612296.41999999993</v>
      </c>
      <c r="U157" s="490">
        <v>-14266.24</v>
      </c>
      <c r="V157" s="492"/>
      <c r="W157" s="492">
        <v>0</v>
      </c>
      <c r="X157" s="496">
        <v>78.5</v>
      </c>
      <c r="Y157" s="497">
        <v>1</v>
      </c>
      <c r="Z157" s="498">
        <v>251</v>
      </c>
      <c r="AA157" s="561"/>
      <c r="AB157" s="503"/>
      <c r="AC157" s="330">
        <f>AB157/VPI!R157</f>
        <v>0</v>
      </c>
      <c r="AD157" s="332">
        <f t="shared" si="10"/>
        <v>0</v>
      </c>
      <c r="AE157" s="330">
        <f>AD157/VPI!R157</f>
        <v>0</v>
      </c>
      <c r="AF157" s="503"/>
      <c r="AG157" s="503"/>
      <c r="AH157" s="503"/>
      <c r="AI157" s="568"/>
      <c r="AJ157" s="498"/>
      <c r="AK157" s="330">
        <f>AJ157/VPI!R157</f>
        <v>0</v>
      </c>
      <c r="AL157" s="332">
        <f t="shared" si="11"/>
        <v>0</v>
      </c>
      <c r="AM157" s="330">
        <f>AL157/VPI!R157</f>
        <v>0</v>
      </c>
      <c r="AN157" s="498"/>
      <c r="AO157" s="568"/>
      <c r="AP157" s="511">
        <v>5.0377878607822941</v>
      </c>
      <c r="AR157" s="564">
        <v>0</v>
      </c>
    </row>
    <row r="158" spans="1:44" x14ac:dyDescent="0.25">
      <c r="A158" s="559">
        <v>5665</v>
      </c>
      <c r="B158" s="560" t="s">
        <v>85</v>
      </c>
      <c r="C158" s="488">
        <v>318198.40000000002</v>
      </c>
      <c r="D158" s="488">
        <v>48316.12</v>
      </c>
      <c r="E158" s="488"/>
      <c r="F158" s="489"/>
      <c r="G158" s="488">
        <v>2548.4499999999998</v>
      </c>
      <c r="H158" s="488">
        <v>104.7</v>
      </c>
      <c r="I158" s="488"/>
      <c r="J158" s="488">
        <v>13844.1</v>
      </c>
      <c r="K158" s="488">
        <v>54.5</v>
      </c>
      <c r="L158" s="488">
        <v>30251.4</v>
      </c>
      <c r="M158" s="367">
        <f t="shared" si="8"/>
        <v>413317.67000000004</v>
      </c>
      <c r="N158" s="492">
        <v>0</v>
      </c>
      <c r="O158" s="492"/>
      <c r="P158" s="492">
        <v>660</v>
      </c>
      <c r="Q158" s="492">
        <v>-0.04</v>
      </c>
      <c r="R158" s="492"/>
      <c r="S158" s="488">
        <v>250.15</v>
      </c>
      <c r="T158" s="367">
        <f t="shared" si="9"/>
        <v>414227.78000000009</v>
      </c>
      <c r="U158" s="490">
        <v>-43.7</v>
      </c>
      <c r="V158" s="492"/>
      <c r="W158" s="492">
        <v>0</v>
      </c>
      <c r="X158" s="496">
        <v>70</v>
      </c>
      <c r="Y158" s="497">
        <v>1</v>
      </c>
      <c r="Z158" s="498">
        <v>238</v>
      </c>
      <c r="AA158" s="561"/>
      <c r="AB158" s="503"/>
      <c r="AC158" s="330">
        <f>AB158/VPI!R158</f>
        <v>0</v>
      </c>
      <c r="AD158" s="332">
        <f t="shared" si="10"/>
        <v>0</v>
      </c>
      <c r="AE158" s="330">
        <f>AD158/VPI!R158</f>
        <v>0</v>
      </c>
      <c r="AF158" s="503"/>
      <c r="AG158" s="503"/>
      <c r="AH158" s="503"/>
      <c r="AI158" s="568"/>
      <c r="AJ158" s="498"/>
      <c r="AK158" s="330">
        <f>AJ158/VPI!R158</f>
        <v>0</v>
      </c>
      <c r="AL158" s="332">
        <f t="shared" si="11"/>
        <v>0</v>
      </c>
      <c r="AM158" s="330">
        <f>AL158/VPI!R158</f>
        <v>0</v>
      </c>
      <c r="AN158" s="498"/>
      <c r="AO158" s="568"/>
      <c r="AP158" s="511">
        <v>9.7375782056126319</v>
      </c>
      <c r="AR158" s="564">
        <v>0</v>
      </c>
    </row>
    <row r="159" spans="1:44" x14ac:dyDescent="0.25">
      <c r="A159" s="559">
        <v>5669</v>
      </c>
      <c r="B159" s="560" t="s">
        <v>86</v>
      </c>
      <c r="C159" s="488">
        <v>504787.59</v>
      </c>
      <c r="D159" s="488">
        <v>129117.6</v>
      </c>
      <c r="E159" s="488"/>
      <c r="F159" s="489"/>
      <c r="G159" s="488">
        <v>4688.95</v>
      </c>
      <c r="H159" s="488">
        <v>594.75</v>
      </c>
      <c r="I159" s="488"/>
      <c r="J159" s="488">
        <v>3619.96</v>
      </c>
      <c r="K159" s="488">
        <v>255.7</v>
      </c>
      <c r="L159" s="488">
        <v>24816.65</v>
      </c>
      <c r="M159" s="367">
        <f t="shared" si="8"/>
        <v>667881.19999999995</v>
      </c>
      <c r="N159" s="492">
        <v>0</v>
      </c>
      <c r="O159" s="492"/>
      <c r="P159" s="492">
        <v>49239.4</v>
      </c>
      <c r="Q159" s="492">
        <v>5781.31</v>
      </c>
      <c r="R159" s="492">
        <v>97518.95</v>
      </c>
      <c r="S159" s="488">
        <v>498.17</v>
      </c>
      <c r="T159" s="367">
        <f t="shared" si="9"/>
        <v>820919.03</v>
      </c>
      <c r="U159" s="490">
        <v>-7911.3</v>
      </c>
      <c r="V159" s="492"/>
      <c r="W159" s="492">
        <v>0</v>
      </c>
      <c r="X159" s="496">
        <v>73</v>
      </c>
      <c r="Y159" s="497">
        <v>0.5</v>
      </c>
      <c r="Z159" s="498">
        <v>310</v>
      </c>
      <c r="AA159" s="561"/>
      <c r="AB159" s="503"/>
      <c r="AC159" s="330">
        <f>AB159/VPI!R159</f>
        <v>0</v>
      </c>
      <c r="AD159" s="332">
        <f t="shared" si="10"/>
        <v>0</v>
      </c>
      <c r="AE159" s="330">
        <f>AD159/VPI!R159</f>
        <v>0</v>
      </c>
      <c r="AF159" s="503"/>
      <c r="AG159" s="503"/>
      <c r="AH159" s="503"/>
      <c r="AI159" s="568"/>
      <c r="AJ159" s="498"/>
      <c r="AK159" s="330">
        <f>AJ159/VPI!R159</f>
        <v>0</v>
      </c>
      <c r="AL159" s="332">
        <f t="shared" si="11"/>
        <v>0</v>
      </c>
      <c r="AM159" s="330">
        <f>AL159/VPI!R159</f>
        <v>0</v>
      </c>
      <c r="AN159" s="498"/>
      <c r="AO159" s="568"/>
      <c r="AP159" s="511">
        <v>11.56134819053133</v>
      </c>
      <c r="AR159" s="564">
        <v>0</v>
      </c>
    </row>
    <row r="160" spans="1:44" x14ac:dyDescent="0.25">
      <c r="A160" s="559">
        <v>5671</v>
      </c>
      <c r="B160" s="560" t="s">
        <v>87</v>
      </c>
      <c r="C160" s="488">
        <v>485901.65</v>
      </c>
      <c r="D160" s="488">
        <v>103585.36</v>
      </c>
      <c r="E160" s="488"/>
      <c r="F160" s="489">
        <v>1246</v>
      </c>
      <c r="G160" s="488">
        <v>3831.05</v>
      </c>
      <c r="H160" s="488">
        <v>69.7</v>
      </c>
      <c r="I160" s="488"/>
      <c r="J160" s="488">
        <v>5265.87</v>
      </c>
      <c r="K160" s="488">
        <v>223.5</v>
      </c>
      <c r="L160" s="488">
        <v>34898</v>
      </c>
      <c r="M160" s="367">
        <f t="shared" si="8"/>
        <v>635021.13</v>
      </c>
      <c r="N160" s="492">
        <v>0</v>
      </c>
      <c r="O160" s="492"/>
      <c r="P160" s="492">
        <v>25295.05</v>
      </c>
      <c r="Q160" s="492"/>
      <c r="R160" s="492">
        <v>12120.9</v>
      </c>
      <c r="S160" s="488">
        <v>367.78</v>
      </c>
      <c r="T160" s="367">
        <f t="shared" si="9"/>
        <v>672804.8600000001</v>
      </c>
      <c r="U160" s="490">
        <v>-5824.15</v>
      </c>
      <c r="V160" s="492"/>
      <c r="W160" s="492">
        <v>0</v>
      </c>
      <c r="X160" s="496">
        <v>78</v>
      </c>
      <c r="Y160" s="497">
        <v>1</v>
      </c>
      <c r="Z160" s="498">
        <v>253</v>
      </c>
      <c r="AA160" s="561"/>
      <c r="AB160" s="503"/>
      <c r="AC160" s="330">
        <f>AB160/VPI!R160</f>
        <v>0</v>
      </c>
      <c r="AD160" s="332">
        <f t="shared" si="10"/>
        <v>0</v>
      </c>
      <c r="AE160" s="330">
        <f>AD160/VPI!R160</f>
        <v>0</v>
      </c>
      <c r="AF160" s="503"/>
      <c r="AG160" s="503"/>
      <c r="AH160" s="503"/>
      <c r="AI160" s="568"/>
      <c r="AJ160" s="498"/>
      <c r="AK160" s="330">
        <f>AJ160/VPI!R160</f>
        <v>0</v>
      </c>
      <c r="AL160" s="332">
        <f t="shared" si="11"/>
        <v>0</v>
      </c>
      <c r="AM160" s="330">
        <f>AL160/VPI!R160</f>
        <v>0</v>
      </c>
      <c r="AN160" s="498"/>
      <c r="AO160" s="568"/>
      <c r="AP160" s="511">
        <v>7.0580462282941605</v>
      </c>
      <c r="AR160" s="564">
        <v>0</v>
      </c>
    </row>
    <row r="161" spans="1:44" x14ac:dyDescent="0.25">
      <c r="A161" s="559">
        <v>5673</v>
      </c>
      <c r="B161" s="560" t="s">
        <v>88</v>
      </c>
      <c r="C161" s="488">
        <v>680052.9</v>
      </c>
      <c r="D161" s="488">
        <v>76996.41</v>
      </c>
      <c r="E161" s="488"/>
      <c r="F161" s="489">
        <v>2240</v>
      </c>
      <c r="G161" s="488">
        <v>820.75</v>
      </c>
      <c r="H161" s="488">
        <v>624.85</v>
      </c>
      <c r="I161" s="488"/>
      <c r="J161" s="488">
        <v>3912.51</v>
      </c>
      <c r="K161" s="488">
        <v>408</v>
      </c>
      <c r="L161" s="488">
        <v>30012.3</v>
      </c>
      <c r="M161" s="367">
        <f t="shared" si="8"/>
        <v>795067.72000000009</v>
      </c>
      <c r="N161" s="492">
        <v>10190.6</v>
      </c>
      <c r="O161" s="492"/>
      <c r="P161" s="492">
        <v>11000</v>
      </c>
      <c r="Q161" s="492"/>
      <c r="R161" s="492">
        <v>34163.449999999997</v>
      </c>
      <c r="S161" s="488">
        <v>136.30000000000001</v>
      </c>
      <c r="T161" s="367">
        <f t="shared" si="9"/>
        <v>850558.07000000007</v>
      </c>
      <c r="U161" s="490">
        <v>-3073.46</v>
      </c>
      <c r="V161" s="492"/>
      <c r="W161" s="492">
        <v>-85.75</v>
      </c>
      <c r="X161" s="496">
        <v>73.5</v>
      </c>
      <c r="Y161" s="497">
        <v>0.6</v>
      </c>
      <c r="Z161" s="498">
        <v>377</v>
      </c>
      <c r="AA161" s="561"/>
      <c r="AB161" s="503"/>
      <c r="AC161" s="330">
        <f>AB161/VPI!R161</f>
        <v>0</v>
      </c>
      <c r="AD161" s="332">
        <f t="shared" si="10"/>
        <v>0</v>
      </c>
      <c r="AE161" s="330">
        <f>AD161/VPI!R161</f>
        <v>0</v>
      </c>
      <c r="AF161" s="503"/>
      <c r="AG161" s="503"/>
      <c r="AH161" s="503"/>
      <c r="AI161" s="568"/>
      <c r="AJ161" s="498"/>
      <c r="AK161" s="330">
        <f>AJ161/VPI!R161</f>
        <v>0</v>
      </c>
      <c r="AL161" s="332">
        <f t="shared" si="11"/>
        <v>0</v>
      </c>
      <c r="AM161" s="330">
        <f>AL161/VPI!R161</f>
        <v>0</v>
      </c>
      <c r="AN161" s="498"/>
      <c r="AO161" s="568"/>
      <c r="AP161" s="511">
        <v>6.9240171471970591</v>
      </c>
      <c r="AR161" s="564">
        <v>0</v>
      </c>
    </row>
    <row r="162" spans="1:44" x14ac:dyDescent="0.25">
      <c r="A162" s="559">
        <v>5674</v>
      </c>
      <c r="B162" s="560" t="s">
        <v>89</v>
      </c>
      <c r="C162" s="488">
        <v>246728.03</v>
      </c>
      <c r="D162" s="488">
        <v>42355.44</v>
      </c>
      <c r="E162" s="488"/>
      <c r="F162" s="489"/>
      <c r="G162" s="488">
        <v>350.25</v>
      </c>
      <c r="H162" s="488">
        <v>123.75</v>
      </c>
      <c r="I162" s="488"/>
      <c r="J162" s="488">
        <v>80.13</v>
      </c>
      <c r="K162" s="488">
        <v>64.099999999999994</v>
      </c>
      <c r="L162" s="488">
        <v>14789.25</v>
      </c>
      <c r="M162" s="367">
        <f t="shared" si="8"/>
        <v>304490.94999999995</v>
      </c>
      <c r="N162" s="492">
        <v>0</v>
      </c>
      <c r="O162" s="492"/>
      <c r="P162" s="492">
        <v>331.8</v>
      </c>
      <c r="Q162" s="492">
        <v>1761.67</v>
      </c>
      <c r="R162" s="492">
        <v>669.65</v>
      </c>
      <c r="S162" s="488">
        <v>44.69</v>
      </c>
      <c r="T162" s="367">
        <f t="shared" si="9"/>
        <v>307298.75999999995</v>
      </c>
      <c r="U162" s="490">
        <v>-4817.76</v>
      </c>
      <c r="V162" s="492"/>
      <c r="W162" s="492">
        <v>0</v>
      </c>
      <c r="X162" s="496">
        <v>75</v>
      </c>
      <c r="Y162" s="497">
        <v>0.7</v>
      </c>
      <c r="Z162" s="498">
        <v>142</v>
      </c>
      <c r="AA162" s="561"/>
      <c r="AB162" s="503"/>
      <c r="AC162" s="330">
        <f>AB162/VPI!R162</f>
        <v>0</v>
      </c>
      <c r="AD162" s="332">
        <f t="shared" si="10"/>
        <v>0</v>
      </c>
      <c r="AE162" s="330">
        <f>AD162/VPI!R162</f>
        <v>0</v>
      </c>
      <c r="AF162" s="503"/>
      <c r="AG162" s="503"/>
      <c r="AH162" s="503"/>
      <c r="AI162" s="568"/>
      <c r="AJ162" s="498"/>
      <c r="AK162" s="330">
        <f>AJ162/VPI!R162</f>
        <v>0</v>
      </c>
      <c r="AL162" s="332">
        <f t="shared" si="11"/>
        <v>0</v>
      </c>
      <c r="AM162" s="330">
        <f>AL162/VPI!R162</f>
        <v>0</v>
      </c>
      <c r="AN162" s="498"/>
      <c r="AO162" s="568"/>
      <c r="AP162" s="511">
        <v>4.0119459378131035</v>
      </c>
      <c r="AR162" s="564">
        <v>0</v>
      </c>
    </row>
    <row r="163" spans="1:44" x14ac:dyDescent="0.25">
      <c r="A163" s="559">
        <v>5675</v>
      </c>
      <c r="B163" s="560" t="s">
        <v>90</v>
      </c>
      <c r="C163" s="488">
        <v>5010462.9800000004</v>
      </c>
      <c r="D163" s="488">
        <v>560976.4</v>
      </c>
      <c r="E163" s="488"/>
      <c r="F163" s="489"/>
      <c r="G163" s="488">
        <v>314042.90000000002</v>
      </c>
      <c r="H163" s="488">
        <v>35482.15</v>
      </c>
      <c r="I163" s="488"/>
      <c r="J163" s="488">
        <v>259287.05</v>
      </c>
      <c r="K163" s="488">
        <v>70282</v>
      </c>
      <c r="L163" s="488">
        <v>754684.25</v>
      </c>
      <c r="M163" s="367">
        <f t="shared" si="8"/>
        <v>7005217.7300000014</v>
      </c>
      <c r="N163" s="492">
        <v>22017.7</v>
      </c>
      <c r="O163" s="492">
        <v>27995.200000000001</v>
      </c>
      <c r="P163" s="492">
        <v>528493.05000000005</v>
      </c>
      <c r="Q163" s="492">
        <v>45868.36</v>
      </c>
      <c r="R163" s="492">
        <v>215754.35</v>
      </c>
      <c r="S163" s="488">
        <v>32954.559999999998</v>
      </c>
      <c r="T163" s="367">
        <f t="shared" si="9"/>
        <v>7878300.9500000011</v>
      </c>
      <c r="U163" s="490">
        <v>-209222.49</v>
      </c>
      <c r="V163" s="492"/>
      <c r="W163" s="492">
        <v>-766.3</v>
      </c>
      <c r="X163" s="496">
        <v>69.5</v>
      </c>
      <c r="Y163" s="497">
        <v>1.1000000000000001</v>
      </c>
      <c r="Z163" s="498">
        <v>4599</v>
      </c>
      <c r="AA163" s="561"/>
      <c r="AB163" s="503"/>
      <c r="AC163" s="330">
        <f>AB163/VPI!R163</f>
        <v>0</v>
      </c>
      <c r="AD163" s="332">
        <f t="shared" si="10"/>
        <v>0</v>
      </c>
      <c r="AE163" s="330">
        <f>AD163/VPI!R163</f>
        <v>0</v>
      </c>
      <c r="AF163" s="503"/>
      <c r="AG163" s="503"/>
      <c r="AH163" s="503"/>
      <c r="AI163" s="568"/>
      <c r="AJ163" s="498"/>
      <c r="AK163" s="330">
        <f>AJ163/VPI!R163</f>
        <v>0</v>
      </c>
      <c r="AL163" s="332">
        <f t="shared" si="11"/>
        <v>0</v>
      </c>
      <c r="AM163" s="330">
        <f>AL163/VPI!R163</f>
        <v>0</v>
      </c>
      <c r="AN163" s="498"/>
      <c r="AO163" s="568"/>
      <c r="AP163" s="511">
        <v>-11.558304541437041</v>
      </c>
      <c r="AR163" s="564">
        <v>0</v>
      </c>
    </row>
    <row r="164" spans="1:44" x14ac:dyDescent="0.25">
      <c r="A164" s="559">
        <v>5678</v>
      </c>
      <c r="B164" s="560" t="s">
        <v>91</v>
      </c>
      <c r="C164" s="488">
        <v>6686159.1100000003</v>
      </c>
      <c r="D164" s="488">
        <v>751501.67</v>
      </c>
      <c r="E164" s="488"/>
      <c r="F164" s="489">
        <v>35690</v>
      </c>
      <c r="G164" s="488">
        <v>819505</v>
      </c>
      <c r="H164" s="488">
        <v>15451.4</v>
      </c>
      <c r="I164" s="488"/>
      <c r="J164" s="488">
        <v>455527.03</v>
      </c>
      <c r="K164" s="488">
        <v>87909.25</v>
      </c>
      <c r="L164" s="488">
        <v>905011.85</v>
      </c>
      <c r="M164" s="367">
        <f t="shared" si="8"/>
        <v>9756755.3100000005</v>
      </c>
      <c r="N164" s="492">
        <v>216058.7</v>
      </c>
      <c r="O164" s="492">
        <v>197858.6</v>
      </c>
      <c r="P164" s="492">
        <v>599272.25</v>
      </c>
      <c r="Q164" s="492">
        <v>186298.55</v>
      </c>
      <c r="R164" s="492">
        <v>386644.1</v>
      </c>
      <c r="S164" s="488">
        <v>78722.89</v>
      </c>
      <c r="T164" s="367">
        <f t="shared" si="9"/>
        <v>11421610.4</v>
      </c>
      <c r="U164" s="490">
        <v>-317542.99</v>
      </c>
      <c r="V164" s="492"/>
      <c r="W164" s="492">
        <v>-4739.46</v>
      </c>
      <c r="X164" s="496">
        <v>72.5</v>
      </c>
      <c r="Y164" s="497">
        <v>1</v>
      </c>
      <c r="Z164" s="498">
        <v>6375</v>
      </c>
      <c r="AA164" s="561"/>
      <c r="AB164" s="503"/>
      <c r="AC164" s="330">
        <f>AB164/VPI!R164</f>
        <v>0</v>
      </c>
      <c r="AD164" s="332">
        <f t="shared" si="10"/>
        <v>0</v>
      </c>
      <c r="AE164" s="330">
        <f>AD164/VPI!R164</f>
        <v>0</v>
      </c>
      <c r="AF164" s="503"/>
      <c r="AG164" s="503"/>
      <c r="AH164" s="503"/>
      <c r="AI164" s="568"/>
      <c r="AJ164" s="498"/>
      <c r="AK164" s="330">
        <f>AJ164/VPI!R164</f>
        <v>0</v>
      </c>
      <c r="AL164" s="332">
        <f t="shared" si="11"/>
        <v>0</v>
      </c>
      <c r="AM164" s="330">
        <f>AL164/VPI!R164</f>
        <v>0</v>
      </c>
      <c r="AN164" s="498"/>
      <c r="AO164" s="568"/>
      <c r="AP164" s="511">
        <v>-12.376210938285993</v>
      </c>
      <c r="AR164" s="564">
        <v>0</v>
      </c>
    </row>
    <row r="165" spans="1:44" x14ac:dyDescent="0.25">
      <c r="A165" s="559">
        <v>5680</v>
      </c>
      <c r="B165" s="560" t="s">
        <v>92</v>
      </c>
      <c r="C165" s="488">
        <v>431457.2</v>
      </c>
      <c r="D165" s="488">
        <v>90526.95</v>
      </c>
      <c r="E165" s="488"/>
      <c r="F165" s="489"/>
      <c r="G165" s="488">
        <v>8181.5</v>
      </c>
      <c r="H165" s="488">
        <v>6356.85</v>
      </c>
      <c r="I165" s="488"/>
      <c r="J165" s="488">
        <v>21507.919999999998</v>
      </c>
      <c r="K165" s="488">
        <v>2747.95</v>
      </c>
      <c r="L165" s="488">
        <v>87696.25</v>
      </c>
      <c r="M165" s="367">
        <f t="shared" si="8"/>
        <v>648474.62</v>
      </c>
      <c r="N165" s="492">
        <v>0</v>
      </c>
      <c r="O165" s="492">
        <v>9665.6</v>
      </c>
      <c r="P165" s="492">
        <v>33660</v>
      </c>
      <c r="Q165" s="492"/>
      <c r="R165" s="492">
        <v>61251.9</v>
      </c>
      <c r="S165" s="488">
        <v>1370.73</v>
      </c>
      <c r="T165" s="367">
        <f t="shared" si="9"/>
        <v>754422.85</v>
      </c>
      <c r="U165" s="490">
        <v>-3671.31</v>
      </c>
      <c r="V165" s="492"/>
      <c r="W165" s="492">
        <v>-0.23</v>
      </c>
      <c r="X165" s="496">
        <v>78</v>
      </c>
      <c r="Y165" s="497">
        <v>1.5</v>
      </c>
      <c r="Z165" s="498">
        <v>332</v>
      </c>
      <c r="AA165" s="561"/>
      <c r="AB165" s="503"/>
      <c r="AC165" s="330">
        <f>AB165/VPI!R165</f>
        <v>0</v>
      </c>
      <c r="AD165" s="332">
        <f t="shared" si="10"/>
        <v>0</v>
      </c>
      <c r="AE165" s="330">
        <f>AD165/VPI!R165</f>
        <v>0</v>
      </c>
      <c r="AF165" s="503"/>
      <c r="AG165" s="503"/>
      <c r="AH165" s="503"/>
      <c r="AI165" s="568"/>
      <c r="AJ165" s="498"/>
      <c r="AK165" s="330">
        <f>AJ165/VPI!R165</f>
        <v>0</v>
      </c>
      <c r="AL165" s="332">
        <f t="shared" si="11"/>
        <v>0</v>
      </c>
      <c r="AM165" s="330">
        <f>AL165/VPI!R165</f>
        <v>0</v>
      </c>
      <c r="AN165" s="498"/>
      <c r="AO165" s="568"/>
      <c r="AP165" s="511">
        <v>13.130721028431024</v>
      </c>
      <c r="AR165" s="564">
        <v>0</v>
      </c>
    </row>
    <row r="166" spans="1:44" x14ac:dyDescent="0.25">
      <c r="A166" s="559">
        <v>5683</v>
      </c>
      <c r="B166" s="560" t="s">
        <v>93</v>
      </c>
      <c r="C166" s="488">
        <v>366739.52</v>
      </c>
      <c r="D166" s="488">
        <v>35719.24</v>
      </c>
      <c r="E166" s="488"/>
      <c r="F166" s="489"/>
      <c r="G166" s="488">
        <v>9425</v>
      </c>
      <c r="H166" s="488">
        <v>881.4</v>
      </c>
      <c r="I166" s="488"/>
      <c r="J166" s="488">
        <v>5590.6</v>
      </c>
      <c r="K166" s="488">
        <v>2570.5</v>
      </c>
      <c r="L166" s="488">
        <v>31960</v>
      </c>
      <c r="M166" s="367">
        <f t="shared" si="8"/>
        <v>452886.26</v>
      </c>
      <c r="N166" s="492">
        <v>0</v>
      </c>
      <c r="O166" s="492"/>
      <c r="P166" s="492">
        <v>51905.05</v>
      </c>
      <c r="Q166" s="492">
        <v>22119.9</v>
      </c>
      <c r="R166" s="492">
        <v>33354.35</v>
      </c>
      <c r="S166" s="488">
        <v>971.73</v>
      </c>
      <c r="T166" s="367">
        <f t="shared" si="9"/>
        <v>561237.28999999992</v>
      </c>
      <c r="U166" s="490">
        <v>-5527.12</v>
      </c>
      <c r="V166" s="492"/>
      <c r="W166" s="492">
        <v>0</v>
      </c>
      <c r="X166" s="496">
        <v>72.5</v>
      </c>
      <c r="Y166" s="497">
        <v>1</v>
      </c>
      <c r="Z166" s="498">
        <v>226</v>
      </c>
      <c r="AA166" s="561"/>
      <c r="AB166" s="503"/>
      <c r="AC166" s="330">
        <f>AB166/VPI!R166</f>
        <v>0</v>
      </c>
      <c r="AD166" s="332">
        <f t="shared" si="10"/>
        <v>0</v>
      </c>
      <c r="AE166" s="330">
        <f>AD166/VPI!R166</f>
        <v>0</v>
      </c>
      <c r="AF166" s="503"/>
      <c r="AG166" s="503"/>
      <c r="AH166" s="503"/>
      <c r="AI166" s="568"/>
      <c r="AJ166" s="498"/>
      <c r="AK166" s="330">
        <f>AJ166/VPI!R166</f>
        <v>0</v>
      </c>
      <c r="AL166" s="332">
        <f t="shared" si="11"/>
        <v>0</v>
      </c>
      <c r="AM166" s="330">
        <f>AL166/VPI!R166</f>
        <v>0</v>
      </c>
      <c r="AN166" s="498"/>
      <c r="AO166" s="568"/>
      <c r="AP166" s="511">
        <v>3.0721707444332047</v>
      </c>
      <c r="AR166" s="564">
        <v>0</v>
      </c>
    </row>
    <row r="167" spans="1:44" x14ac:dyDescent="0.25">
      <c r="A167" s="559">
        <v>5684</v>
      </c>
      <c r="B167" s="560" t="s">
        <v>94</v>
      </c>
      <c r="C167" s="514">
        <v>297006.45</v>
      </c>
      <c r="D167" s="514">
        <v>36301</v>
      </c>
      <c r="E167" s="488"/>
      <c r="F167" s="489"/>
      <c r="G167" s="488">
        <v>722.45</v>
      </c>
      <c r="H167" s="488">
        <v>83.35</v>
      </c>
      <c r="I167" s="488"/>
      <c r="J167" s="488">
        <v>6917.64</v>
      </c>
      <c r="K167" s="488"/>
      <c r="L167" s="488">
        <v>10906.1</v>
      </c>
      <c r="M167" s="367">
        <f t="shared" si="8"/>
        <v>351936.99</v>
      </c>
      <c r="N167" s="492">
        <v>0</v>
      </c>
      <c r="O167" s="492"/>
      <c r="P167" s="492"/>
      <c r="Q167" s="492"/>
      <c r="R167" s="492"/>
      <c r="S167" s="488">
        <v>75.97</v>
      </c>
      <c r="T167" s="367">
        <f t="shared" si="9"/>
        <v>352012.95999999996</v>
      </c>
      <c r="U167" s="490">
        <v>-3082.26</v>
      </c>
      <c r="V167" s="492"/>
      <c r="W167" s="492">
        <v>0</v>
      </c>
      <c r="X167" s="496">
        <v>70</v>
      </c>
      <c r="Y167" s="497">
        <v>0.8</v>
      </c>
      <c r="Z167" s="498">
        <v>88</v>
      </c>
      <c r="AA167" s="561"/>
      <c r="AB167" s="503"/>
      <c r="AC167" s="330">
        <f>AB167/VPI!R167</f>
        <v>0</v>
      </c>
      <c r="AD167" s="332">
        <f t="shared" si="10"/>
        <v>0</v>
      </c>
      <c r="AE167" s="330">
        <f>AD167/VPI!R167</f>
        <v>0</v>
      </c>
      <c r="AF167" s="503"/>
      <c r="AG167" s="503"/>
      <c r="AH167" s="503"/>
      <c r="AI167" s="568"/>
      <c r="AJ167" s="498"/>
      <c r="AK167" s="330">
        <f>AJ167/VPI!R167</f>
        <v>0</v>
      </c>
      <c r="AL167" s="332">
        <f t="shared" si="11"/>
        <v>0</v>
      </c>
      <c r="AM167" s="330">
        <f>AL167/VPI!R167</f>
        <v>0</v>
      </c>
      <c r="AN167" s="498"/>
      <c r="AO167" s="568"/>
      <c r="AP167" s="511">
        <v>36.477555941478755</v>
      </c>
      <c r="AR167" s="564">
        <v>0</v>
      </c>
    </row>
    <row r="168" spans="1:44" x14ac:dyDescent="0.25">
      <c r="A168" s="559">
        <v>5688</v>
      </c>
      <c r="B168" s="560" t="s">
        <v>95</v>
      </c>
      <c r="C168" s="488">
        <v>262454.89</v>
      </c>
      <c r="D168" s="488">
        <v>54747.29</v>
      </c>
      <c r="E168" s="488"/>
      <c r="F168" s="489"/>
      <c r="G168" s="488">
        <v>-8886.15</v>
      </c>
      <c r="H168" s="488">
        <v>634.35</v>
      </c>
      <c r="I168" s="488"/>
      <c r="J168" s="488">
        <v>8034.94</v>
      </c>
      <c r="K168" s="488">
        <v>105</v>
      </c>
      <c r="L168" s="488">
        <v>25439</v>
      </c>
      <c r="M168" s="367">
        <f t="shared" si="8"/>
        <v>342529.31999999995</v>
      </c>
      <c r="N168" s="492">
        <v>0</v>
      </c>
      <c r="O168" s="492">
        <v>115.7</v>
      </c>
      <c r="P168" s="492">
        <v>45.1</v>
      </c>
      <c r="Q168" s="492"/>
      <c r="R168" s="492">
        <v>3864.7</v>
      </c>
      <c r="S168" s="488">
        <v>-778.01</v>
      </c>
      <c r="T168" s="367">
        <f t="shared" si="9"/>
        <v>345776.80999999994</v>
      </c>
      <c r="U168" s="490">
        <v>-2104.5100000000002</v>
      </c>
      <c r="V168" s="492"/>
      <c r="W168" s="492">
        <v>0</v>
      </c>
      <c r="X168" s="496">
        <v>65</v>
      </c>
      <c r="Y168" s="497">
        <v>1</v>
      </c>
      <c r="Z168" s="498">
        <v>166</v>
      </c>
      <c r="AA168" s="561"/>
      <c r="AB168" s="503"/>
      <c r="AC168" s="330">
        <f>AB168/VPI!R168</f>
        <v>0</v>
      </c>
      <c r="AD168" s="332">
        <f t="shared" si="10"/>
        <v>0</v>
      </c>
      <c r="AE168" s="330">
        <f>AD168/VPI!R168</f>
        <v>0</v>
      </c>
      <c r="AF168" s="503"/>
      <c r="AG168" s="503"/>
      <c r="AH168" s="503"/>
      <c r="AI168" s="568"/>
      <c r="AJ168" s="498"/>
      <c r="AK168" s="330">
        <f>AJ168/VPI!R168</f>
        <v>0</v>
      </c>
      <c r="AL168" s="332">
        <f t="shared" si="11"/>
        <v>0</v>
      </c>
      <c r="AM168" s="330">
        <f>AL168/VPI!R168</f>
        <v>0</v>
      </c>
      <c r="AN168" s="498"/>
      <c r="AO168" s="568"/>
      <c r="AP168" s="511">
        <v>18.215246308338024</v>
      </c>
      <c r="AR168" s="564">
        <v>0</v>
      </c>
    </row>
    <row r="169" spans="1:44" x14ac:dyDescent="0.25">
      <c r="A169" s="559">
        <v>5690</v>
      </c>
      <c r="B169" s="560" t="s">
        <v>96</v>
      </c>
      <c r="C169" s="488">
        <v>239597.04</v>
      </c>
      <c r="D169" s="488">
        <v>34297.370000000003</v>
      </c>
      <c r="E169" s="488"/>
      <c r="F169" s="489">
        <v>830</v>
      </c>
      <c r="G169" s="488">
        <v>672.65</v>
      </c>
      <c r="H169" s="488">
        <v>407.45</v>
      </c>
      <c r="I169" s="488"/>
      <c r="J169" s="488">
        <v>51.81</v>
      </c>
      <c r="K169" s="488">
        <v>184.1</v>
      </c>
      <c r="L169" s="488">
        <v>21958.7</v>
      </c>
      <c r="M169" s="367">
        <f t="shared" si="8"/>
        <v>297999.12000000005</v>
      </c>
      <c r="N169" s="492">
        <v>0</v>
      </c>
      <c r="O169" s="492">
        <v>41772.1</v>
      </c>
      <c r="P169" s="492">
        <v>7289.85</v>
      </c>
      <c r="Q169" s="492"/>
      <c r="R169" s="492">
        <v>14831.2</v>
      </c>
      <c r="S169" s="488">
        <v>101.84</v>
      </c>
      <c r="T169" s="367">
        <f t="shared" si="9"/>
        <v>361994.11000000004</v>
      </c>
      <c r="U169" s="490">
        <v>-41.82</v>
      </c>
      <c r="V169" s="492"/>
      <c r="W169" s="492">
        <v>0</v>
      </c>
      <c r="X169" s="496">
        <v>68</v>
      </c>
      <c r="Y169" s="497">
        <v>1</v>
      </c>
      <c r="Z169" s="498">
        <v>135</v>
      </c>
      <c r="AA169" s="561"/>
      <c r="AB169" s="503"/>
      <c r="AC169" s="330">
        <f>AB169/VPI!R169</f>
        <v>0</v>
      </c>
      <c r="AD169" s="332">
        <f t="shared" si="10"/>
        <v>0</v>
      </c>
      <c r="AE169" s="330">
        <f>AD169/VPI!R169</f>
        <v>0</v>
      </c>
      <c r="AF169" s="503"/>
      <c r="AG169" s="503"/>
      <c r="AH169" s="503"/>
      <c r="AI169" s="568"/>
      <c r="AJ169" s="498"/>
      <c r="AK169" s="330">
        <f>AJ169/VPI!R169</f>
        <v>0</v>
      </c>
      <c r="AL169" s="332">
        <f t="shared" si="11"/>
        <v>0</v>
      </c>
      <c r="AM169" s="330">
        <f>AL169/VPI!R169</f>
        <v>0</v>
      </c>
      <c r="AN169" s="498"/>
      <c r="AO169" s="568"/>
      <c r="AP169" s="511">
        <v>16.005605482068347</v>
      </c>
      <c r="AR169" s="564">
        <v>0</v>
      </c>
    </row>
    <row r="170" spans="1:44" x14ac:dyDescent="0.25">
      <c r="A170" s="559">
        <v>5692</v>
      </c>
      <c r="B170" s="560" t="s">
        <v>97</v>
      </c>
      <c r="C170" s="488">
        <v>1163262.8</v>
      </c>
      <c r="D170" s="488">
        <v>116343.45</v>
      </c>
      <c r="E170" s="488"/>
      <c r="F170" s="489"/>
      <c r="G170" s="488">
        <v>12056.65</v>
      </c>
      <c r="H170" s="488">
        <v>53.5</v>
      </c>
      <c r="I170" s="488"/>
      <c r="J170" s="488">
        <v>13077.56</v>
      </c>
      <c r="K170" s="488">
        <v>4697</v>
      </c>
      <c r="L170" s="488">
        <v>111261</v>
      </c>
      <c r="M170" s="367">
        <f t="shared" si="8"/>
        <v>1420751.96</v>
      </c>
      <c r="N170" s="492">
        <v>16449.150000000001</v>
      </c>
      <c r="O170" s="492"/>
      <c r="P170" s="492">
        <v>40901.949999999997</v>
      </c>
      <c r="Q170" s="492">
        <v>207.6</v>
      </c>
      <c r="R170" s="492">
        <v>119121.65</v>
      </c>
      <c r="S170" s="488">
        <v>1141.79</v>
      </c>
      <c r="T170" s="367">
        <f t="shared" si="9"/>
        <v>1598574.0999999999</v>
      </c>
      <c r="U170" s="490">
        <v>-4576.22</v>
      </c>
      <c r="V170" s="492"/>
      <c r="W170" s="492">
        <v>-83.35</v>
      </c>
      <c r="X170" s="496">
        <v>77</v>
      </c>
      <c r="Y170" s="497">
        <v>1</v>
      </c>
      <c r="Z170" s="498">
        <v>635</v>
      </c>
      <c r="AA170" s="561"/>
      <c r="AB170" s="503"/>
      <c r="AC170" s="330">
        <f>AB170/VPI!R170</f>
        <v>0</v>
      </c>
      <c r="AD170" s="332">
        <f t="shared" si="10"/>
        <v>0</v>
      </c>
      <c r="AE170" s="330">
        <f>AD170/VPI!R170</f>
        <v>0</v>
      </c>
      <c r="AF170" s="503"/>
      <c r="AG170" s="503"/>
      <c r="AH170" s="503"/>
      <c r="AI170" s="568"/>
      <c r="AJ170" s="498"/>
      <c r="AK170" s="330">
        <f>AJ170/VPI!R170</f>
        <v>0</v>
      </c>
      <c r="AL170" s="332">
        <f t="shared" si="11"/>
        <v>0</v>
      </c>
      <c r="AM170" s="330">
        <f>AL170/VPI!R170</f>
        <v>0</v>
      </c>
      <c r="AN170" s="498"/>
      <c r="AO170" s="568"/>
      <c r="AP170" s="511">
        <v>11.521925801564942</v>
      </c>
      <c r="AR170" s="564">
        <v>0</v>
      </c>
    </row>
    <row r="171" spans="1:44" x14ac:dyDescent="0.25">
      <c r="A171" s="559">
        <v>5693</v>
      </c>
      <c r="B171" s="560" t="s">
        <v>352</v>
      </c>
      <c r="C171" s="488">
        <v>4120231.2</v>
      </c>
      <c r="D171" s="488">
        <v>565415.05000000005</v>
      </c>
      <c r="E171" s="488"/>
      <c r="F171" s="489"/>
      <c r="G171" s="488">
        <v>99398.05</v>
      </c>
      <c r="H171" s="488">
        <v>6607.55</v>
      </c>
      <c r="I171" s="488"/>
      <c r="J171" s="488">
        <v>71180.95</v>
      </c>
      <c r="K171" s="488">
        <v>13313.85</v>
      </c>
      <c r="L171" s="488">
        <v>455543.2</v>
      </c>
      <c r="M171" s="367">
        <f t="shared" si="8"/>
        <v>5331689.8499999996</v>
      </c>
      <c r="N171" s="492">
        <v>62792.2</v>
      </c>
      <c r="O171" s="492">
        <v>179710.3</v>
      </c>
      <c r="P171" s="492">
        <v>214398.35</v>
      </c>
      <c r="Q171" s="492">
        <v>17664.240000000002</v>
      </c>
      <c r="R171" s="492">
        <v>165469.29999999999</v>
      </c>
      <c r="S171" s="488">
        <v>9994.61</v>
      </c>
      <c r="T171" s="367">
        <f t="shared" si="9"/>
        <v>5981718.8499999996</v>
      </c>
      <c r="U171" s="490">
        <v>-137067.68</v>
      </c>
      <c r="V171" s="492"/>
      <c r="W171" s="492">
        <v>-550.04999999999995</v>
      </c>
      <c r="X171" s="496">
        <v>70</v>
      </c>
      <c r="Y171" s="497">
        <v>1</v>
      </c>
      <c r="Z171" s="498">
        <v>2835</v>
      </c>
      <c r="AA171" s="561"/>
      <c r="AB171" s="503"/>
      <c r="AC171" s="330">
        <f>AB171/VPI!R171</f>
        <v>0</v>
      </c>
      <c r="AD171" s="332">
        <f t="shared" si="10"/>
        <v>0</v>
      </c>
      <c r="AE171" s="330">
        <f>AD171/VPI!R171</f>
        <v>0</v>
      </c>
      <c r="AF171" s="503"/>
      <c r="AG171" s="503"/>
      <c r="AH171" s="503"/>
      <c r="AI171" s="568"/>
      <c r="AJ171" s="498"/>
      <c r="AK171" s="330">
        <f>AJ171/VPI!R171</f>
        <v>0</v>
      </c>
      <c r="AL171" s="332">
        <f t="shared" si="11"/>
        <v>0</v>
      </c>
      <c r="AM171" s="330">
        <f>AL171/VPI!R171</f>
        <v>0</v>
      </c>
      <c r="AN171" s="498"/>
      <c r="AO171" s="568"/>
      <c r="AP171" s="511">
        <v>7.1094335165495295</v>
      </c>
      <c r="AR171" s="564">
        <v>0</v>
      </c>
    </row>
    <row r="172" spans="1:44" x14ac:dyDescent="0.25">
      <c r="A172" s="559">
        <v>5701</v>
      </c>
      <c r="B172" s="560" t="s">
        <v>98</v>
      </c>
      <c r="C172" s="488">
        <v>687709.87</v>
      </c>
      <c r="D172" s="488">
        <v>155759.23000000001</v>
      </c>
      <c r="E172" s="488"/>
      <c r="F172" s="489"/>
      <c r="G172" s="488">
        <v>3982.95</v>
      </c>
      <c r="H172" s="488">
        <v>1606.9</v>
      </c>
      <c r="I172" s="488">
        <v>65333.35</v>
      </c>
      <c r="J172" s="488">
        <v>23111.19</v>
      </c>
      <c r="K172" s="488">
        <v>508.25</v>
      </c>
      <c r="L172" s="488">
        <v>74620.600000000006</v>
      </c>
      <c r="M172" s="367">
        <f t="shared" si="8"/>
        <v>1012632.3399999999</v>
      </c>
      <c r="N172" s="492">
        <v>644.65</v>
      </c>
      <c r="O172" s="492"/>
      <c r="P172" s="492">
        <v>17300.8</v>
      </c>
      <c r="Q172" s="492"/>
      <c r="R172" s="492">
        <v>36017.15</v>
      </c>
      <c r="S172" s="488">
        <v>527.03</v>
      </c>
      <c r="T172" s="367">
        <f t="shared" si="9"/>
        <v>1067121.97</v>
      </c>
      <c r="U172" s="490">
        <v>-915.64</v>
      </c>
      <c r="V172" s="492"/>
      <c r="W172" s="492">
        <v>-2239.6999999999998</v>
      </c>
      <c r="X172" s="496">
        <v>70</v>
      </c>
      <c r="Y172" s="497">
        <v>1</v>
      </c>
      <c r="Z172" s="498">
        <v>242</v>
      </c>
      <c r="AA172" s="561"/>
      <c r="AB172" s="503"/>
      <c r="AC172" s="330">
        <f>AB172/VPI!R172</f>
        <v>0</v>
      </c>
      <c r="AD172" s="332">
        <f t="shared" si="10"/>
        <v>0</v>
      </c>
      <c r="AE172" s="330">
        <f>AD172/VPI!R172</f>
        <v>0</v>
      </c>
      <c r="AF172" s="503"/>
      <c r="AG172" s="503"/>
      <c r="AH172" s="503"/>
      <c r="AI172" s="568"/>
      <c r="AJ172" s="498"/>
      <c r="AK172" s="330">
        <f>AJ172/VPI!R172</f>
        <v>0</v>
      </c>
      <c r="AL172" s="332">
        <f t="shared" si="11"/>
        <v>0</v>
      </c>
      <c r="AM172" s="330">
        <f>AL172/VPI!R172</f>
        <v>0</v>
      </c>
      <c r="AN172" s="498"/>
      <c r="AO172" s="568"/>
      <c r="AP172" s="511">
        <v>29.862537305276511</v>
      </c>
      <c r="AR172" s="564">
        <v>0</v>
      </c>
    </row>
    <row r="173" spans="1:44" x14ac:dyDescent="0.25">
      <c r="A173" s="559">
        <v>5702</v>
      </c>
      <c r="B173" s="560" t="s">
        <v>351</v>
      </c>
      <c r="C173" s="488">
        <v>8963466.6300000008</v>
      </c>
      <c r="D173" s="488">
        <v>1808359.19</v>
      </c>
      <c r="E173" s="488"/>
      <c r="F173" s="489"/>
      <c r="G173" s="488">
        <v>40911.449999999997</v>
      </c>
      <c r="H173" s="488">
        <v>36315.1</v>
      </c>
      <c r="I173" s="488">
        <v>288892.77</v>
      </c>
      <c r="J173" s="488">
        <v>147798.74</v>
      </c>
      <c r="K173" s="488">
        <v>22249.55</v>
      </c>
      <c r="L173" s="488">
        <v>1341347.8500000001</v>
      </c>
      <c r="M173" s="367">
        <f t="shared" si="8"/>
        <v>12649341.279999999</v>
      </c>
      <c r="N173" s="492">
        <v>93365.75</v>
      </c>
      <c r="O173" s="492">
        <v>105500.3</v>
      </c>
      <c r="P173" s="492">
        <v>591454.75</v>
      </c>
      <c r="Q173" s="492">
        <v>1225.52</v>
      </c>
      <c r="R173" s="492">
        <v>467774.7</v>
      </c>
      <c r="S173" s="488">
        <v>7281.22</v>
      </c>
      <c r="T173" s="367">
        <f t="shared" si="9"/>
        <v>13915943.52</v>
      </c>
      <c r="U173" s="490">
        <v>-90238.83</v>
      </c>
      <c r="V173" s="492"/>
      <c r="W173" s="492">
        <v>-47380.87</v>
      </c>
      <c r="X173" s="496">
        <v>64</v>
      </c>
      <c r="Y173" s="497">
        <v>1.5</v>
      </c>
      <c r="Z173" s="498">
        <v>2971</v>
      </c>
      <c r="AA173" s="561"/>
      <c r="AB173" s="503"/>
      <c r="AC173" s="330">
        <f>AB173/VPI!R173</f>
        <v>0</v>
      </c>
      <c r="AD173" s="332">
        <f t="shared" si="10"/>
        <v>0</v>
      </c>
      <c r="AE173" s="330">
        <f>AD173/VPI!R173</f>
        <v>0</v>
      </c>
      <c r="AF173" s="503"/>
      <c r="AG173" s="503"/>
      <c r="AH173" s="503"/>
      <c r="AI173" s="568"/>
      <c r="AJ173" s="498"/>
      <c r="AK173" s="330">
        <f>AJ173/VPI!R173</f>
        <v>0</v>
      </c>
      <c r="AL173" s="332">
        <f t="shared" si="11"/>
        <v>0</v>
      </c>
      <c r="AM173" s="330">
        <f>AL173/VPI!R173</f>
        <v>0</v>
      </c>
      <c r="AN173" s="498"/>
      <c r="AO173" s="568"/>
      <c r="AP173" s="511">
        <v>29.935389763750436</v>
      </c>
      <c r="AR173" s="564">
        <v>0</v>
      </c>
    </row>
    <row r="174" spans="1:44" x14ac:dyDescent="0.25">
      <c r="A174" s="559">
        <v>5703</v>
      </c>
      <c r="B174" s="560" t="s">
        <v>99</v>
      </c>
      <c r="C174" s="488">
        <v>3848819.28</v>
      </c>
      <c r="D174" s="488">
        <v>539496.91</v>
      </c>
      <c r="E174" s="488"/>
      <c r="F174" s="489"/>
      <c r="G174" s="488">
        <v>53391.199999999997</v>
      </c>
      <c r="H174" s="488">
        <v>927.05</v>
      </c>
      <c r="I174" s="488"/>
      <c r="J174" s="488">
        <v>39480.65</v>
      </c>
      <c r="K174" s="488">
        <v>3008.25</v>
      </c>
      <c r="L174" s="488">
        <v>494074.8</v>
      </c>
      <c r="M174" s="367">
        <f t="shared" si="8"/>
        <v>4979198.1399999997</v>
      </c>
      <c r="N174" s="492">
        <v>36468.65</v>
      </c>
      <c r="O174" s="492">
        <v>5961.6</v>
      </c>
      <c r="P174" s="492">
        <v>173374.4</v>
      </c>
      <c r="Q174" s="492">
        <v>17148.919999999998</v>
      </c>
      <c r="R174" s="492">
        <v>198790.7</v>
      </c>
      <c r="S174" s="488">
        <v>5121.33</v>
      </c>
      <c r="T174" s="367">
        <f t="shared" si="9"/>
        <v>5416063.7400000002</v>
      </c>
      <c r="U174" s="490">
        <v>-63883.09</v>
      </c>
      <c r="V174" s="492"/>
      <c r="W174" s="492">
        <v>-2696.96</v>
      </c>
      <c r="X174" s="496">
        <v>72.5</v>
      </c>
      <c r="Y174" s="497">
        <v>1.4</v>
      </c>
      <c r="Z174" s="498">
        <v>1483</v>
      </c>
      <c r="AA174" s="561"/>
      <c r="AB174" s="503"/>
      <c r="AC174" s="330">
        <f>AB174/VPI!R174</f>
        <v>0</v>
      </c>
      <c r="AD174" s="332">
        <f t="shared" si="10"/>
        <v>0</v>
      </c>
      <c r="AE174" s="330">
        <f>AD174/VPI!R174</f>
        <v>0</v>
      </c>
      <c r="AF174" s="503"/>
      <c r="AG174" s="503"/>
      <c r="AH174" s="503"/>
      <c r="AI174" s="568"/>
      <c r="AJ174" s="498"/>
      <c r="AK174" s="330">
        <f>AJ174/VPI!R174</f>
        <v>0</v>
      </c>
      <c r="AL174" s="332">
        <f t="shared" si="11"/>
        <v>0</v>
      </c>
      <c r="AM174" s="330">
        <f>AL174/VPI!R174</f>
        <v>0</v>
      </c>
      <c r="AN174" s="498"/>
      <c r="AO174" s="568"/>
      <c r="AP174" s="511">
        <v>24.175749835349858</v>
      </c>
      <c r="AR174" s="564">
        <v>0</v>
      </c>
    </row>
    <row r="175" spans="1:44" x14ac:dyDescent="0.25">
      <c r="A175" s="559">
        <v>5704</v>
      </c>
      <c r="B175" s="560" t="s">
        <v>195</v>
      </c>
      <c r="C175" s="488">
        <v>6455409.54</v>
      </c>
      <c r="D175" s="488">
        <v>1539431.35</v>
      </c>
      <c r="E175" s="488"/>
      <c r="F175" s="489"/>
      <c r="G175" s="488">
        <v>48582.85</v>
      </c>
      <c r="H175" s="488">
        <v>4587.3</v>
      </c>
      <c r="I175" s="488">
        <v>298727.25</v>
      </c>
      <c r="J175" s="488">
        <v>35971.32</v>
      </c>
      <c r="K175" s="488">
        <v>19361.05</v>
      </c>
      <c r="L175" s="488">
        <v>844140.85</v>
      </c>
      <c r="M175" s="367">
        <f t="shared" si="8"/>
        <v>9246211.5099999998</v>
      </c>
      <c r="N175" s="492">
        <v>28223.4</v>
      </c>
      <c r="O175" s="492"/>
      <c r="P175" s="492">
        <v>581086.44999999995</v>
      </c>
      <c r="Q175" s="492">
        <v>140.05000000000001</v>
      </c>
      <c r="R175" s="492">
        <v>503335.05</v>
      </c>
      <c r="S175" s="488">
        <v>5013.09</v>
      </c>
      <c r="T175" s="367">
        <f t="shared" si="9"/>
        <v>10364009.550000001</v>
      </c>
      <c r="U175" s="490">
        <v>-24500.82</v>
      </c>
      <c r="V175" s="492"/>
      <c r="W175" s="492">
        <v>-174357.69</v>
      </c>
      <c r="X175" s="496">
        <v>62.5</v>
      </c>
      <c r="Y175" s="497">
        <v>1.5</v>
      </c>
      <c r="Z175" s="498">
        <v>2008</v>
      </c>
      <c r="AA175" s="561"/>
      <c r="AB175" s="503"/>
      <c r="AC175" s="330">
        <f>AB175/VPI!R175</f>
        <v>0</v>
      </c>
      <c r="AD175" s="332">
        <f t="shared" si="10"/>
        <v>0</v>
      </c>
      <c r="AE175" s="330">
        <f>AD175/VPI!R175</f>
        <v>0</v>
      </c>
      <c r="AF175" s="503"/>
      <c r="AG175" s="503"/>
      <c r="AH175" s="503"/>
      <c r="AI175" s="568"/>
      <c r="AJ175" s="498"/>
      <c r="AK175" s="330">
        <f>AJ175/VPI!R175</f>
        <v>0</v>
      </c>
      <c r="AL175" s="332">
        <f t="shared" si="11"/>
        <v>0</v>
      </c>
      <c r="AM175" s="330">
        <f>AL175/VPI!R175</f>
        <v>0</v>
      </c>
      <c r="AN175" s="498"/>
      <c r="AO175" s="568"/>
      <c r="AP175" s="511">
        <v>31.437504532317469</v>
      </c>
      <c r="AR175" s="564">
        <v>0</v>
      </c>
    </row>
    <row r="176" spans="1:44" x14ac:dyDescent="0.25">
      <c r="A176" s="559">
        <v>5705</v>
      </c>
      <c r="B176" s="560" t="s">
        <v>196</v>
      </c>
      <c r="C176" s="488">
        <v>3154846.4</v>
      </c>
      <c r="D176" s="488">
        <v>517211.37</v>
      </c>
      <c r="E176" s="488"/>
      <c r="F176" s="489"/>
      <c r="G176" s="488">
        <v>18277.95</v>
      </c>
      <c r="H176" s="488">
        <v>502.6</v>
      </c>
      <c r="I176" s="488">
        <v>59427.65</v>
      </c>
      <c r="J176" s="488">
        <v>53425.11</v>
      </c>
      <c r="K176" s="488">
        <v>10468.75</v>
      </c>
      <c r="L176" s="488">
        <v>244728</v>
      </c>
      <c r="M176" s="367">
        <f t="shared" si="8"/>
        <v>4058887.83</v>
      </c>
      <c r="N176" s="492">
        <v>50458.95</v>
      </c>
      <c r="O176" s="492">
        <v>577.5</v>
      </c>
      <c r="P176" s="492">
        <v>140685.79999999999</v>
      </c>
      <c r="Q176" s="492"/>
      <c r="R176" s="492">
        <v>100151</v>
      </c>
      <c r="S176" s="488">
        <v>1770.7</v>
      </c>
      <c r="T176" s="367">
        <f t="shared" si="9"/>
        <v>4352531.78</v>
      </c>
      <c r="U176" s="490">
        <v>-28507.59</v>
      </c>
      <c r="V176" s="492"/>
      <c r="W176" s="492">
        <v>-13302.25</v>
      </c>
      <c r="X176" s="496">
        <v>72</v>
      </c>
      <c r="Y176" s="497">
        <v>1</v>
      </c>
      <c r="Z176" s="498">
        <v>983</v>
      </c>
      <c r="AA176" s="561"/>
      <c r="AB176" s="503"/>
      <c r="AC176" s="330">
        <f>AB176/VPI!R176</f>
        <v>0</v>
      </c>
      <c r="AD176" s="332">
        <f t="shared" si="10"/>
        <v>0</v>
      </c>
      <c r="AE176" s="330">
        <f>AD176/VPI!R176</f>
        <v>0</v>
      </c>
      <c r="AF176" s="503"/>
      <c r="AG176" s="503"/>
      <c r="AH176" s="503"/>
      <c r="AI176" s="568"/>
      <c r="AJ176" s="498"/>
      <c r="AK176" s="330">
        <f>AJ176/VPI!R176</f>
        <v>0</v>
      </c>
      <c r="AL176" s="332">
        <f t="shared" si="11"/>
        <v>0</v>
      </c>
      <c r="AM176" s="330">
        <f>AL176/VPI!R176</f>
        <v>0</v>
      </c>
      <c r="AN176" s="498"/>
      <c r="AO176" s="568"/>
      <c r="AP176" s="511">
        <v>30.28354329242292</v>
      </c>
      <c r="AR176" s="564">
        <v>0</v>
      </c>
    </row>
    <row r="177" spans="1:44" x14ac:dyDescent="0.25">
      <c r="A177" s="559">
        <v>5706</v>
      </c>
      <c r="B177" s="560" t="s">
        <v>197</v>
      </c>
      <c r="C177" s="488">
        <v>2998104.89</v>
      </c>
      <c r="D177" s="488">
        <v>674645.64</v>
      </c>
      <c r="E177" s="488"/>
      <c r="F177" s="489"/>
      <c r="G177" s="488">
        <v>27476.85</v>
      </c>
      <c r="H177" s="488">
        <v>5691.7</v>
      </c>
      <c r="I177" s="488">
        <v>51552.75</v>
      </c>
      <c r="J177" s="488">
        <v>47848.47</v>
      </c>
      <c r="K177" s="488">
        <v>11338</v>
      </c>
      <c r="L177" s="488">
        <v>448725</v>
      </c>
      <c r="M177" s="367">
        <f t="shared" si="8"/>
        <v>4265383.3000000007</v>
      </c>
      <c r="N177" s="492">
        <v>3512.45</v>
      </c>
      <c r="O177" s="492">
        <v>8537.5</v>
      </c>
      <c r="P177" s="492">
        <v>103669.25</v>
      </c>
      <c r="Q177" s="492"/>
      <c r="R177" s="492">
        <v>26832.799999999999</v>
      </c>
      <c r="S177" s="488">
        <v>3127.26</v>
      </c>
      <c r="T177" s="367">
        <f t="shared" si="9"/>
        <v>4411062.5600000005</v>
      </c>
      <c r="U177" s="490">
        <v>-32011.53</v>
      </c>
      <c r="V177" s="492"/>
      <c r="W177" s="492">
        <v>-9450.0300000000007</v>
      </c>
      <c r="X177" s="496">
        <v>57</v>
      </c>
      <c r="Y177" s="497">
        <v>1.5</v>
      </c>
      <c r="Z177" s="498">
        <v>1135</v>
      </c>
      <c r="AA177" s="561"/>
      <c r="AB177" s="503"/>
      <c r="AC177" s="330">
        <f>AB177/VPI!R177</f>
        <v>0</v>
      </c>
      <c r="AD177" s="332">
        <f t="shared" si="10"/>
        <v>0</v>
      </c>
      <c r="AE177" s="330">
        <f>AD177/VPI!R177</f>
        <v>0</v>
      </c>
      <c r="AF177" s="503"/>
      <c r="AG177" s="503"/>
      <c r="AH177" s="503"/>
      <c r="AI177" s="568"/>
      <c r="AJ177" s="498"/>
      <c r="AK177" s="330">
        <f>AJ177/VPI!R177</f>
        <v>0</v>
      </c>
      <c r="AL177" s="332">
        <f t="shared" si="11"/>
        <v>0</v>
      </c>
      <c r="AM177" s="330">
        <f>AL177/VPI!R177</f>
        <v>0</v>
      </c>
      <c r="AN177" s="498"/>
      <c r="AO177" s="568"/>
      <c r="AP177" s="511">
        <v>44.804667049331172</v>
      </c>
      <c r="AR177" s="564">
        <v>0</v>
      </c>
    </row>
    <row r="178" spans="1:44" x14ac:dyDescent="0.25">
      <c r="A178" s="559">
        <v>5707</v>
      </c>
      <c r="B178" s="560" t="s">
        <v>198</v>
      </c>
      <c r="C178" s="488">
        <v>3490834.75</v>
      </c>
      <c r="D178" s="488">
        <v>670694.94999999995</v>
      </c>
      <c r="E178" s="488"/>
      <c r="F178" s="489"/>
      <c r="G178" s="488">
        <v>473500.35</v>
      </c>
      <c r="H178" s="488">
        <v>14102.55</v>
      </c>
      <c r="I178" s="488">
        <v>33622.6</v>
      </c>
      <c r="J178" s="488">
        <v>57933.73</v>
      </c>
      <c r="K178" s="488">
        <v>69865.100000000006</v>
      </c>
      <c r="L178" s="488">
        <v>760878.05</v>
      </c>
      <c r="M178" s="367">
        <f t="shared" si="8"/>
        <v>5571432.0799999991</v>
      </c>
      <c r="N178" s="492">
        <v>513625.1</v>
      </c>
      <c r="O178" s="492">
        <v>161265.70000000001</v>
      </c>
      <c r="P178" s="492">
        <v>524951.15</v>
      </c>
      <c r="Q178" s="492">
        <v>11503.31</v>
      </c>
      <c r="R178" s="492">
        <v>155907.70000000001</v>
      </c>
      <c r="S178" s="488">
        <v>45973.07</v>
      </c>
      <c r="T178" s="367">
        <f t="shared" si="9"/>
        <v>6984658.1099999994</v>
      </c>
      <c r="U178" s="490">
        <v>-9223.33</v>
      </c>
      <c r="V178" s="492"/>
      <c r="W178" s="492">
        <v>-5906.6</v>
      </c>
      <c r="X178" s="496">
        <v>58</v>
      </c>
      <c r="Y178" s="497">
        <v>1.5</v>
      </c>
      <c r="Z178" s="498">
        <v>1394</v>
      </c>
      <c r="AA178" s="561"/>
      <c r="AB178" s="503"/>
      <c r="AC178" s="330">
        <f>AB178/VPI!R178</f>
        <v>0</v>
      </c>
      <c r="AD178" s="332">
        <f t="shared" si="10"/>
        <v>0</v>
      </c>
      <c r="AE178" s="330">
        <f>AD178/VPI!R178</f>
        <v>0</v>
      </c>
      <c r="AF178" s="503"/>
      <c r="AG178" s="503"/>
      <c r="AH178" s="503"/>
      <c r="AI178" s="568"/>
      <c r="AJ178" s="498"/>
      <c r="AK178" s="330">
        <f>AJ178/VPI!R178</f>
        <v>0</v>
      </c>
      <c r="AL178" s="332">
        <f t="shared" si="11"/>
        <v>0</v>
      </c>
      <c r="AM178" s="330">
        <f>AL178/VPI!R178</f>
        <v>0</v>
      </c>
      <c r="AN178" s="498"/>
      <c r="AO178" s="568"/>
      <c r="AP178" s="511">
        <v>31.764809407237848</v>
      </c>
      <c r="AR178" s="564">
        <v>0</v>
      </c>
    </row>
    <row r="179" spans="1:44" x14ac:dyDescent="0.25">
      <c r="A179" s="559">
        <v>5708</v>
      </c>
      <c r="B179" s="560" t="s">
        <v>199</v>
      </c>
      <c r="C179" s="488">
        <v>3784603.29</v>
      </c>
      <c r="D179" s="488">
        <v>1172678.1399999999</v>
      </c>
      <c r="E179" s="488"/>
      <c r="F179" s="489"/>
      <c r="G179" s="488">
        <v>47412.9</v>
      </c>
      <c r="H179" s="488">
        <v>-5626.3</v>
      </c>
      <c r="I179" s="488"/>
      <c r="J179" s="488">
        <v>34636.53</v>
      </c>
      <c r="K179" s="488">
        <v>13294.3</v>
      </c>
      <c r="L179" s="488">
        <v>451957.8</v>
      </c>
      <c r="M179" s="367">
        <f t="shared" si="8"/>
        <v>5498956.6600000001</v>
      </c>
      <c r="N179" s="492">
        <v>18366.25</v>
      </c>
      <c r="O179" s="492"/>
      <c r="P179" s="492">
        <v>131230</v>
      </c>
      <c r="Q179" s="492">
        <v>2276.8200000000002</v>
      </c>
      <c r="R179" s="492">
        <v>167622.5</v>
      </c>
      <c r="S179" s="488">
        <v>3939.8</v>
      </c>
      <c r="T179" s="367">
        <f t="shared" si="9"/>
        <v>5822392.0300000003</v>
      </c>
      <c r="U179" s="490">
        <v>-19162.98</v>
      </c>
      <c r="V179" s="492"/>
      <c r="W179" s="492">
        <v>-9550.61</v>
      </c>
      <c r="X179" s="496">
        <v>68</v>
      </c>
      <c r="Y179" s="497">
        <v>1.5</v>
      </c>
      <c r="Z179" s="498">
        <v>1011</v>
      </c>
      <c r="AA179" s="561"/>
      <c r="AB179" s="503"/>
      <c r="AC179" s="330">
        <f>AB179/VPI!R179</f>
        <v>0</v>
      </c>
      <c r="AD179" s="332">
        <f t="shared" si="10"/>
        <v>0</v>
      </c>
      <c r="AE179" s="330">
        <f>AD179/VPI!R179</f>
        <v>0</v>
      </c>
      <c r="AF179" s="503"/>
      <c r="AG179" s="503"/>
      <c r="AH179" s="503"/>
      <c r="AI179" s="568"/>
      <c r="AJ179" s="498"/>
      <c r="AK179" s="330">
        <f>AJ179/VPI!R179</f>
        <v>0</v>
      </c>
      <c r="AL179" s="332">
        <f t="shared" si="11"/>
        <v>0</v>
      </c>
      <c r="AM179" s="330">
        <f>AL179/VPI!R179</f>
        <v>0</v>
      </c>
      <c r="AN179" s="498"/>
      <c r="AO179" s="568"/>
      <c r="AP179" s="511">
        <v>33.581036673242508</v>
      </c>
      <c r="AR179" s="564">
        <v>0</v>
      </c>
    </row>
    <row r="180" spans="1:44" x14ac:dyDescent="0.25">
      <c r="A180" s="559">
        <v>5709</v>
      </c>
      <c r="B180" s="560" t="s">
        <v>200</v>
      </c>
      <c r="C180" s="488">
        <v>4396103.6100000003</v>
      </c>
      <c r="D180" s="488">
        <v>841493.85</v>
      </c>
      <c r="E180" s="488"/>
      <c r="F180" s="489"/>
      <c r="G180" s="488">
        <v>4679.5</v>
      </c>
      <c r="H180" s="488">
        <v>15570.25</v>
      </c>
      <c r="I180" s="488">
        <v>608390.30000000005</v>
      </c>
      <c r="J180" s="488">
        <v>59012.22</v>
      </c>
      <c r="K180" s="488">
        <v>6731.85</v>
      </c>
      <c r="L180" s="488">
        <v>411991.85</v>
      </c>
      <c r="M180" s="367">
        <f t="shared" si="8"/>
        <v>6343973.4299999988</v>
      </c>
      <c r="N180" s="492">
        <v>64683.25</v>
      </c>
      <c r="O180" s="492"/>
      <c r="P180" s="492">
        <v>171050</v>
      </c>
      <c r="Q180" s="492">
        <v>38409.35</v>
      </c>
      <c r="R180" s="492">
        <v>101215.05</v>
      </c>
      <c r="S180" s="488">
        <v>1909.22</v>
      </c>
      <c r="T180" s="367">
        <f t="shared" si="9"/>
        <v>6721240.299999998</v>
      </c>
      <c r="U180" s="490">
        <v>-7442.2</v>
      </c>
      <c r="V180" s="492"/>
      <c r="W180" s="492">
        <v>-81102.720000000001</v>
      </c>
      <c r="X180" s="496">
        <v>57</v>
      </c>
      <c r="Y180" s="497">
        <v>1</v>
      </c>
      <c r="Z180" s="498">
        <v>1276</v>
      </c>
      <c r="AA180" s="561"/>
      <c r="AB180" s="503"/>
      <c r="AC180" s="330">
        <f>AB180/VPI!R180</f>
        <v>0</v>
      </c>
      <c r="AD180" s="332">
        <f t="shared" si="10"/>
        <v>0</v>
      </c>
      <c r="AE180" s="330">
        <f>AD180/VPI!R180</f>
        <v>0</v>
      </c>
      <c r="AF180" s="503"/>
      <c r="AG180" s="503"/>
      <c r="AH180" s="503"/>
      <c r="AI180" s="568"/>
      <c r="AJ180" s="498"/>
      <c r="AK180" s="330">
        <f>AJ180/VPI!R180</f>
        <v>0</v>
      </c>
      <c r="AL180" s="332">
        <f t="shared" si="11"/>
        <v>0</v>
      </c>
      <c r="AM180" s="330">
        <f>AL180/VPI!R180</f>
        <v>0</v>
      </c>
      <c r="AN180" s="498"/>
      <c r="AO180" s="568"/>
      <c r="AP180" s="511">
        <v>33.306790068507198</v>
      </c>
      <c r="AR180" s="564">
        <v>0</v>
      </c>
    </row>
    <row r="181" spans="1:44" x14ac:dyDescent="0.25">
      <c r="A181" s="559">
        <v>5710</v>
      </c>
      <c r="B181" s="560" t="s">
        <v>201</v>
      </c>
      <c r="C181" s="488">
        <v>1035791</v>
      </c>
      <c r="D181" s="488">
        <v>207985.85</v>
      </c>
      <c r="E181" s="488"/>
      <c r="F181" s="489"/>
      <c r="G181" s="488">
        <v>101985.95</v>
      </c>
      <c r="H181" s="488">
        <v>2491.6</v>
      </c>
      <c r="I181" s="488">
        <v>110710.39999999999</v>
      </c>
      <c r="J181" s="488">
        <v>-4662.34</v>
      </c>
      <c r="K181" s="488">
        <v>3534.45</v>
      </c>
      <c r="L181" s="488">
        <v>139132.79999999999</v>
      </c>
      <c r="M181" s="367">
        <f t="shared" si="8"/>
        <v>1596969.71</v>
      </c>
      <c r="N181" s="492">
        <v>61842.45</v>
      </c>
      <c r="O181" s="492"/>
      <c r="P181" s="492">
        <v>68734.2</v>
      </c>
      <c r="Q181" s="492"/>
      <c r="R181" s="492">
        <v>80619</v>
      </c>
      <c r="S181" s="488">
        <v>9850.5400000000009</v>
      </c>
      <c r="T181" s="367">
        <f t="shared" si="9"/>
        <v>1818015.9</v>
      </c>
      <c r="U181" s="490">
        <v>-1038</v>
      </c>
      <c r="V181" s="492"/>
      <c r="W181" s="492">
        <v>-12181.65</v>
      </c>
      <c r="X181" s="496">
        <v>51</v>
      </c>
      <c r="Y181" s="497">
        <v>1</v>
      </c>
      <c r="Z181" s="498">
        <v>519</v>
      </c>
      <c r="AA181" s="561"/>
      <c r="AB181" s="503"/>
      <c r="AC181" s="330">
        <f>AB181/VPI!R181</f>
        <v>0</v>
      </c>
      <c r="AD181" s="332">
        <f t="shared" si="10"/>
        <v>0</v>
      </c>
      <c r="AE181" s="330">
        <f>AD181/VPI!R181</f>
        <v>0</v>
      </c>
      <c r="AF181" s="503"/>
      <c r="AG181" s="503"/>
      <c r="AH181" s="503"/>
      <c r="AI181" s="568"/>
      <c r="AJ181" s="498"/>
      <c r="AK181" s="330">
        <f>AJ181/VPI!R181</f>
        <v>0</v>
      </c>
      <c r="AL181" s="332">
        <f t="shared" si="11"/>
        <v>0</v>
      </c>
      <c r="AM181" s="330">
        <f>AL181/VPI!R181</f>
        <v>0</v>
      </c>
      <c r="AN181" s="498"/>
      <c r="AO181" s="568"/>
      <c r="AP181" s="511">
        <v>32.391392142168094</v>
      </c>
      <c r="AR181" s="564">
        <v>0</v>
      </c>
    </row>
    <row r="182" spans="1:44" x14ac:dyDescent="0.25">
      <c r="A182" s="559">
        <v>5711</v>
      </c>
      <c r="B182" s="560" t="s">
        <v>202</v>
      </c>
      <c r="C182" s="488">
        <v>11880116.970000001</v>
      </c>
      <c r="D182" s="488">
        <v>1844477.16</v>
      </c>
      <c r="E182" s="488"/>
      <c r="F182" s="489"/>
      <c r="G182" s="488">
        <v>94377.75</v>
      </c>
      <c r="H182" s="488">
        <v>13778.85</v>
      </c>
      <c r="I182" s="488">
        <v>108732.25</v>
      </c>
      <c r="J182" s="488">
        <v>163384.32000000001</v>
      </c>
      <c r="K182" s="488">
        <v>19732.099999999999</v>
      </c>
      <c r="L182" s="488">
        <v>1315559.2</v>
      </c>
      <c r="M182" s="367">
        <f t="shared" si="8"/>
        <v>15440158.6</v>
      </c>
      <c r="N182" s="492">
        <v>27334.95</v>
      </c>
      <c r="O182" s="492">
        <v>246848.7</v>
      </c>
      <c r="P182" s="492">
        <v>729802.7</v>
      </c>
      <c r="Q182" s="492">
        <v>14723.17</v>
      </c>
      <c r="R182" s="492">
        <v>569141.6</v>
      </c>
      <c r="S182" s="488">
        <v>10197.42</v>
      </c>
      <c r="T182" s="367">
        <f t="shared" si="9"/>
        <v>17038207.140000001</v>
      </c>
      <c r="U182" s="490">
        <v>-70831.350000000006</v>
      </c>
      <c r="V182" s="492"/>
      <c r="W182" s="492">
        <v>-31136.63</v>
      </c>
      <c r="X182" s="496">
        <v>57</v>
      </c>
      <c r="Y182" s="497">
        <v>1.3</v>
      </c>
      <c r="Z182" s="498">
        <v>2993</v>
      </c>
      <c r="AA182" s="561"/>
      <c r="AB182" s="503"/>
      <c r="AC182" s="330">
        <f>AB182/VPI!R182</f>
        <v>0</v>
      </c>
      <c r="AD182" s="332">
        <f t="shared" si="10"/>
        <v>0</v>
      </c>
      <c r="AE182" s="330">
        <f>AD182/VPI!R182</f>
        <v>0</v>
      </c>
      <c r="AF182" s="503"/>
      <c r="AG182" s="503"/>
      <c r="AH182" s="503"/>
      <c r="AI182" s="568"/>
      <c r="AJ182" s="498"/>
      <c r="AK182" s="330">
        <f>AJ182/VPI!R182</f>
        <v>0</v>
      </c>
      <c r="AL182" s="332">
        <f t="shared" si="11"/>
        <v>0</v>
      </c>
      <c r="AM182" s="330">
        <f>AL182/VPI!R182</f>
        <v>0</v>
      </c>
      <c r="AN182" s="498"/>
      <c r="AO182" s="568"/>
      <c r="AP182" s="511">
        <v>38.431291721262262</v>
      </c>
      <c r="AR182" s="564">
        <v>0</v>
      </c>
    </row>
    <row r="183" spans="1:44" x14ac:dyDescent="0.25">
      <c r="A183" s="559">
        <v>5712</v>
      </c>
      <c r="B183" s="560" t="s">
        <v>203</v>
      </c>
      <c r="C183" s="488">
        <v>13670098.880000001</v>
      </c>
      <c r="D183" s="488">
        <v>5033216.2</v>
      </c>
      <c r="E183" s="488"/>
      <c r="F183" s="489"/>
      <c r="G183" s="488">
        <v>116938.35</v>
      </c>
      <c r="H183" s="488">
        <v>20729.95</v>
      </c>
      <c r="I183" s="488">
        <v>975397.99</v>
      </c>
      <c r="J183" s="488">
        <v>-38537.07</v>
      </c>
      <c r="K183" s="488">
        <v>30075.5</v>
      </c>
      <c r="L183" s="488">
        <v>1892590.55</v>
      </c>
      <c r="M183" s="367">
        <f t="shared" si="8"/>
        <v>21700510.350000001</v>
      </c>
      <c r="N183" s="492">
        <v>145031.95000000001</v>
      </c>
      <c r="O183" s="492">
        <v>7170255.5</v>
      </c>
      <c r="P183" s="492">
        <v>892902.40000000002</v>
      </c>
      <c r="Q183" s="492">
        <v>38116.120000000003</v>
      </c>
      <c r="R183" s="492">
        <v>1133097.3999999999</v>
      </c>
      <c r="S183" s="488">
        <v>12979.9</v>
      </c>
      <c r="T183" s="367">
        <f t="shared" si="9"/>
        <v>31092893.619999997</v>
      </c>
      <c r="U183" s="490">
        <v>-44326.69</v>
      </c>
      <c r="V183" s="492"/>
      <c r="W183" s="492">
        <v>-72429.73</v>
      </c>
      <c r="X183" s="496">
        <v>55</v>
      </c>
      <c r="Y183" s="497">
        <v>1.5</v>
      </c>
      <c r="Z183" s="498">
        <v>3183</v>
      </c>
      <c r="AA183" s="561"/>
      <c r="AB183" s="503"/>
      <c r="AC183" s="330">
        <f>AB183/VPI!R183</f>
        <v>0</v>
      </c>
      <c r="AD183" s="332">
        <f t="shared" si="10"/>
        <v>0</v>
      </c>
      <c r="AE183" s="330">
        <f>AD183/VPI!R183</f>
        <v>0</v>
      </c>
      <c r="AF183" s="503"/>
      <c r="AG183" s="503"/>
      <c r="AH183" s="503"/>
      <c r="AI183" s="568"/>
      <c r="AJ183" s="498"/>
      <c r="AK183" s="330">
        <f>AJ183/VPI!R183</f>
        <v>0</v>
      </c>
      <c r="AL183" s="332">
        <f t="shared" si="11"/>
        <v>0</v>
      </c>
      <c r="AM183" s="330">
        <f>AL183/VPI!R183</f>
        <v>0</v>
      </c>
      <c r="AN183" s="498"/>
      <c r="AO183" s="568"/>
      <c r="AP183" s="511">
        <v>42.074768950776679</v>
      </c>
      <c r="AR183" s="564">
        <v>0</v>
      </c>
    </row>
    <row r="184" spans="1:44" x14ac:dyDescent="0.25">
      <c r="A184" s="559">
        <v>5713</v>
      </c>
      <c r="B184" s="560" t="s">
        <v>548</v>
      </c>
      <c r="C184" s="488">
        <v>10525440.42</v>
      </c>
      <c r="D184" s="488">
        <v>5410034.0099999998</v>
      </c>
      <c r="E184" s="488"/>
      <c r="F184" s="489"/>
      <c r="G184" s="488">
        <v>50159.7</v>
      </c>
      <c r="H184" s="488">
        <v>26085.7</v>
      </c>
      <c r="I184" s="488">
        <v>635764.32999999996</v>
      </c>
      <c r="J184" s="488">
        <v>357684.29</v>
      </c>
      <c r="K184" s="488">
        <v>23053.7</v>
      </c>
      <c r="L184" s="488">
        <v>946716.45</v>
      </c>
      <c r="M184" s="367">
        <f t="shared" si="8"/>
        <v>17974938.599999998</v>
      </c>
      <c r="N184" s="492">
        <v>43261.45</v>
      </c>
      <c r="O184" s="492">
        <v>52468.6</v>
      </c>
      <c r="P184" s="492">
        <v>664599.9</v>
      </c>
      <c r="Q184" s="492">
        <v>16378.57</v>
      </c>
      <c r="R184" s="492">
        <v>945603.7</v>
      </c>
      <c r="S184" s="488">
        <v>7188.71</v>
      </c>
      <c r="T184" s="367">
        <f t="shared" si="9"/>
        <v>19704439.529999997</v>
      </c>
      <c r="U184" s="490">
        <v>-62248.04</v>
      </c>
      <c r="V184" s="492"/>
      <c r="W184" s="492">
        <v>-45187.98</v>
      </c>
      <c r="X184" s="496">
        <v>59</v>
      </c>
      <c r="Y184" s="497">
        <v>1</v>
      </c>
      <c r="Z184" s="498">
        <v>2424</v>
      </c>
      <c r="AA184" s="561"/>
      <c r="AB184" s="503"/>
      <c r="AC184" s="330">
        <f>AB184/VPI!R184</f>
        <v>0</v>
      </c>
      <c r="AD184" s="332">
        <f t="shared" si="10"/>
        <v>0</v>
      </c>
      <c r="AE184" s="330">
        <f>AD184/VPI!R184</f>
        <v>0</v>
      </c>
      <c r="AF184" s="503"/>
      <c r="AG184" s="503"/>
      <c r="AH184" s="503"/>
      <c r="AI184" s="568"/>
      <c r="AJ184" s="498"/>
      <c r="AK184" s="330">
        <f>AJ184/VPI!R184</f>
        <v>0</v>
      </c>
      <c r="AL184" s="332">
        <f t="shared" si="11"/>
        <v>0</v>
      </c>
      <c r="AM184" s="330">
        <f>AL184/VPI!R184</f>
        <v>0</v>
      </c>
      <c r="AN184" s="498"/>
      <c r="AO184" s="568"/>
      <c r="AP184" s="511">
        <v>42.210744917496939</v>
      </c>
      <c r="AR184" s="564">
        <v>1</v>
      </c>
    </row>
    <row r="185" spans="1:44" x14ac:dyDescent="0.25">
      <c r="A185" s="559">
        <v>5714</v>
      </c>
      <c r="B185" s="560" t="s">
        <v>204</v>
      </c>
      <c r="C185" s="488">
        <v>3328659.67</v>
      </c>
      <c r="D185" s="488">
        <v>601860.72</v>
      </c>
      <c r="E185" s="488"/>
      <c r="F185" s="489"/>
      <c r="G185" s="488">
        <v>20930.5</v>
      </c>
      <c r="H185" s="488">
        <v>8379.2000000000007</v>
      </c>
      <c r="I185" s="488">
        <v>122162.05</v>
      </c>
      <c r="J185" s="488">
        <v>7231.75</v>
      </c>
      <c r="K185" s="488">
        <v>5824</v>
      </c>
      <c r="L185" s="488">
        <v>315462.65000000002</v>
      </c>
      <c r="M185" s="367">
        <f t="shared" si="8"/>
        <v>4410510.54</v>
      </c>
      <c r="N185" s="492">
        <v>133178.15</v>
      </c>
      <c r="O185" s="492"/>
      <c r="P185" s="492">
        <v>252367.75</v>
      </c>
      <c r="Q185" s="492">
        <v>2519.4499999999998</v>
      </c>
      <c r="R185" s="492">
        <v>262452.59999999998</v>
      </c>
      <c r="S185" s="488">
        <v>2763.43</v>
      </c>
      <c r="T185" s="367">
        <f t="shared" si="9"/>
        <v>5063791.92</v>
      </c>
      <c r="U185" s="490">
        <v>-15282.32</v>
      </c>
      <c r="V185" s="492"/>
      <c r="W185" s="492">
        <v>-3468.65</v>
      </c>
      <c r="X185" s="496">
        <v>66.5</v>
      </c>
      <c r="Y185" s="497">
        <v>1</v>
      </c>
      <c r="Z185" s="498">
        <v>1273</v>
      </c>
      <c r="AA185" s="561"/>
      <c r="AB185" s="503"/>
      <c r="AC185" s="330">
        <f>AB185/VPI!R185</f>
        <v>0</v>
      </c>
      <c r="AD185" s="332">
        <f t="shared" si="10"/>
        <v>0</v>
      </c>
      <c r="AE185" s="330">
        <f>AD185/VPI!R185</f>
        <v>0</v>
      </c>
      <c r="AF185" s="503"/>
      <c r="AG185" s="503"/>
      <c r="AH185" s="503"/>
      <c r="AI185" s="568"/>
      <c r="AJ185" s="498"/>
      <c r="AK185" s="330">
        <f>AJ185/VPI!R185</f>
        <v>0</v>
      </c>
      <c r="AL185" s="332">
        <f t="shared" si="11"/>
        <v>0</v>
      </c>
      <c r="AM185" s="330">
        <f>AL185/VPI!R185</f>
        <v>0</v>
      </c>
      <c r="AN185" s="498"/>
      <c r="AO185" s="568"/>
      <c r="AP185" s="511">
        <v>27.953283555782527</v>
      </c>
      <c r="AR185" s="564">
        <v>0</v>
      </c>
    </row>
    <row r="186" spans="1:44" x14ac:dyDescent="0.25">
      <c r="A186" s="559">
        <v>5715</v>
      </c>
      <c r="B186" s="560" t="s">
        <v>205</v>
      </c>
      <c r="C186" s="488">
        <v>3151811.77</v>
      </c>
      <c r="D186" s="488">
        <v>517545.15</v>
      </c>
      <c r="E186" s="488"/>
      <c r="F186" s="489"/>
      <c r="G186" s="488">
        <v>59230.1</v>
      </c>
      <c r="H186" s="488">
        <v>9215.5499999999993</v>
      </c>
      <c r="I186" s="488"/>
      <c r="J186" s="488">
        <v>75369.919999999998</v>
      </c>
      <c r="K186" s="488">
        <v>7927.5</v>
      </c>
      <c r="L186" s="488">
        <v>300494.59999999998</v>
      </c>
      <c r="M186" s="367">
        <f t="shared" si="8"/>
        <v>4121594.59</v>
      </c>
      <c r="N186" s="492">
        <v>156577.95000000001</v>
      </c>
      <c r="O186" s="492">
        <v>5016</v>
      </c>
      <c r="P186" s="492">
        <v>65211.7</v>
      </c>
      <c r="Q186" s="492">
        <v>3707.56</v>
      </c>
      <c r="R186" s="492">
        <v>251317.35</v>
      </c>
      <c r="S186" s="488">
        <v>6453.32</v>
      </c>
      <c r="T186" s="367">
        <f t="shared" si="9"/>
        <v>4609878.47</v>
      </c>
      <c r="U186" s="490">
        <v>-27405.85</v>
      </c>
      <c r="V186" s="492"/>
      <c r="W186" s="492">
        <v>-6675.3</v>
      </c>
      <c r="X186" s="496">
        <v>66</v>
      </c>
      <c r="Y186" s="497">
        <v>1</v>
      </c>
      <c r="Z186" s="498">
        <v>1115</v>
      </c>
      <c r="AA186" s="561"/>
      <c r="AB186" s="503"/>
      <c r="AC186" s="330">
        <f>AB186/VPI!R186</f>
        <v>0</v>
      </c>
      <c r="AD186" s="332">
        <f t="shared" si="10"/>
        <v>0</v>
      </c>
      <c r="AE186" s="330">
        <f>AD186/VPI!R186</f>
        <v>0</v>
      </c>
      <c r="AF186" s="503"/>
      <c r="AG186" s="503"/>
      <c r="AH186" s="503"/>
      <c r="AI186" s="568"/>
      <c r="AJ186" s="498"/>
      <c r="AK186" s="330">
        <f>AJ186/VPI!R186</f>
        <v>0</v>
      </c>
      <c r="AL186" s="332">
        <f t="shared" si="11"/>
        <v>0</v>
      </c>
      <c r="AM186" s="330">
        <f>AL186/VPI!R186</f>
        <v>0</v>
      </c>
      <c r="AN186" s="498"/>
      <c r="AO186" s="568"/>
      <c r="AP186" s="511">
        <v>29.360597637069116</v>
      </c>
      <c r="AR186" s="564">
        <v>0</v>
      </c>
    </row>
    <row r="187" spans="1:44" x14ac:dyDescent="0.25">
      <c r="A187" s="559">
        <v>5716</v>
      </c>
      <c r="B187" s="560" t="s">
        <v>206</v>
      </c>
      <c r="C187" s="488">
        <v>4327865.78</v>
      </c>
      <c r="D187" s="488">
        <v>568980.03</v>
      </c>
      <c r="E187" s="488"/>
      <c r="F187" s="489"/>
      <c r="G187" s="488">
        <v>8005957.5</v>
      </c>
      <c r="H187" s="488">
        <v>821277.65</v>
      </c>
      <c r="I187" s="488"/>
      <c r="J187" s="488">
        <v>430449.81</v>
      </c>
      <c r="K187" s="488">
        <v>178108.5</v>
      </c>
      <c r="L187" s="488">
        <v>720290.05</v>
      </c>
      <c r="M187" s="367">
        <f t="shared" si="8"/>
        <v>15052929.320000002</v>
      </c>
      <c r="N187" s="492">
        <v>697309.4</v>
      </c>
      <c r="O187" s="492">
        <v>5221.2</v>
      </c>
      <c r="P187" s="492">
        <v>170005</v>
      </c>
      <c r="Q187" s="492"/>
      <c r="R187" s="492">
        <v>145127.65</v>
      </c>
      <c r="S187" s="488">
        <v>832265.59</v>
      </c>
      <c r="T187" s="367">
        <f t="shared" si="9"/>
        <v>16902858.160000004</v>
      </c>
      <c r="U187" s="490">
        <v>-44276.800000000003</v>
      </c>
      <c r="V187" s="492"/>
      <c r="W187" s="492">
        <v>-112403.95</v>
      </c>
      <c r="X187" s="496">
        <v>59.5</v>
      </c>
      <c r="Y187" s="497">
        <v>1</v>
      </c>
      <c r="Z187" s="498">
        <v>1739</v>
      </c>
      <c r="AA187" s="561"/>
      <c r="AB187" s="503"/>
      <c r="AC187" s="330">
        <f>AB187/VPI!R187</f>
        <v>0</v>
      </c>
      <c r="AD187" s="332">
        <f t="shared" si="10"/>
        <v>0</v>
      </c>
      <c r="AE187" s="330">
        <f>AD187/VPI!R187</f>
        <v>0</v>
      </c>
      <c r="AF187" s="503"/>
      <c r="AG187" s="503"/>
      <c r="AH187" s="503"/>
      <c r="AI187" s="568"/>
      <c r="AJ187" s="498"/>
      <c r="AK187" s="330">
        <f>AJ187/VPI!R187</f>
        <v>0</v>
      </c>
      <c r="AL187" s="332">
        <f t="shared" si="11"/>
        <v>0</v>
      </c>
      <c r="AM187" s="330">
        <f>AL187/VPI!R187</f>
        <v>0</v>
      </c>
      <c r="AN187" s="498"/>
      <c r="AO187" s="568"/>
      <c r="AP187" s="511">
        <v>44.088040299129261</v>
      </c>
      <c r="AR187" s="564">
        <v>0</v>
      </c>
    </row>
    <row r="188" spans="1:44" x14ac:dyDescent="0.25">
      <c r="A188" s="559">
        <v>5717</v>
      </c>
      <c r="B188" s="560" t="s">
        <v>207</v>
      </c>
      <c r="C188" s="488">
        <v>15590771.640000001</v>
      </c>
      <c r="D188" s="488">
        <v>4115959.71</v>
      </c>
      <c r="E188" s="488"/>
      <c r="F188" s="489"/>
      <c r="G188" s="488">
        <v>52754.85</v>
      </c>
      <c r="H188" s="488">
        <v>53153.3</v>
      </c>
      <c r="I188" s="488">
        <v>1165805.67</v>
      </c>
      <c r="J188" s="488">
        <v>-18148.27</v>
      </c>
      <c r="K188" s="488">
        <v>56728</v>
      </c>
      <c r="L188" s="488">
        <v>1430339.5</v>
      </c>
      <c r="M188" s="367">
        <f t="shared" si="8"/>
        <v>22447364.400000002</v>
      </c>
      <c r="N188" s="492">
        <v>274487.09999999998</v>
      </c>
      <c r="O188" s="492">
        <v>6454.8</v>
      </c>
      <c r="P188" s="492">
        <v>653770.15</v>
      </c>
      <c r="Q188" s="492">
        <v>9375.27</v>
      </c>
      <c r="R188" s="492">
        <v>684992.2</v>
      </c>
      <c r="S188" s="488">
        <v>9985.43</v>
      </c>
      <c r="T188" s="367">
        <f t="shared" si="9"/>
        <v>24086429.350000001</v>
      </c>
      <c r="U188" s="490">
        <v>-98451.99</v>
      </c>
      <c r="V188" s="492"/>
      <c r="W188" s="492">
        <v>-71476.77</v>
      </c>
      <c r="X188" s="496">
        <v>57</v>
      </c>
      <c r="Y188" s="497">
        <v>1</v>
      </c>
      <c r="Z188" s="498">
        <v>3792</v>
      </c>
      <c r="AA188" s="561"/>
      <c r="AB188" s="503"/>
      <c r="AC188" s="330">
        <f>AB188/VPI!R188</f>
        <v>0</v>
      </c>
      <c r="AD188" s="332">
        <f t="shared" si="10"/>
        <v>0</v>
      </c>
      <c r="AE188" s="330">
        <f>AD188/VPI!R188</f>
        <v>0</v>
      </c>
      <c r="AF188" s="503"/>
      <c r="AG188" s="503"/>
      <c r="AH188" s="503"/>
      <c r="AI188" s="568"/>
      <c r="AJ188" s="498"/>
      <c r="AK188" s="330">
        <f>AJ188/VPI!R188</f>
        <v>0</v>
      </c>
      <c r="AL188" s="332">
        <f t="shared" si="11"/>
        <v>0</v>
      </c>
      <c r="AM188" s="330">
        <f>AL188/VPI!R188</f>
        <v>0</v>
      </c>
      <c r="AN188" s="498"/>
      <c r="AO188" s="568"/>
      <c r="AP188" s="511">
        <v>36.618012567773633</v>
      </c>
      <c r="AR188" s="564">
        <v>0</v>
      </c>
    </row>
    <row r="189" spans="1:44" x14ac:dyDescent="0.25">
      <c r="A189" s="559">
        <v>5718</v>
      </c>
      <c r="B189" s="560" t="s">
        <v>208</v>
      </c>
      <c r="C189" s="488">
        <v>6866984.75</v>
      </c>
      <c r="D189" s="488">
        <v>1759704.77</v>
      </c>
      <c r="E189" s="488"/>
      <c r="F189" s="489"/>
      <c r="G189" s="488">
        <v>286976.45</v>
      </c>
      <c r="H189" s="488">
        <v>26536.75</v>
      </c>
      <c r="I189" s="488">
        <v>495140.24</v>
      </c>
      <c r="J189" s="488">
        <v>207032.59</v>
      </c>
      <c r="K189" s="488">
        <v>46164</v>
      </c>
      <c r="L189" s="488">
        <v>727872.85</v>
      </c>
      <c r="M189" s="367">
        <f t="shared" si="8"/>
        <v>10416412.399999999</v>
      </c>
      <c r="N189" s="492">
        <v>204356.2</v>
      </c>
      <c r="O189" s="492">
        <v>252989.8</v>
      </c>
      <c r="P189" s="492">
        <v>367364.9</v>
      </c>
      <c r="Q189" s="492">
        <v>12915.81</v>
      </c>
      <c r="R189" s="492">
        <v>215282.3</v>
      </c>
      <c r="S189" s="488">
        <v>29559.23</v>
      </c>
      <c r="T189" s="367">
        <f t="shared" si="9"/>
        <v>11498880.640000001</v>
      </c>
      <c r="U189" s="490">
        <v>-35336.800000000003</v>
      </c>
      <c r="V189" s="492"/>
      <c r="W189" s="492">
        <v>-43714.3</v>
      </c>
      <c r="X189" s="496">
        <v>52</v>
      </c>
      <c r="Y189" s="497">
        <v>1</v>
      </c>
      <c r="Z189" s="498">
        <v>2038</v>
      </c>
      <c r="AA189" s="561"/>
      <c r="AB189" s="503"/>
      <c r="AC189" s="330">
        <f>AB189/VPI!R189</f>
        <v>0</v>
      </c>
      <c r="AD189" s="332">
        <f t="shared" si="10"/>
        <v>0</v>
      </c>
      <c r="AE189" s="330">
        <f>AD189/VPI!R189</f>
        <v>0</v>
      </c>
      <c r="AF189" s="503"/>
      <c r="AG189" s="503"/>
      <c r="AH189" s="503"/>
      <c r="AI189" s="568"/>
      <c r="AJ189" s="498"/>
      <c r="AK189" s="330">
        <f>AJ189/VPI!R189</f>
        <v>0</v>
      </c>
      <c r="AL189" s="332">
        <f t="shared" si="11"/>
        <v>0</v>
      </c>
      <c r="AM189" s="330">
        <f>AL189/VPI!R189</f>
        <v>0</v>
      </c>
      <c r="AN189" s="498"/>
      <c r="AO189" s="568"/>
      <c r="AP189" s="511">
        <v>38.913344607510858</v>
      </c>
      <c r="AR189" s="564">
        <v>0</v>
      </c>
    </row>
    <row r="190" spans="1:44" x14ac:dyDescent="0.25">
      <c r="A190" s="559">
        <v>5719</v>
      </c>
      <c r="B190" s="560" t="s">
        <v>209</v>
      </c>
      <c r="C190" s="488">
        <v>4913945.3899999997</v>
      </c>
      <c r="D190" s="488">
        <v>2846236.33</v>
      </c>
      <c r="E190" s="488"/>
      <c r="F190" s="489"/>
      <c r="G190" s="488">
        <v>48018</v>
      </c>
      <c r="H190" s="488">
        <v>5942.7</v>
      </c>
      <c r="I190" s="488">
        <v>341609.8</v>
      </c>
      <c r="J190" s="488">
        <v>23810.17</v>
      </c>
      <c r="K190" s="488">
        <v>17314.3</v>
      </c>
      <c r="L190" s="488">
        <v>270944.5</v>
      </c>
      <c r="M190" s="367">
        <f t="shared" si="8"/>
        <v>8467821.1899999995</v>
      </c>
      <c r="N190" s="492">
        <v>76217.899999999994</v>
      </c>
      <c r="O190" s="492">
        <v>273146.90000000002</v>
      </c>
      <c r="P190" s="492">
        <v>220894.35</v>
      </c>
      <c r="Q190" s="492">
        <v>3827.03</v>
      </c>
      <c r="R190" s="492">
        <v>197639</v>
      </c>
      <c r="S190" s="488">
        <v>5087.62</v>
      </c>
      <c r="T190" s="367">
        <f t="shared" si="9"/>
        <v>9244633.9899999984</v>
      </c>
      <c r="U190" s="490">
        <v>-9585.7800000000007</v>
      </c>
      <c r="V190" s="492"/>
      <c r="W190" s="492">
        <v>-6320.45</v>
      </c>
      <c r="X190" s="496">
        <v>60</v>
      </c>
      <c r="Y190" s="497">
        <v>0.6</v>
      </c>
      <c r="Z190" s="498">
        <v>1262</v>
      </c>
      <c r="AA190" s="561"/>
      <c r="AB190" s="503"/>
      <c r="AC190" s="330">
        <f>AB190/VPI!R190</f>
        <v>0</v>
      </c>
      <c r="AD190" s="332">
        <f t="shared" si="10"/>
        <v>0</v>
      </c>
      <c r="AE190" s="330">
        <f>AD190/VPI!R190</f>
        <v>0</v>
      </c>
      <c r="AF190" s="503"/>
      <c r="AG190" s="503"/>
      <c r="AH190" s="503"/>
      <c r="AI190" s="568"/>
      <c r="AJ190" s="498"/>
      <c r="AK190" s="330">
        <f>AJ190/VPI!R190</f>
        <v>0</v>
      </c>
      <c r="AL190" s="332">
        <f t="shared" si="11"/>
        <v>0</v>
      </c>
      <c r="AM190" s="330">
        <f>AL190/VPI!R190</f>
        <v>0</v>
      </c>
      <c r="AN190" s="498"/>
      <c r="AO190" s="568"/>
      <c r="AP190" s="511">
        <v>38.414106709798268</v>
      </c>
      <c r="AR190" s="564">
        <v>0</v>
      </c>
    </row>
    <row r="191" spans="1:44" x14ac:dyDescent="0.25">
      <c r="A191" s="559">
        <v>5720</v>
      </c>
      <c r="B191" s="560" t="s">
        <v>210</v>
      </c>
      <c r="C191" s="488">
        <v>3447328.23</v>
      </c>
      <c r="D191" s="488">
        <v>925206.71</v>
      </c>
      <c r="E191" s="488"/>
      <c r="F191" s="489"/>
      <c r="G191" s="488">
        <v>75991.850000000006</v>
      </c>
      <c r="H191" s="488">
        <v>-1092</v>
      </c>
      <c r="I191" s="488">
        <v>507247.03</v>
      </c>
      <c r="J191" s="488">
        <v>45102.46</v>
      </c>
      <c r="K191" s="488"/>
      <c r="L191" s="488">
        <v>299882.09999999998</v>
      </c>
      <c r="M191" s="367">
        <f t="shared" si="8"/>
        <v>5299666.379999999</v>
      </c>
      <c r="N191" s="492">
        <v>6712.25</v>
      </c>
      <c r="O191" s="492"/>
      <c r="P191" s="492">
        <v>178969.25</v>
      </c>
      <c r="Q191" s="492"/>
      <c r="R191" s="492">
        <v>224737.95</v>
      </c>
      <c r="S191" s="488">
        <v>7061.85</v>
      </c>
      <c r="T191" s="367">
        <f t="shared" si="9"/>
        <v>5717147.6799999988</v>
      </c>
      <c r="U191" s="490">
        <v>-8732.19</v>
      </c>
      <c r="V191" s="492"/>
      <c r="W191" s="492">
        <v>-8239.7900000000009</v>
      </c>
      <c r="X191" s="496">
        <v>67</v>
      </c>
      <c r="Y191" s="497">
        <v>0.9</v>
      </c>
      <c r="Z191" s="498">
        <v>1019</v>
      </c>
      <c r="AA191" s="561"/>
      <c r="AB191" s="503"/>
      <c r="AC191" s="330">
        <f>AB191/VPI!R191</f>
        <v>0</v>
      </c>
      <c r="AD191" s="332">
        <f t="shared" si="10"/>
        <v>0</v>
      </c>
      <c r="AE191" s="330">
        <f>AD191/VPI!R191</f>
        <v>0</v>
      </c>
      <c r="AF191" s="503"/>
      <c r="AG191" s="503"/>
      <c r="AH191" s="503"/>
      <c r="AI191" s="568"/>
      <c r="AJ191" s="498"/>
      <c r="AK191" s="330">
        <f>AJ191/VPI!R191</f>
        <v>0</v>
      </c>
      <c r="AL191" s="332">
        <f t="shared" si="11"/>
        <v>0</v>
      </c>
      <c r="AM191" s="330">
        <f>AL191/VPI!R191</f>
        <v>0</v>
      </c>
      <c r="AN191" s="498"/>
      <c r="AO191" s="568"/>
      <c r="AP191" s="511">
        <v>37.537077035902037</v>
      </c>
      <c r="AR191" s="564">
        <v>0</v>
      </c>
    </row>
    <row r="192" spans="1:44" x14ac:dyDescent="0.25">
      <c r="A192" s="559">
        <v>5721</v>
      </c>
      <c r="B192" s="560" t="s">
        <v>211</v>
      </c>
      <c r="C192" s="488">
        <v>27240240.079999998</v>
      </c>
      <c r="D192" s="488">
        <v>5641955.7599999998</v>
      </c>
      <c r="E192" s="488"/>
      <c r="F192" s="489"/>
      <c r="G192" s="488">
        <v>5501117.75</v>
      </c>
      <c r="H192" s="488">
        <v>391987.35</v>
      </c>
      <c r="I192" s="488">
        <v>720410.71</v>
      </c>
      <c r="J192" s="488">
        <v>1089934.51</v>
      </c>
      <c r="K192" s="488">
        <v>461919.25</v>
      </c>
      <c r="L192" s="488">
        <v>3183907.45</v>
      </c>
      <c r="M192" s="367">
        <f t="shared" ref="M192:M254" si="12">SUM(C192:L192)</f>
        <v>44231472.859999999</v>
      </c>
      <c r="N192" s="492">
        <v>3037805.05</v>
      </c>
      <c r="O192" s="492">
        <v>1056731.8999999999</v>
      </c>
      <c r="P192" s="492">
        <v>1967520.4</v>
      </c>
      <c r="Q192" s="492">
        <v>35783.67</v>
      </c>
      <c r="R192" s="492">
        <v>1141232.3500000001</v>
      </c>
      <c r="S192" s="488">
        <v>555624.56000000006</v>
      </c>
      <c r="T192" s="367">
        <f t="shared" ref="T192:T254" si="13">SUM(M192:S192)</f>
        <v>52026170.789999999</v>
      </c>
      <c r="U192" s="490">
        <v>-266531.78999999998</v>
      </c>
      <c r="V192" s="492"/>
      <c r="W192" s="492">
        <v>-30385.09</v>
      </c>
      <c r="X192" s="496">
        <v>61</v>
      </c>
      <c r="Y192" s="497">
        <v>1</v>
      </c>
      <c r="Z192" s="498">
        <v>13976</v>
      </c>
      <c r="AA192" s="561"/>
      <c r="AB192" s="503"/>
      <c r="AC192" s="330">
        <f>AB192/VPI!R192</f>
        <v>0</v>
      </c>
      <c r="AD192" s="332">
        <f t="shared" si="10"/>
        <v>0</v>
      </c>
      <c r="AE192" s="330">
        <f>AD192/VPI!R192</f>
        <v>0</v>
      </c>
      <c r="AF192" s="503"/>
      <c r="AG192" s="503"/>
      <c r="AH192" s="503"/>
      <c r="AI192" s="568"/>
      <c r="AJ192" s="498"/>
      <c r="AK192" s="330">
        <f>AJ192/VPI!R192</f>
        <v>0</v>
      </c>
      <c r="AL192" s="332">
        <f t="shared" si="11"/>
        <v>0</v>
      </c>
      <c r="AM192" s="330">
        <f>AL192/VPI!R192</f>
        <v>0</v>
      </c>
      <c r="AN192" s="498"/>
      <c r="AO192" s="568"/>
      <c r="AP192" s="511">
        <v>18.55382818110083</v>
      </c>
      <c r="AR192" s="564">
        <v>0</v>
      </c>
    </row>
    <row r="193" spans="1:44" x14ac:dyDescent="0.25">
      <c r="A193" s="559">
        <v>5722</v>
      </c>
      <c r="B193" s="560" t="s">
        <v>212</v>
      </c>
      <c r="C193" s="488">
        <v>963329.17</v>
      </c>
      <c r="D193" s="488">
        <v>149965.37</v>
      </c>
      <c r="E193" s="488"/>
      <c r="F193" s="489"/>
      <c r="G193" s="488">
        <v>15016.95</v>
      </c>
      <c r="H193" s="488">
        <v>14163.4</v>
      </c>
      <c r="I193" s="488"/>
      <c r="J193" s="488">
        <v>36514.58</v>
      </c>
      <c r="K193" s="488">
        <v>33018.1</v>
      </c>
      <c r="L193" s="488">
        <v>145624.04999999999</v>
      </c>
      <c r="M193" s="367">
        <f t="shared" si="12"/>
        <v>1357631.62</v>
      </c>
      <c r="N193" s="492">
        <v>111059.85</v>
      </c>
      <c r="O193" s="492">
        <v>3354.8</v>
      </c>
      <c r="P193" s="492">
        <v>823185</v>
      </c>
      <c r="Q193" s="492"/>
      <c r="R193" s="492">
        <v>110260.75</v>
      </c>
      <c r="S193" s="488">
        <v>2751.24</v>
      </c>
      <c r="T193" s="367">
        <f t="shared" si="13"/>
        <v>2408243.2600000007</v>
      </c>
      <c r="U193" s="490">
        <v>-3782.15</v>
      </c>
      <c r="V193" s="492"/>
      <c r="W193" s="492">
        <v>-2537.0500000000002</v>
      </c>
      <c r="X193" s="496">
        <v>62</v>
      </c>
      <c r="Y193" s="497">
        <v>1</v>
      </c>
      <c r="Z193" s="498">
        <v>392</v>
      </c>
      <c r="AA193" s="561"/>
      <c r="AB193" s="503"/>
      <c r="AC193" s="330">
        <f>AB193/VPI!R193</f>
        <v>0</v>
      </c>
      <c r="AD193" s="332">
        <f t="shared" si="10"/>
        <v>0</v>
      </c>
      <c r="AE193" s="330">
        <f>AD193/VPI!R193</f>
        <v>0</v>
      </c>
      <c r="AF193" s="503"/>
      <c r="AG193" s="503"/>
      <c r="AH193" s="503"/>
      <c r="AI193" s="568"/>
      <c r="AJ193" s="498"/>
      <c r="AK193" s="330">
        <f>AJ193/VPI!R193</f>
        <v>0</v>
      </c>
      <c r="AL193" s="332">
        <f t="shared" si="11"/>
        <v>0</v>
      </c>
      <c r="AM193" s="330">
        <f>AL193/VPI!R193</f>
        <v>0</v>
      </c>
      <c r="AN193" s="498"/>
      <c r="AO193" s="568"/>
      <c r="AP193" s="511">
        <v>29.212020206164336</v>
      </c>
      <c r="AR193" s="564">
        <v>0</v>
      </c>
    </row>
    <row r="194" spans="1:44" x14ac:dyDescent="0.25">
      <c r="A194" s="559">
        <v>5723</v>
      </c>
      <c r="B194" s="560" t="s">
        <v>213</v>
      </c>
      <c r="C194" s="488">
        <v>8257230.1299999999</v>
      </c>
      <c r="D194" s="488">
        <v>2428813.7799999998</v>
      </c>
      <c r="E194" s="488"/>
      <c r="F194" s="489"/>
      <c r="G194" s="488">
        <v>184949.7</v>
      </c>
      <c r="H194" s="488">
        <v>33301.65</v>
      </c>
      <c r="I194" s="488">
        <v>1125584.27</v>
      </c>
      <c r="J194" s="488">
        <v>131358.5</v>
      </c>
      <c r="K194" s="488">
        <v>58940.35</v>
      </c>
      <c r="L194" s="488">
        <v>951702.75</v>
      </c>
      <c r="M194" s="367">
        <f t="shared" si="12"/>
        <v>13171881.129999999</v>
      </c>
      <c r="N194" s="492">
        <v>249514.6</v>
      </c>
      <c r="O194" s="492">
        <v>122997.7</v>
      </c>
      <c r="P194" s="492">
        <v>575075.5</v>
      </c>
      <c r="Q194" s="492">
        <v>22277.1</v>
      </c>
      <c r="R194" s="492">
        <v>605713.69999999995</v>
      </c>
      <c r="S194" s="488">
        <v>20577.57</v>
      </c>
      <c r="T194" s="367">
        <f t="shared" si="13"/>
        <v>14768037.299999997</v>
      </c>
      <c r="U194" s="490">
        <v>-2508.56</v>
      </c>
      <c r="V194" s="492"/>
      <c r="W194" s="492">
        <v>-45849.53</v>
      </c>
      <c r="X194" s="496">
        <v>52</v>
      </c>
      <c r="Y194" s="497">
        <v>1</v>
      </c>
      <c r="Z194" s="498">
        <v>2171</v>
      </c>
      <c r="AA194" s="561"/>
      <c r="AB194" s="503"/>
      <c r="AC194" s="330">
        <f>AB194/VPI!R194</f>
        <v>0</v>
      </c>
      <c r="AD194" s="332">
        <f t="shared" si="10"/>
        <v>0</v>
      </c>
      <c r="AE194" s="330">
        <f>AD194/VPI!R194</f>
        <v>0</v>
      </c>
      <c r="AF194" s="503"/>
      <c r="AG194" s="503"/>
      <c r="AH194" s="503"/>
      <c r="AI194" s="568"/>
      <c r="AJ194" s="498"/>
      <c r="AK194" s="330">
        <f>AJ194/VPI!R194</f>
        <v>0</v>
      </c>
      <c r="AL194" s="332">
        <f t="shared" si="11"/>
        <v>0</v>
      </c>
      <c r="AM194" s="330">
        <f>AL194/VPI!R194</f>
        <v>0</v>
      </c>
      <c r="AN194" s="498"/>
      <c r="AO194" s="568"/>
      <c r="AP194" s="511">
        <v>39.709309261542899</v>
      </c>
      <c r="AR194" s="564">
        <v>0</v>
      </c>
    </row>
    <row r="195" spans="1:44" x14ac:dyDescent="0.25">
      <c r="A195" s="559">
        <v>5724</v>
      </c>
      <c r="B195" s="560" t="s">
        <v>63</v>
      </c>
      <c r="C195" s="488">
        <v>62625804.200000003</v>
      </c>
      <c r="D195" s="488">
        <v>11457223.560000001</v>
      </c>
      <c r="E195" s="488"/>
      <c r="F195" s="489"/>
      <c r="G195" s="488">
        <v>13867487.25</v>
      </c>
      <c r="H195" s="488">
        <v>1240426.2</v>
      </c>
      <c r="I195" s="488">
        <v>1277070.54</v>
      </c>
      <c r="J195" s="488">
        <v>3170522.81</v>
      </c>
      <c r="K195" s="488">
        <v>1029414.25</v>
      </c>
      <c r="L195" s="488">
        <v>8961402.5</v>
      </c>
      <c r="M195" s="367">
        <f t="shared" si="12"/>
        <v>103629351.31000002</v>
      </c>
      <c r="N195" s="492">
        <v>6245954.3499999996</v>
      </c>
      <c r="O195" s="492">
        <v>4086206.6</v>
      </c>
      <c r="P195" s="492">
        <v>4806842.55</v>
      </c>
      <c r="Q195" s="492">
        <v>201793.85</v>
      </c>
      <c r="R195" s="492">
        <v>3840858.45</v>
      </c>
      <c r="S195" s="488">
        <v>1424432.04</v>
      </c>
      <c r="T195" s="367">
        <f t="shared" si="13"/>
        <v>124235439.15000001</v>
      </c>
      <c r="U195" s="490">
        <v>-574085.26</v>
      </c>
      <c r="V195" s="492"/>
      <c r="W195" s="492">
        <v>-245866.84</v>
      </c>
      <c r="X195" s="496">
        <v>61</v>
      </c>
      <c r="Y195" s="497">
        <v>1.5</v>
      </c>
      <c r="Z195" s="498">
        <v>22978</v>
      </c>
      <c r="AA195" s="561"/>
      <c r="AB195" s="503"/>
      <c r="AC195" s="330">
        <f>AB195/VPI!R195</f>
        <v>0</v>
      </c>
      <c r="AD195" s="332">
        <f t="shared" si="10"/>
        <v>0</v>
      </c>
      <c r="AE195" s="330">
        <f>AD195/VPI!R195</f>
        <v>0</v>
      </c>
      <c r="AF195" s="503"/>
      <c r="AG195" s="503"/>
      <c r="AH195" s="503"/>
      <c r="AI195" s="568"/>
      <c r="AJ195" s="498"/>
      <c r="AK195" s="330">
        <f>AJ195/VPI!R195</f>
        <v>0</v>
      </c>
      <c r="AL195" s="332">
        <f t="shared" si="11"/>
        <v>0</v>
      </c>
      <c r="AM195" s="330">
        <f>AL195/VPI!R195</f>
        <v>0</v>
      </c>
      <c r="AN195" s="498"/>
      <c r="AO195" s="568"/>
      <c r="AP195" s="511">
        <v>23.139446900600127</v>
      </c>
      <c r="AR195" s="564">
        <v>1</v>
      </c>
    </row>
    <row r="196" spans="1:44" x14ac:dyDescent="0.25">
      <c r="A196" s="559">
        <v>5725</v>
      </c>
      <c r="B196" s="560" t="s">
        <v>64</v>
      </c>
      <c r="C196" s="488">
        <v>11468742.34</v>
      </c>
      <c r="D196" s="488">
        <v>4951717.41</v>
      </c>
      <c r="E196" s="488"/>
      <c r="F196" s="489"/>
      <c r="G196" s="488">
        <v>729818.2</v>
      </c>
      <c r="H196" s="488">
        <v>24992</v>
      </c>
      <c r="I196" s="488">
        <v>300477.23</v>
      </c>
      <c r="J196" s="488">
        <v>118236.86</v>
      </c>
      <c r="K196" s="488">
        <v>67141.649999999994</v>
      </c>
      <c r="L196" s="488">
        <v>1726544</v>
      </c>
      <c r="M196" s="367">
        <f t="shared" si="12"/>
        <v>19387669.689999998</v>
      </c>
      <c r="N196" s="492">
        <v>1249117.6499999999</v>
      </c>
      <c r="O196" s="492">
        <v>159643</v>
      </c>
      <c r="P196" s="492">
        <v>815456.8</v>
      </c>
      <c r="Q196" s="492"/>
      <c r="R196" s="492">
        <v>446150</v>
      </c>
      <c r="S196" s="488">
        <v>71166.399999999994</v>
      </c>
      <c r="T196" s="367">
        <f t="shared" si="13"/>
        <v>22129203.539999995</v>
      </c>
      <c r="U196" s="490">
        <v>-124628</v>
      </c>
      <c r="V196" s="492"/>
      <c r="W196" s="492">
        <v>-48791.74</v>
      </c>
      <c r="X196" s="496">
        <v>55</v>
      </c>
      <c r="Y196" s="497">
        <v>1.4</v>
      </c>
      <c r="Z196" s="498">
        <v>4284</v>
      </c>
      <c r="AA196" s="561"/>
      <c r="AB196" s="503"/>
      <c r="AC196" s="330">
        <f>AB196/VPI!R196</f>
        <v>0</v>
      </c>
      <c r="AD196" s="332">
        <f t="shared" si="10"/>
        <v>0</v>
      </c>
      <c r="AE196" s="330">
        <f>AD196/VPI!R196</f>
        <v>0</v>
      </c>
      <c r="AF196" s="503"/>
      <c r="AG196" s="503"/>
      <c r="AH196" s="503"/>
      <c r="AI196" s="568"/>
      <c r="AJ196" s="498"/>
      <c r="AK196" s="330">
        <f>AJ196/VPI!R196</f>
        <v>0</v>
      </c>
      <c r="AL196" s="332">
        <f t="shared" si="11"/>
        <v>0</v>
      </c>
      <c r="AM196" s="330">
        <f>AL196/VPI!R196</f>
        <v>0</v>
      </c>
      <c r="AN196" s="498"/>
      <c r="AO196" s="568"/>
      <c r="AP196" s="511">
        <v>35.114580984343441</v>
      </c>
      <c r="AR196" s="564">
        <v>1</v>
      </c>
    </row>
    <row r="197" spans="1:44" x14ac:dyDescent="0.25">
      <c r="A197" s="559">
        <v>5726</v>
      </c>
      <c r="B197" s="560" t="s">
        <v>268</v>
      </c>
      <c r="C197" s="488">
        <v>3487922.82</v>
      </c>
      <c r="D197" s="488">
        <v>645125.94999999995</v>
      </c>
      <c r="E197" s="488"/>
      <c r="F197" s="489"/>
      <c r="G197" s="488">
        <v>66582.75</v>
      </c>
      <c r="H197" s="488">
        <v>3589.7</v>
      </c>
      <c r="I197" s="488"/>
      <c r="J197" s="488">
        <v>51807.81</v>
      </c>
      <c r="K197" s="488">
        <v>463.2</v>
      </c>
      <c r="L197" s="488">
        <v>285475.75</v>
      </c>
      <c r="M197" s="367">
        <f t="shared" si="12"/>
        <v>4540967.9799999995</v>
      </c>
      <c r="N197" s="492">
        <v>27291.25</v>
      </c>
      <c r="O197" s="492"/>
      <c r="P197" s="492">
        <v>65670</v>
      </c>
      <c r="Q197" s="492">
        <v>1822.03</v>
      </c>
      <c r="R197" s="492">
        <v>52628.65</v>
      </c>
      <c r="S197" s="488">
        <v>6616.13</v>
      </c>
      <c r="T197" s="367">
        <f t="shared" si="13"/>
        <v>4694996.04</v>
      </c>
      <c r="U197" s="490">
        <v>-21549.59</v>
      </c>
      <c r="V197" s="492"/>
      <c r="W197" s="492">
        <v>-11033.51</v>
      </c>
      <c r="X197" s="496">
        <v>63.5</v>
      </c>
      <c r="Y197" s="497">
        <v>1</v>
      </c>
      <c r="Z197" s="498">
        <v>1206</v>
      </c>
      <c r="AA197" s="561"/>
      <c r="AB197" s="503"/>
      <c r="AC197" s="330">
        <f>AB197/VPI!R197</f>
        <v>0</v>
      </c>
      <c r="AD197" s="332">
        <f t="shared" si="10"/>
        <v>0</v>
      </c>
      <c r="AE197" s="330">
        <f>AD197/VPI!R197</f>
        <v>0</v>
      </c>
      <c r="AF197" s="503"/>
      <c r="AG197" s="503"/>
      <c r="AH197" s="503"/>
      <c r="AI197" s="568"/>
      <c r="AJ197" s="498"/>
      <c r="AK197" s="330">
        <f>AJ197/VPI!R197</f>
        <v>0</v>
      </c>
      <c r="AL197" s="332">
        <f t="shared" si="11"/>
        <v>0</v>
      </c>
      <c r="AM197" s="330">
        <f>AL197/VPI!R197</f>
        <v>0</v>
      </c>
      <c r="AN197" s="498"/>
      <c r="AO197" s="568"/>
      <c r="AP197" s="511">
        <v>30.080380665858545</v>
      </c>
      <c r="AR197" s="564">
        <v>0</v>
      </c>
    </row>
    <row r="198" spans="1:44" x14ac:dyDescent="0.25">
      <c r="A198" s="559">
        <v>5727</v>
      </c>
      <c r="B198" s="560" t="s">
        <v>269</v>
      </c>
      <c r="C198" s="488">
        <v>5548060.2599999998</v>
      </c>
      <c r="D198" s="488">
        <v>963847.62</v>
      </c>
      <c r="E198" s="488"/>
      <c r="F198" s="489"/>
      <c r="G198" s="488">
        <v>35805.1</v>
      </c>
      <c r="H198" s="488">
        <v>15485.05</v>
      </c>
      <c r="I198" s="488">
        <v>124319.25</v>
      </c>
      <c r="J198" s="488">
        <v>59527.17</v>
      </c>
      <c r="K198" s="488">
        <v>12877.25</v>
      </c>
      <c r="L198" s="488">
        <v>868952.6</v>
      </c>
      <c r="M198" s="367">
        <f t="shared" si="12"/>
        <v>7628874.2999999989</v>
      </c>
      <c r="N198" s="492">
        <v>211642.65</v>
      </c>
      <c r="O198" s="492">
        <v>545921.69999999995</v>
      </c>
      <c r="P198" s="492">
        <v>553181</v>
      </c>
      <c r="Q198" s="492">
        <v>2131.08</v>
      </c>
      <c r="R198" s="492">
        <v>489346.8</v>
      </c>
      <c r="S198" s="488">
        <v>4835.83</v>
      </c>
      <c r="T198" s="367">
        <f t="shared" si="13"/>
        <v>9435933.3599999994</v>
      </c>
      <c r="U198" s="490">
        <v>-165660.65</v>
      </c>
      <c r="V198" s="492"/>
      <c r="W198" s="492">
        <v>-1913.03</v>
      </c>
      <c r="X198" s="496">
        <v>66</v>
      </c>
      <c r="Y198" s="497">
        <v>1.5</v>
      </c>
      <c r="Z198" s="498">
        <v>2916</v>
      </c>
      <c r="AA198" s="561"/>
      <c r="AB198" s="503"/>
      <c r="AC198" s="330">
        <f>AB198/VPI!R198</f>
        <v>0</v>
      </c>
      <c r="AD198" s="332">
        <f t="shared" si="10"/>
        <v>0</v>
      </c>
      <c r="AE198" s="330">
        <f>AD198/VPI!R198</f>
        <v>0</v>
      </c>
      <c r="AF198" s="503"/>
      <c r="AG198" s="503"/>
      <c r="AH198" s="503"/>
      <c r="AI198" s="568"/>
      <c r="AJ198" s="498"/>
      <c r="AK198" s="330">
        <f>AJ198/VPI!R198</f>
        <v>0</v>
      </c>
      <c r="AL198" s="332">
        <f t="shared" si="11"/>
        <v>0</v>
      </c>
      <c r="AM198" s="330">
        <f>AL198/VPI!R198</f>
        <v>0</v>
      </c>
      <c r="AN198" s="498"/>
      <c r="AO198" s="568"/>
      <c r="AP198" s="511">
        <v>18.990905224437334</v>
      </c>
      <c r="AR198" s="564">
        <v>0</v>
      </c>
    </row>
    <row r="199" spans="1:44" x14ac:dyDescent="0.25">
      <c r="A199" s="559">
        <v>5728</v>
      </c>
      <c r="B199" s="560" t="s">
        <v>270</v>
      </c>
      <c r="C199" s="488">
        <v>1377453.67</v>
      </c>
      <c r="D199" s="488">
        <v>189541.92</v>
      </c>
      <c r="E199" s="488"/>
      <c r="F199" s="489"/>
      <c r="G199" s="488">
        <v>1091800.69</v>
      </c>
      <c r="H199" s="488">
        <v>36444.800000000003</v>
      </c>
      <c r="I199" s="488">
        <v>33622.6</v>
      </c>
      <c r="J199" s="488">
        <v>41224.58</v>
      </c>
      <c r="K199" s="488">
        <v>58273.95</v>
      </c>
      <c r="L199" s="488">
        <v>238321</v>
      </c>
      <c r="M199" s="367">
        <f t="shared" si="12"/>
        <v>3066683.21</v>
      </c>
      <c r="N199" s="492">
        <v>180348</v>
      </c>
      <c r="O199" s="492"/>
      <c r="P199" s="492">
        <v>34936.400000000001</v>
      </c>
      <c r="Q199" s="492">
        <v>753.43</v>
      </c>
      <c r="R199" s="492">
        <v>74031.8</v>
      </c>
      <c r="S199" s="488">
        <v>106375.31</v>
      </c>
      <c r="T199" s="367">
        <f t="shared" si="13"/>
        <v>3463128.15</v>
      </c>
      <c r="U199" s="490">
        <v>13827.01</v>
      </c>
      <c r="V199" s="492"/>
      <c r="W199" s="492">
        <v>-1395.62</v>
      </c>
      <c r="X199" s="496">
        <v>58</v>
      </c>
      <c r="Y199" s="497">
        <v>1</v>
      </c>
      <c r="Z199" s="498">
        <v>606</v>
      </c>
      <c r="AA199" s="561"/>
      <c r="AB199" s="503"/>
      <c r="AC199" s="330">
        <f>AB199/VPI!R199</f>
        <v>0</v>
      </c>
      <c r="AD199" s="332">
        <f t="shared" ref="AD199:AD262" si="14">AF199-AB199</f>
        <v>0</v>
      </c>
      <c r="AE199" s="330">
        <f>AD199/VPI!R199</f>
        <v>0</v>
      </c>
      <c r="AF199" s="503"/>
      <c r="AG199" s="503"/>
      <c r="AH199" s="503"/>
      <c r="AI199" s="568"/>
      <c r="AJ199" s="498"/>
      <c r="AK199" s="330">
        <f>AJ199/VPI!R199</f>
        <v>0</v>
      </c>
      <c r="AL199" s="332">
        <f t="shared" ref="AL199:AL262" si="15">AN199-AJ199</f>
        <v>0</v>
      </c>
      <c r="AM199" s="330">
        <f>AL199/VPI!R199</f>
        <v>0</v>
      </c>
      <c r="AN199" s="498"/>
      <c r="AO199" s="568"/>
      <c r="AP199" s="511">
        <v>41.998246179172703</v>
      </c>
      <c r="AR199" s="564">
        <v>0</v>
      </c>
    </row>
    <row r="200" spans="1:44" x14ac:dyDescent="0.25">
      <c r="A200" s="559">
        <v>5729</v>
      </c>
      <c r="B200" s="560" t="s">
        <v>271</v>
      </c>
      <c r="C200" s="488">
        <v>8871882.5899999999</v>
      </c>
      <c r="D200" s="488">
        <v>1895050.72</v>
      </c>
      <c r="E200" s="488"/>
      <c r="F200" s="489"/>
      <c r="G200" s="488">
        <v>334046.75</v>
      </c>
      <c r="H200" s="488">
        <v>7268.5</v>
      </c>
      <c r="I200" s="488">
        <v>259526.16</v>
      </c>
      <c r="J200" s="488">
        <v>129769.34</v>
      </c>
      <c r="K200" s="488">
        <v>9352.25</v>
      </c>
      <c r="L200" s="488">
        <v>974268.75</v>
      </c>
      <c r="M200" s="367">
        <f t="shared" si="12"/>
        <v>12481165.060000001</v>
      </c>
      <c r="N200" s="492">
        <v>17058.400000000001</v>
      </c>
      <c r="O200" s="492"/>
      <c r="P200" s="492">
        <v>362413.3</v>
      </c>
      <c r="Q200" s="492">
        <v>610.4</v>
      </c>
      <c r="R200" s="492">
        <v>485287.05</v>
      </c>
      <c r="S200" s="488">
        <v>32180.51</v>
      </c>
      <c r="T200" s="367">
        <f t="shared" si="13"/>
        <v>13378714.720000003</v>
      </c>
      <c r="U200" s="490">
        <v>-10380.64</v>
      </c>
      <c r="V200" s="492"/>
      <c r="W200" s="492">
        <v>-31851.08</v>
      </c>
      <c r="X200" s="496">
        <v>60.5</v>
      </c>
      <c r="Y200" s="497">
        <v>1.5</v>
      </c>
      <c r="Z200" s="498">
        <v>1715</v>
      </c>
      <c r="AA200" s="561"/>
      <c r="AB200" s="503"/>
      <c r="AC200" s="330">
        <f>AB200/VPI!R200</f>
        <v>0</v>
      </c>
      <c r="AD200" s="332">
        <f t="shared" si="14"/>
        <v>0</v>
      </c>
      <c r="AE200" s="330">
        <f>AD200/VPI!R200</f>
        <v>0</v>
      </c>
      <c r="AF200" s="503"/>
      <c r="AG200" s="503"/>
      <c r="AH200" s="503"/>
      <c r="AI200" s="568"/>
      <c r="AJ200" s="498"/>
      <c r="AK200" s="330">
        <f>AJ200/VPI!R200</f>
        <v>0</v>
      </c>
      <c r="AL200" s="332">
        <f t="shared" si="15"/>
        <v>0</v>
      </c>
      <c r="AM200" s="330">
        <f>AL200/VPI!R200</f>
        <v>0</v>
      </c>
      <c r="AN200" s="498"/>
      <c r="AO200" s="568"/>
      <c r="AP200" s="511">
        <v>41.095743048560223</v>
      </c>
      <c r="AR200" s="564">
        <v>0</v>
      </c>
    </row>
    <row r="201" spans="1:44" x14ac:dyDescent="0.25">
      <c r="A201" s="559">
        <v>5730</v>
      </c>
      <c r="B201" s="560" t="s">
        <v>272</v>
      </c>
      <c r="C201" s="488">
        <v>5350778.75</v>
      </c>
      <c r="D201" s="488">
        <v>2159849.59</v>
      </c>
      <c r="E201" s="488"/>
      <c r="F201" s="489"/>
      <c r="G201" s="488">
        <v>72963.399999999994</v>
      </c>
      <c r="H201" s="488">
        <v>3176.3</v>
      </c>
      <c r="I201" s="488">
        <v>33477.980000000003</v>
      </c>
      <c r="J201" s="488">
        <v>52163.72</v>
      </c>
      <c r="K201" s="488">
        <v>11233.35</v>
      </c>
      <c r="L201" s="488">
        <v>432573.25</v>
      </c>
      <c r="M201" s="367">
        <f t="shared" si="12"/>
        <v>8116216.3399999999</v>
      </c>
      <c r="N201" s="492">
        <v>18271.45</v>
      </c>
      <c r="O201" s="492">
        <v>6190.6</v>
      </c>
      <c r="P201" s="492">
        <v>256538.3</v>
      </c>
      <c r="Q201" s="492"/>
      <c r="R201" s="492">
        <v>223252.85</v>
      </c>
      <c r="S201" s="488">
        <v>7178.74</v>
      </c>
      <c r="T201" s="367">
        <f t="shared" si="13"/>
        <v>8627648.2799999993</v>
      </c>
      <c r="U201" s="490">
        <v>-23391.439999999999</v>
      </c>
      <c r="V201" s="492"/>
      <c r="W201" s="492">
        <v>-19389.919999999998</v>
      </c>
      <c r="X201" s="496">
        <v>55.5</v>
      </c>
      <c r="Y201" s="497">
        <v>0.9</v>
      </c>
      <c r="Z201" s="498">
        <v>1447</v>
      </c>
      <c r="AA201" s="561"/>
      <c r="AB201" s="503"/>
      <c r="AC201" s="330">
        <f>AB201/VPI!R201</f>
        <v>0</v>
      </c>
      <c r="AD201" s="332">
        <f t="shared" si="14"/>
        <v>0</v>
      </c>
      <c r="AE201" s="330">
        <f>AD201/VPI!R201</f>
        <v>0</v>
      </c>
      <c r="AF201" s="503"/>
      <c r="AG201" s="503"/>
      <c r="AH201" s="503"/>
      <c r="AI201" s="568"/>
      <c r="AJ201" s="498"/>
      <c r="AK201" s="330">
        <f>AJ201/VPI!R201</f>
        <v>0</v>
      </c>
      <c r="AL201" s="332">
        <f t="shared" si="15"/>
        <v>0</v>
      </c>
      <c r="AM201" s="330">
        <f>AL201/VPI!R201</f>
        <v>0</v>
      </c>
      <c r="AN201" s="498"/>
      <c r="AO201" s="568"/>
      <c r="AP201" s="511">
        <v>35.782577357546948</v>
      </c>
      <c r="AR201" s="564">
        <v>0</v>
      </c>
    </row>
    <row r="202" spans="1:44" x14ac:dyDescent="0.25">
      <c r="A202" s="559">
        <v>5731</v>
      </c>
      <c r="B202" s="560" t="s">
        <v>273</v>
      </c>
      <c r="C202" s="488">
        <v>4217273.9400000004</v>
      </c>
      <c r="D202" s="488">
        <v>594599.31999999995</v>
      </c>
      <c r="E202" s="488"/>
      <c r="F202" s="489"/>
      <c r="G202" s="488">
        <v>24401.599999999999</v>
      </c>
      <c r="H202" s="488">
        <v>3304.5</v>
      </c>
      <c r="I202" s="488"/>
      <c r="J202" s="488">
        <v>44328.41</v>
      </c>
      <c r="K202" s="488">
        <v>4710.5</v>
      </c>
      <c r="L202" s="488">
        <v>460409.59999999998</v>
      </c>
      <c r="M202" s="367">
        <f t="shared" si="12"/>
        <v>5349027.87</v>
      </c>
      <c r="N202" s="492">
        <v>37421.599999999999</v>
      </c>
      <c r="O202" s="492"/>
      <c r="P202" s="492">
        <v>160138.45000000001</v>
      </c>
      <c r="Q202" s="492">
        <v>10950.27</v>
      </c>
      <c r="R202" s="492">
        <v>139243.65</v>
      </c>
      <c r="S202" s="488">
        <v>2612.2399999999998</v>
      </c>
      <c r="T202" s="367">
        <f t="shared" si="13"/>
        <v>5699394.0800000001</v>
      </c>
      <c r="U202" s="490">
        <v>-25345.96</v>
      </c>
      <c r="V202" s="492"/>
      <c r="W202" s="492">
        <v>-8131.55</v>
      </c>
      <c r="X202" s="496">
        <v>73</v>
      </c>
      <c r="Y202" s="497">
        <v>1.5</v>
      </c>
      <c r="Z202" s="498">
        <v>1413</v>
      </c>
      <c r="AA202" s="561"/>
      <c r="AB202" s="503"/>
      <c r="AC202" s="330">
        <f>AB202/VPI!R202</f>
        <v>0</v>
      </c>
      <c r="AD202" s="332">
        <f t="shared" si="14"/>
        <v>0</v>
      </c>
      <c r="AE202" s="330">
        <f>AD202/VPI!R202</f>
        <v>0</v>
      </c>
      <c r="AF202" s="503"/>
      <c r="AG202" s="503"/>
      <c r="AH202" s="503"/>
      <c r="AI202" s="568"/>
      <c r="AJ202" s="498"/>
      <c r="AK202" s="330">
        <f>AJ202/VPI!R202</f>
        <v>0</v>
      </c>
      <c r="AL202" s="332">
        <f t="shared" si="15"/>
        <v>0</v>
      </c>
      <c r="AM202" s="330">
        <f>AL202/VPI!R202</f>
        <v>0</v>
      </c>
      <c r="AN202" s="498"/>
      <c r="AO202" s="568"/>
      <c r="AP202" s="511">
        <v>27.048479512803262</v>
      </c>
      <c r="AR202" s="564">
        <v>0</v>
      </c>
    </row>
    <row r="203" spans="1:44" x14ac:dyDescent="0.25">
      <c r="A203" s="559">
        <v>5732</v>
      </c>
      <c r="B203" s="560" t="s">
        <v>274</v>
      </c>
      <c r="C203" s="488">
        <v>3793543.18</v>
      </c>
      <c r="D203" s="488">
        <v>790293.38</v>
      </c>
      <c r="E203" s="488"/>
      <c r="F203" s="489"/>
      <c r="G203" s="488">
        <v>136551.20000000001</v>
      </c>
      <c r="H203" s="488">
        <v>16758.2</v>
      </c>
      <c r="I203" s="488">
        <v>95037.7</v>
      </c>
      <c r="J203" s="488">
        <v>69196.67</v>
      </c>
      <c r="K203" s="488">
        <v>19277.8</v>
      </c>
      <c r="L203" s="488">
        <v>388403.75</v>
      </c>
      <c r="M203" s="367">
        <f t="shared" si="12"/>
        <v>5309061.8800000008</v>
      </c>
      <c r="N203" s="492">
        <v>163074.20000000001</v>
      </c>
      <c r="O203" s="492"/>
      <c r="P203" s="492">
        <v>129297.5</v>
      </c>
      <c r="Q203" s="492">
        <v>10006.18</v>
      </c>
      <c r="R203" s="492">
        <v>177592.7</v>
      </c>
      <c r="S203" s="488">
        <v>14454.6</v>
      </c>
      <c r="T203" s="367">
        <f t="shared" si="13"/>
        <v>5803487.0600000005</v>
      </c>
      <c r="U203" s="490">
        <v>-28024.58</v>
      </c>
      <c r="V203" s="492"/>
      <c r="W203" s="492">
        <v>-18928.45</v>
      </c>
      <c r="X203" s="496">
        <v>63</v>
      </c>
      <c r="Y203" s="497">
        <v>1</v>
      </c>
      <c r="Z203" s="498">
        <v>1174</v>
      </c>
      <c r="AA203" s="561"/>
      <c r="AB203" s="503"/>
      <c r="AC203" s="330">
        <f>AB203/VPI!R203</f>
        <v>0</v>
      </c>
      <c r="AD203" s="332">
        <f t="shared" si="14"/>
        <v>0</v>
      </c>
      <c r="AE203" s="330">
        <f>AD203/VPI!R203</f>
        <v>0</v>
      </c>
      <c r="AF203" s="503"/>
      <c r="AG203" s="503"/>
      <c r="AH203" s="503"/>
      <c r="AI203" s="568"/>
      <c r="AJ203" s="498"/>
      <c r="AK203" s="330">
        <f>AJ203/VPI!R203</f>
        <v>0</v>
      </c>
      <c r="AL203" s="332">
        <f t="shared" si="15"/>
        <v>0</v>
      </c>
      <c r="AM203" s="330">
        <f>AL203/VPI!R203</f>
        <v>0</v>
      </c>
      <c r="AN203" s="498"/>
      <c r="AO203" s="568"/>
      <c r="AP203" s="511">
        <v>33.143106773698563</v>
      </c>
      <c r="AR203" s="564">
        <v>0</v>
      </c>
    </row>
    <row r="204" spans="1:44" x14ac:dyDescent="0.25">
      <c r="A204" s="559">
        <v>5741</v>
      </c>
      <c r="B204" s="560" t="s">
        <v>275</v>
      </c>
      <c r="C204" s="488">
        <v>556634.36</v>
      </c>
      <c r="D204" s="488">
        <v>67395.37</v>
      </c>
      <c r="E204" s="488"/>
      <c r="F204" s="489">
        <v>1510</v>
      </c>
      <c r="G204" s="488">
        <v>3658.7</v>
      </c>
      <c r="H204" s="488">
        <v>1089.25</v>
      </c>
      <c r="I204" s="488"/>
      <c r="J204" s="488">
        <v>4612.1400000000003</v>
      </c>
      <c r="K204" s="488"/>
      <c r="L204" s="488">
        <v>51412.35</v>
      </c>
      <c r="M204" s="367">
        <f t="shared" si="12"/>
        <v>686312.16999999993</v>
      </c>
      <c r="N204" s="492">
        <v>4606.8999999999996</v>
      </c>
      <c r="O204" s="492">
        <v>1341.9</v>
      </c>
      <c r="P204" s="492">
        <v>13225.85</v>
      </c>
      <c r="Q204" s="492"/>
      <c r="R204" s="492">
        <v>16327.4</v>
      </c>
      <c r="S204" s="488">
        <v>447.65</v>
      </c>
      <c r="T204" s="367">
        <f t="shared" si="13"/>
        <v>722261.87</v>
      </c>
      <c r="U204" s="490">
        <v>-4279.99</v>
      </c>
      <c r="V204" s="492"/>
      <c r="W204" s="492">
        <v>-11853.6</v>
      </c>
      <c r="X204" s="496">
        <v>80</v>
      </c>
      <c r="Y204" s="497">
        <v>1.2</v>
      </c>
      <c r="Z204" s="498">
        <v>268</v>
      </c>
      <c r="AA204" s="561"/>
      <c r="AB204" s="503"/>
      <c r="AC204" s="330">
        <f>AB204/VPI!R204</f>
        <v>0</v>
      </c>
      <c r="AD204" s="332">
        <f t="shared" si="14"/>
        <v>0</v>
      </c>
      <c r="AE204" s="330">
        <f>AD204/VPI!R204</f>
        <v>0</v>
      </c>
      <c r="AF204" s="503"/>
      <c r="AG204" s="503"/>
      <c r="AH204" s="503"/>
      <c r="AI204" s="568"/>
      <c r="AJ204" s="498"/>
      <c r="AK204" s="330">
        <f>AJ204/VPI!R204</f>
        <v>0</v>
      </c>
      <c r="AL204" s="332">
        <f t="shared" si="15"/>
        <v>0</v>
      </c>
      <c r="AM204" s="330">
        <f>AL204/VPI!R204</f>
        <v>0</v>
      </c>
      <c r="AN204" s="498"/>
      <c r="AO204" s="568"/>
      <c r="AP204" s="511">
        <v>23.504119069952697</v>
      </c>
      <c r="AR204" s="564">
        <v>0</v>
      </c>
    </row>
    <row r="205" spans="1:44" x14ac:dyDescent="0.25">
      <c r="A205" s="559">
        <v>5742</v>
      </c>
      <c r="B205" s="560" t="s">
        <v>276</v>
      </c>
      <c r="C205" s="488">
        <v>541713.41</v>
      </c>
      <c r="D205" s="488">
        <v>78728.28</v>
      </c>
      <c r="E205" s="488"/>
      <c r="F205" s="489"/>
      <c r="G205" s="488">
        <v>7339.6</v>
      </c>
      <c r="H205" s="488">
        <v>204.3</v>
      </c>
      <c r="I205" s="488"/>
      <c r="J205" s="488">
        <v>17618.8</v>
      </c>
      <c r="K205" s="488">
        <v>1672.3</v>
      </c>
      <c r="L205" s="488">
        <v>30047.200000000001</v>
      </c>
      <c r="M205" s="367">
        <f t="shared" si="12"/>
        <v>677323.89000000013</v>
      </c>
      <c r="N205" s="492">
        <v>2746.7</v>
      </c>
      <c r="O205" s="492"/>
      <c r="P205" s="492">
        <v>8360</v>
      </c>
      <c r="Q205" s="492"/>
      <c r="R205" s="492"/>
      <c r="S205" s="488">
        <v>711.27</v>
      </c>
      <c r="T205" s="367">
        <f t="shared" si="13"/>
        <v>689141.8600000001</v>
      </c>
      <c r="U205" s="490">
        <v>-7942.15</v>
      </c>
      <c r="V205" s="492"/>
      <c r="W205" s="492">
        <v>-283.39999999999998</v>
      </c>
      <c r="X205" s="496">
        <v>76</v>
      </c>
      <c r="Y205" s="497">
        <v>0.5</v>
      </c>
      <c r="Z205" s="498">
        <v>383</v>
      </c>
      <c r="AA205" s="561"/>
      <c r="AB205" s="503"/>
      <c r="AC205" s="330">
        <f>AB205/VPI!R205</f>
        <v>0</v>
      </c>
      <c r="AD205" s="332">
        <f t="shared" si="14"/>
        <v>0</v>
      </c>
      <c r="AE205" s="330">
        <f>AD205/VPI!R205</f>
        <v>0</v>
      </c>
      <c r="AF205" s="503"/>
      <c r="AG205" s="503"/>
      <c r="AH205" s="503"/>
      <c r="AI205" s="568"/>
      <c r="AJ205" s="498"/>
      <c r="AK205" s="330">
        <f>AJ205/VPI!R205</f>
        <v>0</v>
      </c>
      <c r="AL205" s="332">
        <f t="shared" si="15"/>
        <v>0</v>
      </c>
      <c r="AM205" s="330">
        <f>AL205/VPI!R205</f>
        <v>0</v>
      </c>
      <c r="AN205" s="498"/>
      <c r="AO205" s="568"/>
      <c r="AP205" s="511">
        <v>1.3163347144957049</v>
      </c>
      <c r="AR205" s="564">
        <v>0</v>
      </c>
    </row>
    <row r="206" spans="1:44" x14ac:dyDescent="0.25">
      <c r="A206" s="559">
        <v>5743</v>
      </c>
      <c r="B206" s="560" t="s">
        <v>226</v>
      </c>
      <c r="C206" s="488">
        <v>1083333.56</v>
      </c>
      <c r="D206" s="488">
        <v>159102.56</v>
      </c>
      <c r="E206" s="488"/>
      <c r="F206" s="489"/>
      <c r="G206" s="488">
        <v>24111.55</v>
      </c>
      <c r="H206" s="488">
        <v>-90.7</v>
      </c>
      <c r="I206" s="488"/>
      <c r="J206" s="488">
        <v>8745.65</v>
      </c>
      <c r="K206" s="488"/>
      <c r="L206" s="488">
        <v>79597.75</v>
      </c>
      <c r="M206" s="367">
        <f t="shared" si="12"/>
        <v>1354800.37</v>
      </c>
      <c r="N206" s="492">
        <v>23807.55</v>
      </c>
      <c r="O206" s="492">
        <v>52781.4</v>
      </c>
      <c r="P206" s="492">
        <v>81054.45</v>
      </c>
      <c r="Q206" s="492"/>
      <c r="R206" s="492">
        <v>70054.8</v>
      </c>
      <c r="S206" s="488">
        <v>2264.7800000000002</v>
      </c>
      <c r="T206" s="367">
        <f t="shared" si="13"/>
        <v>1584763.35</v>
      </c>
      <c r="U206" s="490">
        <v>-19194.919999999998</v>
      </c>
      <c r="V206" s="492"/>
      <c r="W206" s="492">
        <v>-102.9</v>
      </c>
      <c r="X206" s="496">
        <v>71</v>
      </c>
      <c r="Y206" s="497">
        <v>0.8</v>
      </c>
      <c r="Z206" s="498">
        <v>661</v>
      </c>
      <c r="AA206" s="561"/>
      <c r="AB206" s="503"/>
      <c r="AC206" s="330">
        <f>AB206/VPI!R206</f>
        <v>0</v>
      </c>
      <c r="AD206" s="332">
        <f t="shared" si="14"/>
        <v>0</v>
      </c>
      <c r="AE206" s="330">
        <f>AD206/VPI!R206</f>
        <v>0</v>
      </c>
      <c r="AF206" s="503"/>
      <c r="AG206" s="503"/>
      <c r="AH206" s="503"/>
      <c r="AI206" s="568"/>
      <c r="AJ206" s="498"/>
      <c r="AK206" s="330">
        <f>AJ206/VPI!R206</f>
        <v>0</v>
      </c>
      <c r="AL206" s="332">
        <f t="shared" si="15"/>
        <v>0</v>
      </c>
      <c r="AM206" s="330">
        <f>AL206/VPI!R206</f>
        <v>0</v>
      </c>
      <c r="AN206" s="498"/>
      <c r="AO206" s="568"/>
      <c r="AP206" s="511">
        <v>11.534799170292839</v>
      </c>
      <c r="AR206" s="564">
        <v>0</v>
      </c>
    </row>
    <row r="207" spans="1:44" x14ac:dyDescent="0.25">
      <c r="A207" s="559">
        <v>5744</v>
      </c>
      <c r="B207" s="560" t="s">
        <v>227</v>
      </c>
      <c r="C207" s="488">
        <v>1466274.18</v>
      </c>
      <c r="D207" s="488">
        <v>218587.45</v>
      </c>
      <c r="E207" s="488"/>
      <c r="F207" s="489"/>
      <c r="G207" s="488">
        <v>1827575.7</v>
      </c>
      <c r="H207" s="488">
        <v>4709.3999999999996</v>
      </c>
      <c r="I207" s="488"/>
      <c r="J207" s="488">
        <v>102686.51</v>
      </c>
      <c r="K207" s="488"/>
      <c r="L207" s="488">
        <v>197901.05</v>
      </c>
      <c r="M207" s="367">
        <f t="shared" si="12"/>
        <v>3817734.2899999996</v>
      </c>
      <c r="N207" s="492">
        <v>1597765.35</v>
      </c>
      <c r="O207" s="492">
        <v>34983.300000000003</v>
      </c>
      <c r="P207" s="492">
        <v>64130.400000000001</v>
      </c>
      <c r="Q207" s="492">
        <v>1757.59</v>
      </c>
      <c r="R207" s="492">
        <v>33407.949999999997</v>
      </c>
      <c r="S207" s="488">
        <v>172754.87</v>
      </c>
      <c r="T207" s="367">
        <f t="shared" si="13"/>
        <v>5722533.75</v>
      </c>
      <c r="U207" s="490">
        <v>-26235.54</v>
      </c>
      <c r="V207" s="492"/>
      <c r="W207" s="492">
        <v>-1090.3</v>
      </c>
      <c r="X207" s="496">
        <v>65</v>
      </c>
      <c r="Y207" s="497">
        <v>1</v>
      </c>
      <c r="Z207" s="498">
        <v>1193</v>
      </c>
      <c r="AA207" s="561"/>
      <c r="AB207" s="503"/>
      <c r="AC207" s="330">
        <f>AB207/VPI!R207</f>
        <v>0</v>
      </c>
      <c r="AD207" s="332">
        <f t="shared" si="14"/>
        <v>0</v>
      </c>
      <c r="AE207" s="330">
        <f>AD207/VPI!R207</f>
        <v>0</v>
      </c>
      <c r="AF207" s="503"/>
      <c r="AG207" s="503"/>
      <c r="AH207" s="503"/>
      <c r="AI207" s="568"/>
      <c r="AJ207" s="498"/>
      <c r="AK207" s="330">
        <f>AJ207/VPI!R207</f>
        <v>0</v>
      </c>
      <c r="AL207" s="332">
        <f t="shared" si="15"/>
        <v>0</v>
      </c>
      <c r="AM207" s="330">
        <f>AL207/VPI!R207</f>
        <v>0</v>
      </c>
      <c r="AN207" s="498"/>
      <c r="AO207" s="568"/>
      <c r="AP207" s="511">
        <v>26.835432573464221</v>
      </c>
      <c r="AR207" s="564">
        <v>0</v>
      </c>
    </row>
    <row r="208" spans="1:44" x14ac:dyDescent="0.25">
      <c r="A208" s="559">
        <v>5745</v>
      </c>
      <c r="B208" s="560" t="s">
        <v>228</v>
      </c>
      <c r="C208" s="488">
        <v>1739526.66</v>
      </c>
      <c r="D208" s="488">
        <v>253155.61</v>
      </c>
      <c r="E208" s="488"/>
      <c r="F208" s="489"/>
      <c r="G208" s="488">
        <v>41407.300000000003</v>
      </c>
      <c r="H208" s="488">
        <v>1146.05</v>
      </c>
      <c r="I208" s="488"/>
      <c r="J208" s="488">
        <v>48881.17</v>
      </c>
      <c r="K208" s="488"/>
      <c r="L208" s="488">
        <v>163091.85</v>
      </c>
      <c r="M208" s="367">
        <f t="shared" si="12"/>
        <v>2247208.64</v>
      </c>
      <c r="N208" s="492">
        <v>231540.55</v>
      </c>
      <c r="O208" s="492">
        <v>1320</v>
      </c>
      <c r="P208" s="492">
        <v>52399.85</v>
      </c>
      <c r="Q208" s="492">
        <v>2708.92</v>
      </c>
      <c r="R208" s="492">
        <v>-25376</v>
      </c>
      <c r="S208" s="488">
        <v>4012.09</v>
      </c>
      <c r="T208" s="367">
        <f t="shared" si="13"/>
        <v>2513814.0499999998</v>
      </c>
      <c r="U208" s="490">
        <v>-24073.72</v>
      </c>
      <c r="V208" s="492"/>
      <c r="W208" s="492">
        <v>-35.450000000000003</v>
      </c>
      <c r="X208" s="496">
        <v>76.5</v>
      </c>
      <c r="Y208" s="497">
        <v>1</v>
      </c>
      <c r="Z208" s="498">
        <v>1146</v>
      </c>
      <c r="AA208" s="561"/>
      <c r="AB208" s="503"/>
      <c r="AC208" s="330">
        <f>AB208/VPI!R208</f>
        <v>0</v>
      </c>
      <c r="AD208" s="332">
        <f t="shared" si="14"/>
        <v>0</v>
      </c>
      <c r="AE208" s="330">
        <f>AD208/VPI!R208</f>
        <v>0</v>
      </c>
      <c r="AF208" s="503"/>
      <c r="AG208" s="503"/>
      <c r="AH208" s="503"/>
      <c r="AI208" s="568"/>
      <c r="AJ208" s="498"/>
      <c r="AK208" s="330">
        <f>AJ208/VPI!R208</f>
        <v>0</v>
      </c>
      <c r="AL208" s="332">
        <f t="shared" si="15"/>
        <v>0</v>
      </c>
      <c r="AM208" s="330">
        <f>AL208/VPI!R208</f>
        <v>0</v>
      </c>
      <c r="AN208" s="498"/>
      <c r="AO208" s="568"/>
      <c r="AP208" s="511">
        <v>1.4647981322469554</v>
      </c>
      <c r="AR208" s="564">
        <v>0</v>
      </c>
    </row>
    <row r="209" spans="1:44" x14ac:dyDescent="0.25">
      <c r="A209" s="559">
        <v>5746</v>
      </c>
      <c r="B209" s="560" t="s">
        <v>229</v>
      </c>
      <c r="C209" s="488">
        <v>1942266.13</v>
      </c>
      <c r="D209" s="488">
        <v>181098.34</v>
      </c>
      <c r="E209" s="488"/>
      <c r="F209" s="489"/>
      <c r="G209" s="488">
        <v>78597.3</v>
      </c>
      <c r="H209" s="488">
        <v>2919.7</v>
      </c>
      <c r="I209" s="488"/>
      <c r="J209" s="488">
        <v>27857.08</v>
      </c>
      <c r="K209" s="488">
        <v>20011.8</v>
      </c>
      <c r="L209" s="488">
        <v>244982.8</v>
      </c>
      <c r="M209" s="367">
        <f t="shared" si="12"/>
        <v>2497733.1499999994</v>
      </c>
      <c r="N209" s="492">
        <v>9923.2999999999993</v>
      </c>
      <c r="O209" s="492">
        <v>32736.5</v>
      </c>
      <c r="P209" s="492">
        <v>81320.55</v>
      </c>
      <c r="Q209" s="492">
        <v>911.75</v>
      </c>
      <c r="R209" s="492">
        <v>94194.2</v>
      </c>
      <c r="S209" s="488">
        <v>7685.74</v>
      </c>
      <c r="T209" s="367">
        <f t="shared" si="13"/>
        <v>2724505.1899999995</v>
      </c>
      <c r="U209" s="490">
        <v>-27980.68</v>
      </c>
      <c r="V209" s="492"/>
      <c r="W209" s="492">
        <v>-181.85</v>
      </c>
      <c r="X209" s="496">
        <v>72</v>
      </c>
      <c r="Y209" s="497">
        <v>1.2</v>
      </c>
      <c r="Z209" s="498">
        <v>1037</v>
      </c>
      <c r="AA209" s="561"/>
      <c r="AB209" s="503"/>
      <c r="AC209" s="330">
        <f>AB209/VPI!R209</f>
        <v>0</v>
      </c>
      <c r="AD209" s="332">
        <f t="shared" si="14"/>
        <v>0</v>
      </c>
      <c r="AE209" s="330">
        <f>AD209/VPI!R209</f>
        <v>0</v>
      </c>
      <c r="AF209" s="503"/>
      <c r="AG209" s="503"/>
      <c r="AH209" s="503"/>
      <c r="AI209" s="568"/>
      <c r="AJ209" s="498"/>
      <c r="AK209" s="330">
        <f>AJ209/VPI!R209</f>
        <v>0</v>
      </c>
      <c r="AL209" s="332">
        <f t="shared" si="15"/>
        <v>0</v>
      </c>
      <c r="AM209" s="330">
        <f>AL209/VPI!R209</f>
        <v>0</v>
      </c>
      <c r="AN209" s="498"/>
      <c r="AO209" s="568"/>
      <c r="AP209" s="511">
        <v>12.679619991335942</v>
      </c>
      <c r="AR209" s="564">
        <v>0</v>
      </c>
    </row>
    <row r="210" spans="1:44" x14ac:dyDescent="0.25">
      <c r="A210" s="559">
        <v>5747</v>
      </c>
      <c r="B210" s="560" t="s">
        <v>230</v>
      </c>
      <c r="C210" s="488">
        <v>335732.43</v>
      </c>
      <c r="D210" s="488">
        <v>54734.080000000002</v>
      </c>
      <c r="E210" s="488"/>
      <c r="F210" s="489"/>
      <c r="G210" s="488">
        <v>57636.7</v>
      </c>
      <c r="H210" s="488">
        <v>679.5</v>
      </c>
      <c r="I210" s="488"/>
      <c r="J210" s="488">
        <v>716.36</v>
      </c>
      <c r="K210" s="488"/>
      <c r="L210" s="488">
        <v>35727.300000000003</v>
      </c>
      <c r="M210" s="367">
        <f t="shared" si="12"/>
        <v>485226.37</v>
      </c>
      <c r="N210" s="492">
        <v>0</v>
      </c>
      <c r="O210" s="492"/>
      <c r="P210" s="492">
        <v>34982.65</v>
      </c>
      <c r="Q210" s="492"/>
      <c r="R210" s="492">
        <v>6941.65</v>
      </c>
      <c r="S210" s="488">
        <v>5498.28</v>
      </c>
      <c r="T210" s="367">
        <f t="shared" si="13"/>
        <v>532648.95000000007</v>
      </c>
      <c r="U210" s="490">
        <v>-3176.2</v>
      </c>
      <c r="V210" s="492"/>
      <c r="W210" s="492">
        <v>-25.85</v>
      </c>
      <c r="X210" s="496">
        <v>69</v>
      </c>
      <c r="Y210" s="497">
        <v>1</v>
      </c>
      <c r="Z210" s="498">
        <v>194</v>
      </c>
      <c r="AA210" s="561"/>
      <c r="AB210" s="503"/>
      <c r="AC210" s="330">
        <f>AB210/VPI!R210</f>
        <v>0</v>
      </c>
      <c r="AD210" s="332">
        <f t="shared" si="14"/>
        <v>0</v>
      </c>
      <c r="AE210" s="330">
        <f>AD210/VPI!R210</f>
        <v>0</v>
      </c>
      <c r="AF210" s="503"/>
      <c r="AG210" s="503"/>
      <c r="AH210" s="503"/>
      <c r="AI210" s="568"/>
      <c r="AJ210" s="498"/>
      <c r="AK210" s="330">
        <f>AJ210/VPI!R210</f>
        <v>0</v>
      </c>
      <c r="AL210" s="332">
        <f t="shared" si="15"/>
        <v>0</v>
      </c>
      <c r="AM210" s="330">
        <f>AL210/VPI!R210</f>
        <v>0</v>
      </c>
      <c r="AN210" s="498"/>
      <c r="AO210" s="568"/>
      <c r="AP210" s="511">
        <v>12.685451428928053</v>
      </c>
      <c r="AR210" s="564">
        <v>0</v>
      </c>
    </row>
    <row r="211" spans="1:44" x14ac:dyDescent="0.25">
      <c r="A211" s="559">
        <v>5748</v>
      </c>
      <c r="B211" s="560" t="s">
        <v>231</v>
      </c>
      <c r="C211" s="488">
        <v>403447.03999999998</v>
      </c>
      <c r="D211" s="488">
        <v>41423.5</v>
      </c>
      <c r="E211" s="488"/>
      <c r="F211" s="489">
        <v>2100</v>
      </c>
      <c r="G211" s="488">
        <v>-4897.95</v>
      </c>
      <c r="H211" s="488">
        <v>703.95</v>
      </c>
      <c r="I211" s="488"/>
      <c r="J211" s="488">
        <v>824.19</v>
      </c>
      <c r="K211" s="488"/>
      <c r="L211" s="488">
        <v>24029.55</v>
      </c>
      <c r="M211" s="367">
        <f t="shared" si="12"/>
        <v>467630.27999999997</v>
      </c>
      <c r="N211" s="492">
        <v>10879.65</v>
      </c>
      <c r="O211" s="492"/>
      <c r="P211" s="492">
        <v>20658</v>
      </c>
      <c r="Q211" s="492"/>
      <c r="R211" s="492">
        <v>25.05</v>
      </c>
      <c r="S211" s="488">
        <v>-395.43</v>
      </c>
      <c r="T211" s="367">
        <f t="shared" si="13"/>
        <v>498797.55</v>
      </c>
      <c r="U211" s="490">
        <v>722.15</v>
      </c>
      <c r="V211" s="492"/>
      <c r="W211" s="492">
        <v>0</v>
      </c>
      <c r="X211" s="496">
        <v>70.5</v>
      </c>
      <c r="Y211" s="497">
        <v>0.6</v>
      </c>
      <c r="Z211" s="498">
        <v>259</v>
      </c>
      <c r="AA211" s="561"/>
      <c r="AB211" s="503"/>
      <c r="AC211" s="330">
        <f>AB211/VPI!R211</f>
        <v>0</v>
      </c>
      <c r="AD211" s="332">
        <f t="shared" si="14"/>
        <v>0</v>
      </c>
      <c r="AE211" s="330">
        <f>AD211/VPI!R211</f>
        <v>0</v>
      </c>
      <c r="AF211" s="503"/>
      <c r="AG211" s="503"/>
      <c r="AH211" s="503"/>
      <c r="AI211" s="568"/>
      <c r="AJ211" s="498"/>
      <c r="AK211" s="330">
        <f>AJ211/VPI!R211</f>
        <v>0</v>
      </c>
      <c r="AL211" s="332">
        <f t="shared" si="15"/>
        <v>0</v>
      </c>
      <c r="AM211" s="330">
        <f>AL211/VPI!R211</f>
        <v>0</v>
      </c>
      <c r="AN211" s="498"/>
      <c r="AO211" s="568"/>
      <c r="AP211" s="511">
        <v>8.0147235584348948</v>
      </c>
      <c r="AR211" s="564">
        <v>0</v>
      </c>
    </row>
    <row r="212" spans="1:44" x14ac:dyDescent="0.25">
      <c r="A212" s="559">
        <v>5749</v>
      </c>
      <c r="B212" s="560" t="s">
        <v>232</v>
      </c>
      <c r="C212" s="488">
        <v>8191280.6900000004</v>
      </c>
      <c r="D212" s="488">
        <v>894190.65</v>
      </c>
      <c r="E212" s="488"/>
      <c r="F212" s="489"/>
      <c r="G212" s="488">
        <v>370490.65</v>
      </c>
      <c r="H212" s="488">
        <v>64227.15</v>
      </c>
      <c r="I212" s="488"/>
      <c r="J212" s="488">
        <v>189483.49</v>
      </c>
      <c r="K212" s="488">
        <v>85667.9</v>
      </c>
      <c r="L212" s="488">
        <v>912314.25</v>
      </c>
      <c r="M212" s="367">
        <f t="shared" si="12"/>
        <v>10707654.780000001</v>
      </c>
      <c r="N212" s="492">
        <v>730002.4</v>
      </c>
      <c r="O212" s="492">
        <v>353835.3</v>
      </c>
      <c r="P212" s="492">
        <v>458134.8</v>
      </c>
      <c r="Q212" s="492">
        <v>44334.26</v>
      </c>
      <c r="R212" s="492">
        <v>408677.5</v>
      </c>
      <c r="S212" s="488">
        <v>40986.86</v>
      </c>
      <c r="T212" s="367">
        <f t="shared" si="13"/>
        <v>12743625.900000002</v>
      </c>
      <c r="U212" s="490">
        <v>-246311.84</v>
      </c>
      <c r="V212" s="492"/>
      <c r="W212" s="492">
        <v>-1284.8800000000001</v>
      </c>
      <c r="X212" s="496">
        <v>70.5</v>
      </c>
      <c r="Y212" s="497">
        <v>1</v>
      </c>
      <c r="Z212" s="498">
        <v>5423</v>
      </c>
      <c r="AA212" s="561"/>
      <c r="AB212" s="503"/>
      <c r="AC212" s="330">
        <f>AB212/VPI!R212</f>
        <v>0</v>
      </c>
      <c r="AD212" s="332">
        <f t="shared" si="14"/>
        <v>0</v>
      </c>
      <c r="AE212" s="330">
        <f>AD212/VPI!R212</f>
        <v>0</v>
      </c>
      <c r="AF212" s="503"/>
      <c r="AG212" s="503"/>
      <c r="AH212" s="503"/>
      <c r="AI212" s="568"/>
      <c r="AJ212" s="498"/>
      <c r="AK212" s="330">
        <f>AJ212/VPI!R212</f>
        <v>0</v>
      </c>
      <c r="AL212" s="332">
        <f t="shared" si="15"/>
        <v>0</v>
      </c>
      <c r="AM212" s="330">
        <f>AL212/VPI!R212</f>
        <v>0</v>
      </c>
      <c r="AN212" s="498"/>
      <c r="AO212" s="568"/>
      <c r="AP212" s="511">
        <v>-7.9614778857798885E-2</v>
      </c>
      <c r="AR212" s="564">
        <v>0</v>
      </c>
    </row>
    <row r="213" spans="1:44" x14ac:dyDescent="0.25">
      <c r="A213" s="559">
        <v>5750</v>
      </c>
      <c r="B213" s="560" t="s">
        <v>233</v>
      </c>
      <c r="C213" s="488">
        <v>343742.25</v>
      </c>
      <c r="D213" s="488">
        <v>57057.31</v>
      </c>
      <c r="E213" s="488"/>
      <c r="F213" s="489">
        <v>1160</v>
      </c>
      <c r="G213" s="488">
        <v>652.65</v>
      </c>
      <c r="H213" s="488">
        <v>33.6</v>
      </c>
      <c r="I213" s="488"/>
      <c r="J213" s="488">
        <v>-827.72</v>
      </c>
      <c r="K213" s="488">
        <v>4.4000000000000004</v>
      </c>
      <c r="L213" s="488">
        <v>14840.75</v>
      </c>
      <c r="M213" s="367">
        <f t="shared" si="12"/>
        <v>416663.24000000005</v>
      </c>
      <c r="N213" s="492">
        <v>6528.25</v>
      </c>
      <c r="O213" s="492"/>
      <c r="P213" s="492">
        <v>1433.25</v>
      </c>
      <c r="Q213" s="492">
        <v>5065.57</v>
      </c>
      <c r="R213" s="492"/>
      <c r="S213" s="488">
        <v>64.7</v>
      </c>
      <c r="T213" s="367">
        <f t="shared" si="13"/>
        <v>429755.01000000007</v>
      </c>
      <c r="U213" s="490">
        <v>-5180.74</v>
      </c>
      <c r="V213" s="492"/>
      <c r="W213" s="492">
        <v>-864.25</v>
      </c>
      <c r="X213" s="496">
        <v>80</v>
      </c>
      <c r="Y213" s="497">
        <v>0.6</v>
      </c>
      <c r="Z213" s="498">
        <v>192</v>
      </c>
      <c r="AA213" s="561"/>
      <c r="AB213" s="503"/>
      <c r="AC213" s="330">
        <f>AB213/VPI!R213</f>
        <v>0</v>
      </c>
      <c r="AD213" s="332">
        <f t="shared" si="14"/>
        <v>0</v>
      </c>
      <c r="AE213" s="330">
        <f>AD213/VPI!R213</f>
        <v>0</v>
      </c>
      <c r="AF213" s="503"/>
      <c r="AG213" s="503"/>
      <c r="AH213" s="503"/>
      <c r="AI213" s="568"/>
      <c r="AJ213" s="498"/>
      <c r="AK213" s="330">
        <f>AJ213/VPI!R213</f>
        <v>0</v>
      </c>
      <c r="AL213" s="332">
        <f t="shared" si="15"/>
        <v>0</v>
      </c>
      <c r="AM213" s="330">
        <f>AL213/VPI!R213</f>
        <v>0</v>
      </c>
      <c r="AN213" s="498"/>
      <c r="AO213" s="568"/>
      <c r="AP213" s="511">
        <v>9.7273208736037073</v>
      </c>
      <c r="AR213" s="564">
        <v>0</v>
      </c>
    </row>
    <row r="214" spans="1:44" x14ac:dyDescent="0.25">
      <c r="A214" s="559">
        <v>5752</v>
      </c>
      <c r="B214" s="560" t="s">
        <v>280</v>
      </c>
      <c r="C214" s="488">
        <v>578726.06999999995</v>
      </c>
      <c r="D214" s="488">
        <v>82042.59</v>
      </c>
      <c r="E214" s="488"/>
      <c r="F214" s="489"/>
      <c r="G214" s="488">
        <v>4716.75</v>
      </c>
      <c r="H214" s="488">
        <v>964</v>
      </c>
      <c r="I214" s="488"/>
      <c r="J214" s="488">
        <v>6599.81</v>
      </c>
      <c r="K214" s="488">
        <v>833.4</v>
      </c>
      <c r="L214" s="488">
        <v>44421.599999999999</v>
      </c>
      <c r="M214" s="367">
        <f t="shared" si="12"/>
        <v>718304.22</v>
      </c>
      <c r="N214" s="492">
        <v>27429.35</v>
      </c>
      <c r="O214" s="492">
        <v>134797.70000000001</v>
      </c>
      <c r="P214" s="492">
        <v>57021.599999999999</v>
      </c>
      <c r="Q214" s="492">
        <v>15.83</v>
      </c>
      <c r="R214" s="492">
        <v>50389.4</v>
      </c>
      <c r="S214" s="488">
        <v>535.6</v>
      </c>
      <c r="T214" s="367">
        <f t="shared" si="13"/>
        <v>988493.7</v>
      </c>
      <c r="U214" s="490">
        <v>-5212.62</v>
      </c>
      <c r="V214" s="492"/>
      <c r="W214" s="492">
        <v>-3162.3</v>
      </c>
      <c r="X214" s="496">
        <v>74</v>
      </c>
      <c r="Y214" s="497">
        <v>0.7</v>
      </c>
      <c r="Z214" s="498">
        <v>397</v>
      </c>
      <c r="AA214" s="561"/>
      <c r="AB214" s="503"/>
      <c r="AC214" s="330">
        <f>AB214/VPI!R214</f>
        <v>0</v>
      </c>
      <c r="AD214" s="332">
        <f t="shared" si="14"/>
        <v>0</v>
      </c>
      <c r="AE214" s="330">
        <f>AD214/VPI!R214</f>
        <v>0</v>
      </c>
      <c r="AF214" s="503"/>
      <c r="AG214" s="503"/>
      <c r="AH214" s="503"/>
      <c r="AI214" s="568"/>
      <c r="AJ214" s="498"/>
      <c r="AK214" s="330">
        <f>AJ214/VPI!R214</f>
        <v>0</v>
      </c>
      <c r="AL214" s="332">
        <f t="shared" si="15"/>
        <v>0</v>
      </c>
      <c r="AM214" s="330">
        <f>AL214/VPI!R214</f>
        <v>0</v>
      </c>
      <c r="AN214" s="498"/>
      <c r="AO214" s="568"/>
      <c r="AP214" s="511">
        <v>7.6528092081505577</v>
      </c>
      <c r="AR214" s="564">
        <v>0</v>
      </c>
    </row>
    <row r="215" spans="1:44" x14ac:dyDescent="0.25">
      <c r="A215" s="559">
        <v>5754</v>
      </c>
      <c r="B215" s="560" t="s">
        <v>281</v>
      </c>
      <c r="C215" s="488">
        <v>572896.01</v>
      </c>
      <c r="D215" s="488">
        <v>60968.21</v>
      </c>
      <c r="E215" s="488"/>
      <c r="F215" s="489"/>
      <c r="G215" s="488">
        <v>3089.85</v>
      </c>
      <c r="H215" s="488">
        <v>629.45000000000005</v>
      </c>
      <c r="I215" s="488"/>
      <c r="J215" s="488">
        <v>3921.17</v>
      </c>
      <c r="K215" s="488">
        <v>2096.5</v>
      </c>
      <c r="L215" s="488">
        <v>48869.1</v>
      </c>
      <c r="M215" s="367">
        <f t="shared" si="12"/>
        <v>692470.28999999992</v>
      </c>
      <c r="N215" s="492">
        <v>0</v>
      </c>
      <c r="O215" s="492">
        <v>10271.6</v>
      </c>
      <c r="P215" s="492">
        <v>29116.95</v>
      </c>
      <c r="Q215" s="492">
        <v>6796.24</v>
      </c>
      <c r="R215" s="492">
        <v>14595.3</v>
      </c>
      <c r="S215" s="488">
        <v>350.67</v>
      </c>
      <c r="T215" s="367">
        <f t="shared" si="13"/>
        <v>753601.04999999993</v>
      </c>
      <c r="U215" s="490">
        <v>-3451.7</v>
      </c>
      <c r="V215" s="492"/>
      <c r="W215" s="492">
        <v>0</v>
      </c>
      <c r="X215" s="496">
        <v>79</v>
      </c>
      <c r="Y215" s="497">
        <v>1</v>
      </c>
      <c r="Z215" s="498">
        <v>351</v>
      </c>
      <c r="AA215" s="561"/>
      <c r="AB215" s="503"/>
      <c r="AC215" s="330">
        <f>AB215/VPI!R215</f>
        <v>0</v>
      </c>
      <c r="AD215" s="332">
        <f t="shared" si="14"/>
        <v>0</v>
      </c>
      <c r="AE215" s="330">
        <f>AD215/VPI!R215</f>
        <v>0</v>
      </c>
      <c r="AF215" s="503"/>
      <c r="AG215" s="503"/>
      <c r="AH215" s="503"/>
      <c r="AI215" s="568"/>
      <c r="AJ215" s="498"/>
      <c r="AK215" s="330">
        <f>AJ215/VPI!R215</f>
        <v>0</v>
      </c>
      <c r="AL215" s="332">
        <f t="shared" si="15"/>
        <v>0</v>
      </c>
      <c r="AM215" s="330">
        <f>AL215/VPI!R215</f>
        <v>0</v>
      </c>
      <c r="AN215" s="498"/>
      <c r="AO215" s="568"/>
      <c r="AP215" s="511">
        <v>2.0933421394315648</v>
      </c>
      <c r="AR215" s="564">
        <v>0</v>
      </c>
    </row>
    <row r="216" spans="1:44" x14ac:dyDescent="0.25">
      <c r="A216" s="559">
        <v>5755</v>
      </c>
      <c r="B216" s="560" t="s">
        <v>282</v>
      </c>
      <c r="C216" s="488">
        <v>691255.51</v>
      </c>
      <c r="D216" s="488">
        <v>85613.64</v>
      </c>
      <c r="E216" s="488"/>
      <c r="F216" s="489">
        <v>2250</v>
      </c>
      <c r="G216" s="488">
        <v>23220.55</v>
      </c>
      <c r="H216" s="488">
        <v>1082.55</v>
      </c>
      <c r="I216" s="488"/>
      <c r="J216" s="488">
        <v>9918.68</v>
      </c>
      <c r="K216" s="488">
        <v>-2939.4</v>
      </c>
      <c r="L216" s="488">
        <v>50844.3</v>
      </c>
      <c r="M216" s="367">
        <f t="shared" si="12"/>
        <v>861245.83000000019</v>
      </c>
      <c r="N216" s="492">
        <v>27744.65</v>
      </c>
      <c r="O216" s="492"/>
      <c r="P216" s="492">
        <v>12270.9</v>
      </c>
      <c r="Q216" s="492">
        <v>4346.1000000000004</v>
      </c>
      <c r="R216" s="492">
        <v>3626.3</v>
      </c>
      <c r="S216" s="488">
        <v>2291.39</v>
      </c>
      <c r="T216" s="367">
        <f t="shared" si="13"/>
        <v>911525.17000000027</v>
      </c>
      <c r="U216" s="490">
        <v>-17022.47</v>
      </c>
      <c r="V216" s="492"/>
      <c r="W216" s="492">
        <v>0</v>
      </c>
      <c r="X216" s="496">
        <v>78.5</v>
      </c>
      <c r="Y216" s="497">
        <v>0.7</v>
      </c>
      <c r="Z216" s="498">
        <v>462</v>
      </c>
      <c r="AA216" s="561"/>
      <c r="AB216" s="503"/>
      <c r="AC216" s="330">
        <f>AB216/VPI!R216</f>
        <v>0</v>
      </c>
      <c r="AD216" s="332">
        <f t="shared" si="14"/>
        <v>0</v>
      </c>
      <c r="AE216" s="330">
        <f>AD216/VPI!R216</f>
        <v>0</v>
      </c>
      <c r="AF216" s="503"/>
      <c r="AG216" s="503"/>
      <c r="AH216" s="503"/>
      <c r="AI216" s="568"/>
      <c r="AJ216" s="498"/>
      <c r="AK216" s="330">
        <f>AJ216/VPI!R216</f>
        <v>0</v>
      </c>
      <c r="AL216" s="332">
        <f t="shared" si="15"/>
        <v>0</v>
      </c>
      <c r="AM216" s="330">
        <f>AL216/VPI!R216</f>
        <v>0</v>
      </c>
      <c r="AN216" s="498"/>
      <c r="AO216" s="568"/>
      <c r="AP216" s="511">
        <v>1.2617722168717092</v>
      </c>
      <c r="AR216" s="564">
        <v>0</v>
      </c>
    </row>
    <row r="217" spans="1:44" x14ac:dyDescent="0.25">
      <c r="A217" s="559">
        <v>5756</v>
      </c>
      <c r="B217" s="560" t="s">
        <v>283</v>
      </c>
      <c r="C217" s="488">
        <v>1138572.72</v>
      </c>
      <c r="D217" s="488">
        <v>265021.11</v>
      </c>
      <c r="E217" s="488"/>
      <c r="F217" s="489"/>
      <c r="G217" s="488">
        <v>15229.1</v>
      </c>
      <c r="H217" s="488">
        <v>404.1</v>
      </c>
      <c r="I217" s="488"/>
      <c r="J217" s="488">
        <v>3558.24</v>
      </c>
      <c r="K217" s="488">
        <v>212.4</v>
      </c>
      <c r="L217" s="488">
        <v>90600.2</v>
      </c>
      <c r="M217" s="367">
        <f t="shared" si="12"/>
        <v>1513597.87</v>
      </c>
      <c r="N217" s="492">
        <v>5780.6</v>
      </c>
      <c r="O217" s="492">
        <v>503.9</v>
      </c>
      <c r="P217" s="492">
        <v>18678</v>
      </c>
      <c r="Q217" s="492">
        <v>7428.79</v>
      </c>
      <c r="R217" s="492">
        <v>12585.1</v>
      </c>
      <c r="S217" s="488">
        <v>1473.96</v>
      </c>
      <c r="T217" s="367">
        <f t="shared" si="13"/>
        <v>1560048.2200000002</v>
      </c>
      <c r="U217" s="490">
        <v>-12845.4</v>
      </c>
      <c r="V217" s="492"/>
      <c r="W217" s="492">
        <v>-1860.45</v>
      </c>
      <c r="X217" s="496">
        <v>72</v>
      </c>
      <c r="Y217" s="497">
        <v>1</v>
      </c>
      <c r="Z217" s="498">
        <v>494</v>
      </c>
      <c r="AA217" s="561"/>
      <c r="AB217" s="503"/>
      <c r="AC217" s="330">
        <f>AB217/VPI!R217</f>
        <v>0</v>
      </c>
      <c r="AD217" s="332">
        <f t="shared" si="14"/>
        <v>0</v>
      </c>
      <c r="AE217" s="330">
        <f>AD217/VPI!R217</f>
        <v>0</v>
      </c>
      <c r="AF217" s="503"/>
      <c r="AG217" s="503"/>
      <c r="AH217" s="503"/>
      <c r="AI217" s="568"/>
      <c r="AJ217" s="498"/>
      <c r="AK217" s="330">
        <f>AJ217/VPI!R217</f>
        <v>0</v>
      </c>
      <c r="AL217" s="332">
        <f t="shared" si="15"/>
        <v>0</v>
      </c>
      <c r="AM217" s="330">
        <f>AL217/VPI!R217</f>
        <v>0</v>
      </c>
      <c r="AN217" s="498"/>
      <c r="AO217" s="568"/>
      <c r="AP217" s="511">
        <v>19.380531248109854</v>
      </c>
      <c r="AR217" s="564">
        <v>0</v>
      </c>
    </row>
    <row r="218" spans="1:44" x14ac:dyDescent="0.25">
      <c r="A218" s="559">
        <v>5757</v>
      </c>
      <c r="B218" s="560" t="s">
        <v>284</v>
      </c>
      <c r="C218" s="488">
        <v>11750435.75</v>
      </c>
      <c r="D218" s="488">
        <v>1048311.87</v>
      </c>
      <c r="E218" s="488"/>
      <c r="F218" s="489"/>
      <c r="G218" s="488">
        <v>1999235.4</v>
      </c>
      <c r="H218" s="488">
        <v>-3144.1</v>
      </c>
      <c r="I218" s="488"/>
      <c r="J218" s="488">
        <v>549796.24</v>
      </c>
      <c r="K218" s="488">
        <v>157316.35</v>
      </c>
      <c r="L218" s="488">
        <v>1499594.4</v>
      </c>
      <c r="M218" s="367">
        <f t="shared" si="12"/>
        <v>17001545.91</v>
      </c>
      <c r="N218" s="492">
        <v>3876604.75</v>
      </c>
      <c r="O218" s="492">
        <v>308155.09999999998</v>
      </c>
      <c r="P218" s="492">
        <v>1426166.25</v>
      </c>
      <c r="Q218" s="492">
        <v>109036.63</v>
      </c>
      <c r="R218" s="492">
        <v>416836.8</v>
      </c>
      <c r="S218" s="488">
        <v>188199.15</v>
      </c>
      <c r="T218" s="367">
        <f t="shared" si="13"/>
        <v>23326544.59</v>
      </c>
      <c r="U218" s="490">
        <v>-217516.5</v>
      </c>
      <c r="V218" s="492"/>
      <c r="W218" s="492">
        <v>-2468.5300000000002</v>
      </c>
      <c r="X218" s="496">
        <v>75.5</v>
      </c>
      <c r="Y218" s="497">
        <v>1</v>
      </c>
      <c r="Z218" s="498">
        <v>7827</v>
      </c>
      <c r="AA218" s="561"/>
      <c r="AB218" s="503"/>
      <c r="AC218" s="330">
        <f>AB218/VPI!R218</f>
        <v>0</v>
      </c>
      <c r="AD218" s="332">
        <f t="shared" si="14"/>
        <v>0</v>
      </c>
      <c r="AE218" s="330">
        <f>AD218/VPI!R218</f>
        <v>0</v>
      </c>
      <c r="AF218" s="503"/>
      <c r="AG218" s="503"/>
      <c r="AH218" s="503"/>
      <c r="AI218" s="568"/>
      <c r="AJ218" s="498"/>
      <c r="AK218" s="330">
        <f>AJ218/VPI!R218</f>
        <v>0</v>
      </c>
      <c r="AL218" s="332">
        <f t="shared" si="15"/>
        <v>0</v>
      </c>
      <c r="AM218" s="330">
        <f>AL218/VPI!R218</f>
        <v>0</v>
      </c>
      <c r="AN218" s="498"/>
      <c r="AO218" s="568"/>
      <c r="AP218" s="511">
        <v>-1.1609778772321704</v>
      </c>
      <c r="AR218" s="564">
        <v>0</v>
      </c>
    </row>
    <row r="219" spans="1:44" x14ac:dyDescent="0.25">
      <c r="A219" s="559">
        <v>5758</v>
      </c>
      <c r="B219" s="560" t="s">
        <v>192</v>
      </c>
      <c r="C219" s="488">
        <v>381516.77</v>
      </c>
      <c r="D219" s="488">
        <v>48114.91</v>
      </c>
      <c r="E219" s="488"/>
      <c r="F219" s="489"/>
      <c r="G219" s="488">
        <v>1643.6</v>
      </c>
      <c r="H219" s="488">
        <v>934.45</v>
      </c>
      <c r="I219" s="488"/>
      <c r="J219" s="488">
        <v>10269.84</v>
      </c>
      <c r="K219" s="488"/>
      <c r="L219" s="488">
        <v>31801.200000000001</v>
      </c>
      <c r="M219" s="367">
        <f t="shared" si="12"/>
        <v>474280.77000000008</v>
      </c>
      <c r="N219" s="492">
        <v>391.05</v>
      </c>
      <c r="O219" s="492"/>
      <c r="P219" s="492">
        <v>20273</v>
      </c>
      <c r="Q219" s="492">
        <v>113.94</v>
      </c>
      <c r="R219" s="492">
        <v>24647.4</v>
      </c>
      <c r="S219" s="488">
        <v>243.07</v>
      </c>
      <c r="T219" s="367">
        <f t="shared" si="13"/>
        <v>519949.2300000001</v>
      </c>
      <c r="U219" s="490">
        <v>-10358.15</v>
      </c>
      <c r="V219" s="492"/>
      <c r="W219" s="492">
        <v>-52.55</v>
      </c>
      <c r="X219" s="496">
        <v>83</v>
      </c>
      <c r="Y219" s="497">
        <v>1</v>
      </c>
      <c r="Z219" s="498">
        <v>206</v>
      </c>
      <c r="AA219" s="561"/>
      <c r="AB219" s="503"/>
      <c r="AC219" s="330">
        <f>AB219/VPI!R219</f>
        <v>0</v>
      </c>
      <c r="AD219" s="332">
        <f t="shared" si="14"/>
        <v>0</v>
      </c>
      <c r="AE219" s="330">
        <f>AD219/VPI!R219</f>
        <v>0</v>
      </c>
      <c r="AF219" s="503"/>
      <c r="AG219" s="503"/>
      <c r="AH219" s="503"/>
      <c r="AI219" s="568"/>
      <c r="AJ219" s="498"/>
      <c r="AK219" s="330">
        <f>AJ219/VPI!R219</f>
        <v>0</v>
      </c>
      <c r="AL219" s="332">
        <f t="shared" si="15"/>
        <v>0</v>
      </c>
      <c r="AM219" s="330">
        <f>AL219/VPI!R219</f>
        <v>0</v>
      </c>
      <c r="AN219" s="498"/>
      <c r="AO219" s="568"/>
      <c r="AP219" s="511">
        <v>-1.2002960339400939</v>
      </c>
      <c r="AR219" s="564">
        <v>0</v>
      </c>
    </row>
    <row r="220" spans="1:44" x14ac:dyDescent="0.25">
      <c r="A220" s="559">
        <v>5759</v>
      </c>
      <c r="B220" s="560" t="s">
        <v>193</v>
      </c>
      <c r="C220" s="488">
        <v>344460.65</v>
      </c>
      <c r="D220" s="488">
        <v>47892.07</v>
      </c>
      <c r="E220" s="488"/>
      <c r="F220" s="489"/>
      <c r="G220" s="488">
        <v>4730.55</v>
      </c>
      <c r="H220" s="488">
        <v>154.05000000000001</v>
      </c>
      <c r="I220" s="488"/>
      <c r="J220" s="488">
        <v>-1259.26</v>
      </c>
      <c r="K220" s="488">
        <v>289.45</v>
      </c>
      <c r="L220" s="488">
        <v>33438.699999999997</v>
      </c>
      <c r="M220" s="367">
        <f t="shared" si="12"/>
        <v>429706.21</v>
      </c>
      <c r="N220" s="492">
        <v>2797.1</v>
      </c>
      <c r="O220" s="492"/>
      <c r="P220" s="492"/>
      <c r="Q220" s="492"/>
      <c r="R220" s="492">
        <v>591.79999999999995</v>
      </c>
      <c r="S220" s="488">
        <v>460.54</v>
      </c>
      <c r="T220" s="367">
        <f t="shared" si="13"/>
        <v>433555.64999999997</v>
      </c>
      <c r="U220" s="490">
        <v>-4393.8500000000004</v>
      </c>
      <c r="V220" s="492"/>
      <c r="W220" s="492">
        <v>-315.8</v>
      </c>
      <c r="X220" s="496">
        <v>79.5</v>
      </c>
      <c r="Y220" s="497">
        <v>1</v>
      </c>
      <c r="Z220" s="498">
        <v>233</v>
      </c>
      <c r="AA220" s="561"/>
      <c r="AB220" s="503"/>
      <c r="AC220" s="330">
        <f>AB220/VPI!R220</f>
        <v>0</v>
      </c>
      <c r="AD220" s="332">
        <f t="shared" si="14"/>
        <v>0</v>
      </c>
      <c r="AE220" s="330">
        <f>AD220/VPI!R220</f>
        <v>0</v>
      </c>
      <c r="AF220" s="503"/>
      <c r="AG220" s="503"/>
      <c r="AH220" s="503"/>
      <c r="AI220" s="568"/>
      <c r="AJ220" s="498"/>
      <c r="AK220" s="330">
        <f>AJ220/VPI!R220</f>
        <v>0</v>
      </c>
      <c r="AL220" s="332">
        <f t="shared" si="15"/>
        <v>0</v>
      </c>
      <c r="AM220" s="330">
        <f>AL220/VPI!R220</f>
        <v>0</v>
      </c>
      <c r="AN220" s="498"/>
      <c r="AO220" s="568"/>
      <c r="AP220" s="511">
        <v>-0.32533478563218693</v>
      </c>
      <c r="AR220" s="564">
        <v>0</v>
      </c>
    </row>
    <row r="221" spans="1:44" x14ac:dyDescent="0.25">
      <c r="A221" s="559">
        <v>5760</v>
      </c>
      <c r="B221" s="560" t="s">
        <v>194</v>
      </c>
      <c r="C221" s="488">
        <v>1067869.81</v>
      </c>
      <c r="D221" s="488">
        <v>99215.14</v>
      </c>
      <c r="E221" s="488"/>
      <c r="F221" s="489"/>
      <c r="G221" s="488">
        <v>12183.65</v>
      </c>
      <c r="H221" s="488">
        <v>696.25</v>
      </c>
      <c r="I221" s="488"/>
      <c r="J221" s="488">
        <v>-1073.1300000000001</v>
      </c>
      <c r="K221" s="488"/>
      <c r="L221" s="488">
        <v>129607.5</v>
      </c>
      <c r="M221" s="367">
        <f t="shared" si="12"/>
        <v>1308499.22</v>
      </c>
      <c r="N221" s="492">
        <v>17744.55</v>
      </c>
      <c r="O221" s="492">
        <v>25487.8</v>
      </c>
      <c r="P221" s="492">
        <v>35907.300000000003</v>
      </c>
      <c r="Q221" s="492">
        <v>2521.7399999999998</v>
      </c>
      <c r="R221" s="492">
        <v>44562.85</v>
      </c>
      <c r="S221" s="488">
        <v>1214.3699999999999</v>
      </c>
      <c r="T221" s="367">
        <f t="shared" si="13"/>
        <v>1435937.8300000003</v>
      </c>
      <c r="U221" s="490">
        <v>-16141.26</v>
      </c>
      <c r="V221" s="492"/>
      <c r="W221" s="492">
        <v>-44.85</v>
      </c>
      <c r="X221" s="496">
        <v>76.5</v>
      </c>
      <c r="Y221" s="497">
        <v>1.5</v>
      </c>
      <c r="Z221" s="498">
        <v>525</v>
      </c>
      <c r="AA221" s="561"/>
      <c r="AB221" s="503"/>
      <c r="AC221" s="330">
        <f>AB221/VPI!R221</f>
        <v>0</v>
      </c>
      <c r="AD221" s="332">
        <f t="shared" si="14"/>
        <v>0</v>
      </c>
      <c r="AE221" s="330">
        <f>AD221/VPI!R221</f>
        <v>0</v>
      </c>
      <c r="AF221" s="503"/>
      <c r="AG221" s="503"/>
      <c r="AH221" s="503"/>
      <c r="AI221" s="568"/>
      <c r="AJ221" s="498"/>
      <c r="AK221" s="330">
        <f>AJ221/VPI!R221</f>
        <v>0</v>
      </c>
      <c r="AL221" s="332">
        <f t="shared" si="15"/>
        <v>0</v>
      </c>
      <c r="AM221" s="330">
        <f>AL221/VPI!R221</f>
        <v>0</v>
      </c>
      <c r="AN221" s="498"/>
      <c r="AO221" s="568"/>
      <c r="AP221" s="511">
        <v>13.825984241421205</v>
      </c>
      <c r="AR221" s="564">
        <v>0</v>
      </c>
    </row>
    <row r="222" spans="1:44" x14ac:dyDescent="0.25">
      <c r="A222" s="559">
        <v>5761</v>
      </c>
      <c r="B222" s="560" t="s">
        <v>121</v>
      </c>
      <c r="C222" s="488">
        <v>845327</v>
      </c>
      <c r="D222" s="488">
        <v>117877.97</v>
      </c>
      <c r="E222" s="488"/>
      <c r="F222" s="489"/>
      <c r="G222" s="488">
        <v>4348.3</v>
      </c>
      <c r="H222" s="488">
        <v>2259.5</v>
      </c>
      <c r="I222" s="488"/>
      <c r="J222" s="488">
        <v>21728.78</v>
      </c>
      <c r="K222" s="488">
        <v>5321.8</v>
      </c>
      <c r="L222" s="488">
        <v>99863.1</v>
      </c>
      <c r="M222" s="367">
        <f t="shared" si="12"/>
        <v>1096726.4500000002</v>
      </c>
      <c r="N222" s="492">
        <v>64127.5</v>
      </c>
      <c r="O222" s="492">
        <v>26921.200000000001</v>
      </c>
      <c r="P222" s="492">
        <v>63195.3</v>
      </c>
      <c r="Q222" s="492">
        <v>4952.38</v>
      </c>
      <c r="R222" s="492">
        <v>20845.5</v>
      </c>
      <c r="S222" s="488">
        <v>623.01</v>
      </c>
      <c r="T222" s="367">
        <f t="shared" si="13"/>
        <v>1277391.3400000001</v>
      </c>
      <c r="U222" s="490">
        <v>-1785.52</v>
      </c>
      <c r="V222" s="492"/>
      <c r="W222" s="492">
        <v>-219.8</v>
      </c>
      <c r="X222" s="496">
        <v>81</v>
      </c>
      <c r="Y222" s="497">
        <v>1.1000000000000001</v>
      </c>
      <c r="Z222" s="498">
        <v>575</v>
      </c>
      <c r="AA222" s="561"/>
      <c r="AB222" s="503"/>
      <c r="AC222" s="330">
        <f>AB222/VPI!R222</f>
        <v>0</v>
      </c>
      <c r="AD222" s="332">
        <f t="shared" si="14"/>
        <v>0</v>
      </c>
      <c r="AE222" s="330">
        <f>AD222/VPI!R222</f>
        <v>0</v>
      </c>
      <c r="AF222" s="503"/>
      <c r="AG222" s="503"/>
      <c r="AH222" s="503"/>
      <c r="AI222" s="568"/>
      <c r="AJ222" s="498"/>
      <c r="AK222" s="330">
        <f>AJ222/VPI!R222</f>
        <v>0</v>
      </c>
      <c r="AL222" s="332">
        <f t="shared" si="15"/>
        <v>0</v>
      </c>
      <c r="AM222" s="330">
        <f>AL222/VPI!R222</f>
        <v>0</v>
      </c>
      <c r="AN222" s="498"/>
      <c r="AO222" s="568"/>
      <c r="AP222" s="511">
        <v>2.6786572858518292</v>
      </c>
      <c r="AR222" s="564">
        <v>0</v>
      </c>
    </row>
    <row r="223" spans="1:44" x14ac:dyDescent="0.25">
      <c r="A223" s="559">
        <v>5762</v>
      </c>
      <c r="B223" s="560" t="s">
        <v>122</v>
      </c>
      <c r="C223" s="488">
        <v>239387.9</v>
      </c>
      <c r="D223" s="488">
        <v>12698.06</v>
      </c>
      <c r="E223" s="488"/>
      <c r="F223" s="489"/>
      <c r="G223" s="488">
        <v>3021.7</v>
      </c>
      <c r="H223" s="488">
        <v>225.6</v>
      </c>
      <c r="I223" s="488"/>
      <c r="J223" s="488">
        <v>531.54</v>
      </c>
      <c r="K223" s="488"/>
      <c r="L223" s="488">
        <v>21901.599999999999</v>
      </c>
      <c r="M223" s="367">
        <f t="shared" si="12"/>
        <v>277766.40000000002</v>
      </c>
      <c r="N223" s="492">
        <v>13781.85</v>
      </c>
      <c r="O223" s="492">
        <v>4</v>
      </c>
      <c r="P223" s="492">
        <v>21990.5</v>
      </c>
      <c r="Q223" s="492"/>
      <c r="R223" s="492">
        <v>15250.05</v>
      </c>
      <c r="S223" s="488">
        <v>306.17</v>
      </c>
      <c r="T223" s="367">
        <f t="shared" si="13"/>
        <v>329098.96999999997</v>
      </c>
      <c r="U223" s="490">
        <v>-62.61</v>
      </c>
      <c r="V223" s="492"/>
      <c r="W223" s="492">
        <v>0</v>
      </c>
      <c r="X223" s="496">
        <v>78</v>
      </c>
      <c r="Y223" s="497">
        <v>1</v>
      </c>
      <c r="Z223" s="498">
        <v>137</v>
      </c>
      <c r="AA223" s="561"/>
      <c r="AB223" s="503"/>
      <c r="AC223" s="330">
        <f>AB223/VPI!R223</f>
        <v>0</v>
      </c>
      <c r="AD223" s="332">
        <f t="shared" si="14"/>
        <v>0</v>
      </c>
      <c r="AE223" s="330">
        <f>AD223/VPI!R223</f>
        <v>0</v>
      </c>
      <c r="AF223" s="503"/>
      <c r="AG223" s="503"/>
      <c r="AH223" s="503"/>
      <c r="AI223" s="568"/>
      <c r="AJ223" s="498"/>
      <c r="AK223" s="330">
        <f>AJ223/VPI!R223</f>
        <v>0</v>
      </c>
      <c r="AL223" s="332">
        <f t="shared" si="15"/>
        <v>0</v>
      </c>
      <c r="AM223" s="330">
        <f>AL223/VPI!R223</f>
        <v>0</v>
      </c>
      <c r="AN223" s="498"/>
      <c r="AO223" s="568"/>
      <c r="AP223" s="511">
        <v>6.1617996221373934</v>
      </c>
      <c r="AR223" s="564">
        <v>0</v>
      </c>
    </row>
    <row r="224" spans="1:44" x14ac:dyDescent="0.25">
      <c r="A224" s="559">
        <v>5763</v>
      </c>
      <c r="B224" s="560" t="s">
        <v>123</v>
      </c>
      <c r="C224" s="488">
        <v>1167400.96</v>
      </c>
      <c r="D224" s="488">
        <v>187145.21</v>
      </c>
      <c r="E224" s="488"/>
      <c r="F224" s="489">
        <v>3520</v>
      </c>
      <c r="G224" s="488">
        <v>21472.799999999999</v>
      </c>
      <c r="H224" s="488">
        <v>3048.55</v>
      </c>
      <c r="I224" s="488"/>
      <c r="J224" s="488">
        <v>30678.97</v>
      </c>
      <c r="K224" s="488">
        <v>4048.65</v>
      </c>
      <c r="L224" s="488">
        <v>93013</v>
      </c>
      <c r="M224" s="367">
        <f t="shared" si="12"/>
        <v>1510328.14</v>
      </c>
      <c r="N224" s="492">
        <v>44514</v>
      </c>
      <c r="O224" s="492"/>
      <c r="P224" s="492">
        <v>44133.8</v>
      </c>
      <c r="Q224" s="492">
        <v>1724.6</v>
      </c>
      <c r="R224" s="492">
        <v>49314.5</v>
      </c>
      <c r="S224" s="488">
        <v>2311.9699999999998</v>
      </c>
      <c r="T224" s="367">
        <f t="shared" si="13"/>
        <v>1652327.01</v>
      </c>
      <c r="U224" s="490">
        <v>-3088.07</v>
      </c>
      <c r="V224" s="492"/>
      <c r="W224" s="492">
        <v>-461.95</v>
      </c>
      <c r="X224" s="496">
        <v>71</v>
      </c>
      <c r="Y224" s="497">
        <v>1</v>
      </c>
      <c r="Z224" s="498">
        <v>583</v>
      </c>
      <c r="AA224" s="561"/>
      <c r="AB224" s="503"/>
      <c r="AC224" s="330">
        <f>AB224/VPI!R224</f>
        <v>0</v>
      </c>
      <c r="AD224" s="332">
        <f t="shared" si="14"/>
        <v>0</v>
      </c>
      <c r="AE224" s="330">
        <f>AD224/VPI!R224</f>
        <v>0</v>
      </c>
      <c r="AF224" s="503"/>
      <c r="AG224" s="503"/>
      <c r="AH224" s="503"/>
      <c r="AI224" s="568"/>
      <c r="AJ224" s="498"/>
      <c r="AK224" s="330">
        <f>AJ224/VPI!R224</f>
        <v>0</v>
      </c>
      <c r="AL224" s="332">
        <f t="shared" si="15"/>
        <v>0</v>
      </c>
      <c r="AM224" s="330">
        <f>AL224/VPI!R224</f>
        <v>0</v>
      </c>
      <c r="AN224" s="498"/>
      <c r="AO224" s="568"/>
      <c r="AP224" s="511">
        <v>20.875439393379075</v>
      </c>
      <c r="AR224" s="564">
        <v>0</v>
      </c>
    </row>
    <row r="225" spans="1:44" x14ac:dyDescent="0.25">
      <c r="A225" s="559">
        <v>5764</v>
      </c>
      <c r="B225" s="560" t="s">
        <v>285</v>
      </c>
      <c r="C225" s="488">
        <v>5058775.49</v>
      </c>
      <c r="D225" s="488">
        <v>598508.6</v>
      </c>
      <c r="E225" s="488"/>
      <c r="F225" s="489"/>
      <c r="G225" s="488">
        <v>305561.45</v>
      </c>
      <c r="H225" s="488">
        <v>36203.9</v>
      </c>
      <c r="I225" s="488"/>
      <c r="J225" s="488">
        <v>251118.58</v>
      </c>
      <c r="K225" s="488">
        <v>53553.5</v>
      </c>
      <c r="L225" s="488">
        <v>536097.5</v>
      </c>
      <c r="M225" s="367">
        <f t="shared" si="12"/>
        <v>6839819.0200000005</v>
      </c>
      <c r="N225" s="492">
        <v>2516322.4500000002</v>
      </c>
      <c r="O225" s="492">
        <v>120234.2</v>
      </c>
      <c r="P225" s="492">
        <v>333010.84999999998</v>
      </c>
      <c r="Q225" s="492">
        <v>54092.55</v>
      </c>
      <c r="R225" s="492">
        <v>198241.6</v>
      </c>
      <c r="S225" s="488">
        <v>32222.95</v>
      </c>
      <c r="T225" s="367">
        <f t="shared" si="13"/>
        <v>10093943.619999999</v>
      </c>
      <c r="U225" s="490">
        <v>-175133.43</v>
      </c>
      <c r="V225" s="492"/>
      <c r="W225" s="492">
        <v>-123.45</v>
      </c>
      <c r="X225" s="496">
        <v>71.5</v>
      </c>
      <c r="Y225" s="497">
        <v>1</v>
      </c>
      <c r="Z225" s="498">
        <v>4121</v>
      </c>
      <c r="AA225" s="561"/>
      <c r="AB225" s="503"/>
      <c r="AC225" s="330">
        <f>AB225/VPI!R225</f>
        <v>0</v>
      </c>
      <c r="AD225" s="332">
        <f t="shared" si="14"/>
        <v>0</v>
      </c>
      <c r="AE225" s="330">
        <f>AD225/VPI!R225</f>
        <v>0</v>
      </c>
      <c r="AF225" s="503"/>
      <c r="AG225" s="503"/>
      <c r="AH225" s="503"/>
      <c r="AI225" s="568"/>
      <c r="AJ225" s="498"/>
      <c r="AK225" s="330">
        <f>AJ225/VPI!R225</f>
        <v>0</v>
      </c>
      <c r="AL225" s="332">
        <f t="shared" si="15"/>
        <v>0</v>
      </c>
      <c r="AM225" s="330">
        <f>AL225/VPI!R225</f>
        <v>0</v>
      </c>
      <c r="AN225" s="498"/>
      <c r="AO225" s="568"/>
      <c r="AP225" s="511">
        <v>-12.214212943612356</v>
      </c>
      <c r="AR225" s="564">
        <v>0</v>
      </c>
    </row>
    <row r="226" spans="1:44" x14ac:dyDescent="0.25">
      <c r="A226" s="559">
        <v>5765</v>
      </c>
      <c r="B226" s="560" t="s">
        <v>286</v>
      </c>
      <c r="C226" s="488">
        <v>740369.41</v>
      </c>
      <c r="D226" s="488">
        <v>88463.89</v>
      </c>
      <c r="E226" s="488"/>
      <c r="F226" s="489"/>
      <c r="G226" s="488">
        <v>11687.5</v>
      </c>
      <c r="H226" s="488">
        <v>347.55</v>
      </c>
      <c r="I226" s="488"/>
      <c r="J226" s="488">
        <v>27700.63</v>
      </c>
      <c r="K226" s="488"/>
      <c r="L226" s="488">
        <v>35142.25</v>
      </c>
      <c r="M226" s="367">
        <f t="shared" si="12"/>
        <v>903711.2300000001</v>
      </c>
      <c r="N226" s="492">
        <v>84922.95</v>
      </c>
      <c r="O226" s="492">
        <v>58933.9</v>
      </c>
      <c r="P226" s="492">
        <v>49730.05</v>
      </c>
      <c r="Q226" s="492">
        <v>3759.41</v>
      </c>
      <c r="R226" s="492">
        <v>52321.2</v>
      </c>
      <c r="S226" s="488">
        <v>1134.71</v>
      </c>
      <c r="T226" s="367">
        <f t="shared" si="13"/>
        <v>1154513.45</v>
      </c>
      <c r="U226" s="490">
        <v>-7464.06</v>
      </c>
      <c r="V226" s="492"/>
      <c r="W226" s="492">
        <v>-3.63</v>
      </c>
      <c r="X226" s="496">
        <v>81</v>
      </c>
      <c r="Y226" s="497">
        <v>0.5</v>
      </c>
      <c r="Z226" s="498">
        <v>486</v>
      </c>
      <c r="AA226" s="561"/>
      <c r="AB226" s="503"/>
      <c r="AC226" s="330">
        <f>AB226/VPI!R226</f>
        <v>0</v>
      </c>
      <c r="AD226" s="332">
        <f t="shared" si="14"/>
        <v>0</v>
      </c>
      <c r="AE226" s="330">
        <f>AD226/VPI!R226</f>
        <v>0</v>
      </c>
      <c r="AF226" s="503"/>
      <c r="AG226" s="503"/>
      <c r="AH226" s="503"/>
      <c r="AI226" s="568"/>
      <c r="AJ226" s="498"/>
      <c r="AK226" s="330">
        <f>AJ226/VPI!R226</f>
        <v>0</v>
      </c>
      <c r="AL226" s="332">
        <f t="shared" si="15"/>
        <v>0</v>
      </c>
      <c r="AM226" s="330">
        <f>AL226/VPI!R226</f>
        <v>0</v>
      </c>
      <c r="AN226" s="498"/>
      <c r="AO226" s="568"/>
      <c r="AP226" s="511">
        <v>-9.6088236149084469</v>
      </c>
      <c r="AR226" s="564">
        <v>0</v>
      </c>
    </row>
    <row r="227" spans="1:44" x14ac:dyDescent="0.25">
      <c r="A227" s="559">
        <v>5766</v>
      </c>
      <c r="B227" s="560" t="s">
        <v>287</v>
      </c>
      <c r="C227" s="488">
        <v>800984.45</v>
      </c>
      <c r="D227" s="488">
        <v>105762.08</v>
      </c>
      <c r="E227" s="488"/>
      <c r="F227" s="489">
        <v>3701.65</v>
      </c>
      <c r="G227" s="488">
        <v>69100.45</v>
      </c>
      <c r="H227" s="488">
        <v>1570.25</v>
      </c>
      <c r="I227" s="488"/>
      <c r="J227" s="488">
        <v>10197.82</v>
      </c>
      <c r="K227" s="488">
        <v>9032.5499999999993</v>
      </c>
      <c r="L227" s="488">
        <v>67496</v>
      </c>
      <c r="M227" s="367">
        <f t="shared" si="12"/>
        <v>1067845.25</v>
      </c>
      <c r="N227" s="492">
        <v>35728.699999999997</v>
      </c>
      <c r="O227" s="492"/>
      <c r="P227" s="492">
        <v>5461.7</v>
      </c>
      <c r="Q227" s="492">
        <v>1.83</v>
      </c>
      <c r="R227" s="492">
        <v>146111.70000000001</v>
      </c>
      <c r="S227" s="488">
        <v>6663.1</v>
      </c>
      <c r="T227" s="367">
        <f t="shared" si="13"/>
        <v>1261812.28</v>
      </c>
      <c r="U227" s="490">
        <v>-6777.06</v>
      </c>
      <c r="V227" s="492"/>
      <c r="W227" s="492">
        <v>-72.5</v>
      </c>
      <c r="X227" s="496">
        <v>75</v>
      </c>
      <c r="Y227" s="497">
        <v>0.7</v>
      </c>
      <c r="Z227" s="498">
        <v>586</v>
      </c>
      <c r="AA227" s="561"/>
      <c r="AB227" s="503"/>
      <c r="AC227" s="330">
        <f>AB227/VPI!R227</f>
        <v>0</v>
      </c>
      <c r="AD227" s="332">
        <f t="shared" si="14"/>
        <v>0</v>
      </c>
      <c r="AE227" s="330">
        <f>AD227/VPI!R227</f>
        <v>0</v>
      </c>
      <c r="AF227" s="503"/>
      <c r="AG227" s="503"/>
      <c r="AH227" s="503"/>
      <c r="AI227" s="568"/>
      <c r="AJ227" s="498"/>
      <c r="AK227" s="330">
        <f>AJ227/VPI!R227</f>
        <v>0</v>
      </c>
      <c r="AL227" s="332">
        <f t="shared" si="15"/>
        <v>0</v>
      </c>
      <c r="AM227" s="330">
        <f>AL227/VPI!R227</f>
        <v>0</v>
      </c>
      <c r="AN227" s="498"/>
      <c r="AO227" s="568"/>
      <c r="AP227" s="511">
        <v>6.4770369822512288</v>
      </c>
      <c r="AR227" s="564">
        <v>0</v>
      </c>
    </row>
    <row r="228" spans="1:44" x14ac:dyDescent="0.25">
      <c r="A228" s="559">
        <v>5785</v>
      </c>
      <c r="B228" s="560" t="s">
        <v>239</v>
      </c>
      <c r="C228" s="488">
        <v>1016061.19</v>
      </c>
      <c r="D228" s="488">
        <v>181298.9</v>
      </c>
      <c r="E228" s="488"/>
      <c r="F228" s="489"/>
      <c r="G228" s="488">
        <v>34529.35</v>
      </c>
      <c r="H228" s="488">
        <v>833.4</v>
      </c>
      <c r="I228" s="488"/>
      <c r="J228" s="488">
        <v>38437.519999999997</v>
      </c>
      <c r="K228" s="488">
        <v>1068.5999999999999</v>
      </c>
      <c r="L228" s="488">
        <v>80950.350000000006</v>
      </c>
      <c r="M228" s="367">
        <f t="shared" si="12"/>
        <v>1353179.31</v>
      </c>
      <c r="N228" s="492">
        <v>0</v>
      </c>
      <c r="O228" s="492">
        <v>32276.400000000001</v>
      </c>
      <c r="P228" s="492">
        <v>64172.2</v>
      </c>
      <c r="Q228" s="492">
        <v>13.82</v>
      </c>
      <c r="R228" s="492">
        <v>55329.599999999999</v>
      </c>
      <c r="S228" s="488">
        <v>3334.14</v>
      </c>
      <c r="T228" s="367">
        <f t="shared" si="13"/>
        <v>1508305.47</v>
      </c>
      <c r="U228" s="490">
        <v>-5356.15</v>
      </c>
      <c r="V228" s="492"/>
      <c r="W228" s="492">
        <v>-3584.15</v>
      </c>
      <c r="X228" s="496">
        <v>75</v>
      </c>
      <c r="Y228" s="497">
        <v>1</v>
      </c>
      <c r="Z228" s="498">
        <v>500</v>
      </c>
      <c r="AA228" s="561"/>
      <c r="AB228" s="503"/>
      <c r="AC228" s="330">
        <f>AB228/VPI!R228</f>
        <v>0</v>
      </c>
      <c r="AD228" s="332">
        <f t="shared" si="14"/>
        <v>0</v>
      </c>
      <c r="AE228" s="330">
        <f>AD228/VPI!R228</f>
        <v>0</v>
      </c>
      <c r="AF228" s="503"/>
      <c r="AG228" s="503"/>
      <c r="AH228" s="503"/>
      <c r="AI228" s="568"/>
      <c r="AJ228" s="498"/>
      <c r="AK228" s="330">
        <f>AJ228/VPI!R228</f>
        <v>0</v>
      </c>
      <c r="AL228" s="332">
        <f t="shared" si="15"/>
        <v>0</v>
      </c>
      <c r="AM228" s="330">
        <f>AL228/VPI!R228</f>
        <v>0</v>
      </c>
      <c r="AN228" s="498"/>
      <c r="AO228" s="568"/>
      <c r="AP228" s="511">
        <v>15.029496844266568</v>
      </c>
      <c r="AR228" s="564">
        <v>0</v>
      </c>
    </row>
    <row r="229" spans="1:44" x14ac:dyDescent="0.25">
      <c r="A229" s="559">
        <v>5790</v>
      </c>
      <c r="B229" s="560" t="s">
        <v>240</v>
      </c>
      <c r="C229" s="488">
        <v>1010895.3</v>
      </c>
      <c r="D229" s="488">
        <v>180514.54</v>
      </c>
      <c r="E229" s="488"/>
      <c r="F229" s="489"/>
      <c r="G229" s="488">
        <v>11443.55</v>
      </c>
      <c r="H229" s="488">
        <v>-27.5</v>
      </c>
      <c r="I229" s="488"/>
      <c r="J229" s="488">
        <v>16096.96</v>
      </c>
      <c r="K229" s="488">
        <v>3188.6</v>
      </c>
      <c r="L229" s="488">
        <v>95075</v>
      </c>
      <c r="M229" s="367">
        <f t="shared" si="12"/>
        <v>1317186.4500000002</v>
      </c>
      <c r="N229" s="492">
        <v>3102.4</v>
      </c>
      <c r="O229" s="492"/>
      <c r="P229" s="492">
        <v>62744</v>
      </c>
      <c r="Q229" s="492">
        <v>10928.28</v>
      </c>
      <c r="R229" s="492">
        <v>43720.9</v>
      </c>
      <c r="S229" s="488">
        <v>1076.3499999999999</v>
      </c>
      <c r="T229" s="367">
        <f t="shared" si="13"/>
        <v>1438758.3800000001</v>
      </c>
      <c r="U229" s="490">
        <v>-17703.52</v>
      </c>
      <c r="V229" s="492"/>
      <c r="W229" s="492">
        <v>-3537.08</v>
      </c>
      <c r="X229" s="496">
        <v>74.5</v>
      </c>
      <c r="Y229" s="497">
        <v>1</v>
      </c>
      <c r="Z229" s="498">
        <v>567</v>
      </c>
      <c r="AA229" s="561"/>
      <c r="AB229" s="503"/>
      <c r="AC229" s="330">
        <f>AB229/VPI!R229</f>
        <v>0</v>
      </c>
      <c r="AD229" s="332">
        <f t="shared" si="14"/>
        <v>0</v>
      </c>
      <c r="AE229" s="330">
        <f>AD229/VPI!R229</f>
        <v>0</v>
      </c>
      <c r="AF229" s="503"/>
      <c r="AG229" s="503"/>
      <c r="AH229" s="503"/>
      <c r="AI229" s="568"/>
      <c r="AJ229" s="498"/>
      <c r="AK229" s="330">
        <f>AJ229/VPI!R229</f>
        <v>0</v>
      </c>
      <c r="AL229" s="332">
        <f t="shared" si="15"/>
        <v>0</v>
      </c>
      <c r="AM229" s="330">
        <f>AL229/VPI!R229</f>
        <v>0</v>
      </c>
      <c r="AN229" s="498"/>
      <c r="AO229" s="568"/>
      <c r="AP229" s="511">
        <v>12.833832541481247</v>
      </c>
      <c r="AR229" s="564">
        <v>0</v>
      </c>
    </row>
    <row r="230" spans="1:44" x14ac:dyDescent="0.25">
      <c r="A230" s="559">
        <v>5792</v>
      </c>
      <c r="B230" s="560" t="s">
        <v>241</v>
      </c>
      <c r="C230" s="488">
        <v>1173792.3799999999</v>
      </c>
      <c r="D230" s="488">
        <v>139036.49</v>
      </c>
      <c r="E230" s="488"/>
      <c r="F230" s="489"/>
      <c r="G230" s="488">
        <v>35839</v>
      </c>
      <c r="H230" s="488">
        <v>3512.65</v>
      </c>
      <c r="I230" s="488"/>
      <c r="J230" s="488">
        <v>13338.53</v>
      </c>
      <c r="K230" s="488">
        <v>-2189</v>
      </c>
      <c r="L230" s="488">
        <v>122711.9</v>
      </c>
      <c r="M230" s="367">
        <f t="shared" si="12"/>
        <v>1486041.9499999997</v>
      </c>
      <c r="N230" s="492">
        <v>1515.75</v>
      </c>
      <c r="O230" s="492">
        <v>2433.6</v>
      </c>
      <c r="P230" s="492">
        <v>98299.65</v>
      </c>
      <c r="Q230" s="492">
        <v>1072.75</v>
      </c>
      <c r="R230" s="492">
        <v>119564.1</v>
      </c>
      <c r="S230" s="488">
        <v>3710.22</v>
      </c>
      <c r="T230" s="367">
        <f t="shared" si="13"/>
        <v>1712638.0199999998</v>
      </c>
      <c r="U230" s="490">
        <v>-22486.06</v>
      </c>
      <c r="V230" s="492"/>
      <c r="W230" s="492">
        <v>-5605.1</v>
      </c>
      <c r="X230" s="496">
        <v>75</v>
      </c>
      <c r="Y230" s="497">
        <v>1</v>
      </c>
      <c r="Z230" s="498">
        <v>632</v>
      </c>
      <c r="AA230" s="561"/>
      <c r="AB230" s="503"/>
      <c r="AC230" s="330">
        <f>AB230/VPI!R230</f>
        <v>0</v>
      </c>
      <c r="AD230" s="332">
        <f t="shared" si="14"/>
        <v>0</v>
      </c>
      <c r="AE230" s="330">
        <f>AD230/VPI!R230</f>
        <v>0</v>
      </c>
      <c r="AF230" s="503"/>
      <c r="AG230" s="503"/>
      <c r="AH230" s="503"/>
      <c r="AI230" s="568"/>
      <c r="AJ230" s="498"/>
      <c r="AK230" s="330">
        <f>AJ230/VPI!R230</f>
        <v>0</v>
      </c>
      <c r="AL230" s="332">
        <f t="shared" si="15"/>
        <v>0</v>
      </c>
      <c r="AM230" s="330">
        <f>AL230/VPI!R230</f>
        <v>0</v>
      </c>
      <c r="AN230" s="498"/>
      <c r="AO230" s="568"/>
      <c r="AP230" s="511">
        <v>11.457103218123972</v>
      </c>
      <c r="AR230" s="564">
        <v>0</v>
      </c>
    </row>
    <row r="231" spans="1:44" x14ac:dyDescent="0.25">
      <c r="A231" s="559">
        <v>5798</v>
      </c>
      <c r="B231" s="560" t="s">
        <v>242</v>
      </c>
      <c r="C231" s="488">
        <v>958185.82</v>
      </c>
      <c r="D231" s="488">
        <v>111984.58</v>
      </c>
      <c r="E231" s="488"/>
      <c r="F231" s="489"/>
      <c r="G231" s="488">
        <v>31810.799999999999</v>
      </c>
      <c r="H231" s="488">
        <v>1483.2</v>
      </c>
      <c r="I231" s="488"/>
      <c r="J231" s="488">
        <v>39003.64</v>
      </c>
      <c r="K231" s="488">
        <v>11618.05</v>
      </c>
      <c r="L231" s="488">
        <v>99952.1</v>
      </c>
      <c r="M231" s="367">
        <f t="shared" si="12"/>
        <v>1254038.19</v>
      </c>
      <c r="N231" s="492">
        <v>25166.7</v>
      </c>
      <c r="O231" s="492">
        <v>1742.4</v>
      </c>
      <c r="P231" s="492">
        <v>103815.25</v>
      </c>
      <c r="Q231" s="492">
        <v>1494.65</v>
      </c>
      <c r="R231" s="492">
        <v>32493.1</v>
      </c>
      <c r="S231" s="488">
        <v>3139.09</v>
      </c>
      <c r="T231" s="367">
        <f t="shared" si="13"/>
        <v>1421889.38</v>
      </c>
      <c r="U231" s="490">
        <v>-10977.25</v>
      </c>
      <c r="V231" s="492"/>
      <c r="W231" s="492">
        <v>-186.93</v>
      </c>
      <c r="X231" s="496">
        <v>77.5</v>
      </c>
      <c r="Y231" s="497">
        <v>1</v>
      </c>
      <c r="Z231" s="498">
        <v>535</v>
      </c>
      <c r="AA231" s="561"/>
      <c r="AB231" s="503"/>
      <c r="AC231" s="330">
        <f>AB231/VPI!R231</f>
        <v>0</v>
      </c>
      <c r="AD231" s="332">
        <f t="shared" si="14"/>
        <v>0</v>
      </c>
      <c r="AE231" s="330">
        <f>AD231/VPI!R231</f>
        <v>0</v>
      </c>
      <c r="AF231" s="503"/>
      <c r="AG231" s="503"/>
      <c r="AH231" s="503"/>
      <c r="AI231" s="568"/>
      <c r="AJ231" s="498"/>
      <c r="AK231" s="330">
        <f>AJ231/VPI!R231</f>
        <v>0</v>
      </c>
      <c r="AL231" s="332">
        <f t="shared" si="15"/>
        <v>0</v>
      </c>
      <c r="AM231" s="330">
        <f>AL231/VPI!R231</f>
        <v>0</v>
      </c>
      <c r="AN231" s="498"/>
      <c r="AO231" s="568"/>
      <c r="AP231" s="511">
        <v>12.594687462323872</v>
      </c>
      <c r="AR231" s="564">
        <v>0</v>
      </c>
    </row>
    <row r="232" spans="1:44" x14ac:dyDescent="0.25">
      <c r="A232" s="559">
        <v>5799</v>
      </c>
      <c r="B232" s="560" t="s">
        <v>243</v>
      </c>
      <c r="C232" s="488">
        <v>4173923.65</v>
      </c>
      <c r="D232" s="488">
        <v>621616.98</v>
      </c>
      <c r="E232" s="488"/>
      <c r="F232" s="489"/>
      <c r="G232" s="488">
        <v>135876.35</v>
      </c>
      <c r="H232" s="488">
        <v>6819.4</v>
      </c>
      <c r="I232" s="488"/>
      <c r="J232" s="488">
        <v>24883.15</v>
      </c>
      <c r="K232" s="488">
        <v>13508.95</v>
      </c>
      <c r="L232" s="488">
        <v>447592.6</v>
      </c>
      <c r="M232" s="367">
        <f t="shared" si="12"/>
        <v>5424221.0800000001</v>
      </c>
      <c r="N232" s="492">
        <v>28388.799999999999</v>
      </c>
      <c r="O232" s="492">
        <v>55.4</v>
      </c>
      <c r="P232" s="492">
        <v>213341.7</v>
      </c>
      <c r="Q232" s="492">
        <v>12605.66</v>
      </c>
      <c r="R232" s="492">
        <v>202819.7</v>
      </c>
      <c r="S232" s="488">
        <v>13453.9</v>
      </c>
      <c r="T232" s="367">
        <f t="shared" si="13"/>
        <v>5894886.2400000012</v>
      </c>
      <c r="U232" s="490">
        <v>-38965.74</v>
      </c>
      <c r="V232" s="492"/>
      <c r="W232" s="492">
        <v>-1495.09</v>
      </c>
      <c r="X232" s="496">
        <v>69</v>
      </c>
      <c r="Y232" s="497">
        <v>1</v>
      </c>
      <c r="Z232" s="498">
        <v>2172</v>
      </c>
      <c r="AA232" s="561"/>
      <c r="AB232" s="503"/>
      <c r="AC232" s="330">
        <f>AB232/VPI!R232</f>
        <v>0</v>
      </c>
      <c r="AD232" s="332">
        <f t="shared" si="14"/>
        <v>0</v>
      </c>
      <c r="AE232" s="330">
        <f>AD232/VPI!R232</f>
        <v>0</v>
      </c>
      <c r="AF232" s="503"/>
      <c r="AG232" s="503"/>
      <c r="AH232" s="503"/>
      <c r="AI232" s="568"/>
      <c r="AJ232" s="498"/>
      <c r="AK232" s="330">
        <f>AJ232/VPI!R232</f>
        <v>0</v>
      </c>
      <c r="AL232" s="332">
        <f t="shared" si="15"/>
        <v>0</v>
      </c>
      <c r="AM232" s="330">
        <f>AL232/VPI!R232</f>
        <v>0</v>
      </c>
      <c r="AN232" s="498"/>
      <c r="AO232" s="568"/>
      <c r="AP232" s="511">
        <v>15.507836238071521</v>
      </c>
      <c r="AR232" s="564">
        <v>0</v>
      </c>
    </row>
    <row r="233" spans="1:44" x14ac:dyDescent="0.25">
      <c r="A233" s="559">
        <v>5803</v>
      </c>
      <c r="B233" s="560" t="s">
        <v>313</v>
      </c>
      <c r="C233" s="488">
        <v>1096383.57</v>
      </c>
      <c r="D233" s="488">
        <v>146939.63</v>
      </c>
      <c r="E233" s="488"/>
      <c r="F233" s="489"/>
      <c r="G233" s="488">
        <v>5310.95</v>
      </c>
      <c r="H233" s="488">
        <v>1420.7</v>
      </c>
      <c r="I233" s="488"/>
      <c r="J233" s="488">
        <v>14469.27</v>
      </c>
      <c r="K233" s="488"/>
      <c r="L233" s="488">
        <v>111407.45</v>
      </c>
      <c r="M233" s="367">
        <f t="shared" si="12"/>
        <v>1375931.57</v>
      </c>
      <c r="N233" s="492">
        <v>134.15</v>
      </c>
      <c r="O233" s="492">
        <v>5545.1</v>
      </c>
      <c r="P233" s="492">
        <v>38990.6</v>
      </c>
      <c r="Q233" s="492">
        <v>743.99</v>
      </c>
      <c r="R233" s="492">
        <v>52980.15</v>
      </c>
      <c r="S233" s="488">
        <v>634.69000000000005</v>
      </c>
      <c r="T233" s="367">
        <f t="shared" si="13"/>
        <v>1474960.25</v>
      </c>
      <c r="U233" s="490">
        <v>-7432.78</v>
      </c>
      <c r="V233" s="492"/>
      <c r="W233" s="492">
        <v>-518.5</v>
      </c>
      <c r="X233" s="496">
        <v>74</v>
      </c>
      <c r="Y233" s="497">
        <v>1</v>
      </c>
      <c r="Z233" s="498">
        <v>646</v>
      </c>
      <c r="AA233" s="561"/>
      <c r="AB233" s="503"/>
      <c r="AC233" s="330">
        <f>AB233/VPI!R233</f>
        <v>0</v>
      </c>
      <c r="AD233" s="332">
        <f t="shared" si="14"/>
        <v>0</v>
      </c>
      <c r="AE233" s="330">
        <f>AD233/VPI!R233</f>
        <v>0</v>
      </c>
      <c r="AF233" s="503"/>
      <c r="AG233" s="503"/>
      <c r="AH233" s="503"/>
      <c r="AI233" s="568"/>
      <c r="AJ233" s="498"/>
      <c r="AK233" s="330">
        <f>AJ233/VPI!R233</f>
        <v>0</v>
      </c>
      <c r="AL233" s="332">
        <f t="shared" si="15"/>
        <v>0</v>
      </c>
      <c r="AM233" s="330">
        <f>AL233/VPI!R233</f>
        <v>0</v>
      </c>
      <c r="AN233" s="498"/>
      <c r="AO233" s="568"/>
      <c r="AP233" s="511">
        <v>7.3000963563533494</v>
      </c>
      <c r="AR233" s="564">
        <v>0</v>
      </c>
    </row>
    <row r="234" spans="1:44" x14ac:dyDescent="0.25">
      <c r="A234" s="559">
        <v>5804</v>
      </c>
      <c r="B234" s="560" t="s">
        <v>346</v>
      </c>
      <c r="C234" s="488">
        <v>2745666.09</v>
      </c>
      <c r="D234" s="488">
        <v>419856.58</v>
      </c>
      <c r="E234" s="488"/>
      <c r="F234" s="489"/>
      <c r="G234" s="488">
        <v>6300.75</v>
      </c>
      <c r="H234" s="488">
        <v>1098.0999999999999</v>
      </c>
      <c r="I234" s="488"/>
      <c r="J234" s="488">
        <v>51743.65</v>
      </c>
      <c r="K234" s="488">
        <v>30.4</v>
      </c>
      <c r="L234" s="488">
        <v>285723.34999999998</v>
      </c>
      <c r="M234" s="367">
        <f t="shared" si="12"/>
        <v>3510418.92</v>
      </c>
      <c r="N234" s="492">
        <v>8239.5499999999993</v>
      </c>
      <c r="O234" s="492">
        <v>58559.8</v>
      </c>
      <c r="P234" s="492">
        <v>80287.3</v>
      </c>
      <c r="Q234" s="492">
        <v>6094.7</v>
      </c>
      <c r="R234" s="492">
        <v>59071.7</v>
      </c>
      <c r="S234" s="488">
        <v>697.59</v>
      </c>
      <c r="T234" s="367">
        <f t="shared" si="13"/>
        <v>3723369.5599999996</v>
      </c>
      <c r="U234" s="490">
        <v>-60575.13</v>
      </c>
      <c r="V234" s="492"/>
      <c r="W234" s="492">
        <v>-1547.15</v>
      </c>
      <c r="X234" s="496">
        <v>70.5</v>
      </c>
      <c r="Y234" s="497">
        <v>1</v>
      </c>
      <c r="Z234" s="498">
        <v>1557</v>
      </c>
      <c r="AA234" s="561"/>
      <c r="AB234" s="503"/>
      <c r="AC234" s="330">
        <f>AB234/VPI!R234</f>
        <v>0</v>
      </c>
      <c r="AD234" s="332">
        <f t="shared" si="14"/>
        <v>0</v>
      </c>
      <c r="AE234" s="330">
        <f>AD234/VPI!R234</f>
        <v>0</v>
      </c>
      <c r="AF234" s="503"/>
      <c r="AG234" s="503"/>
      <c r="AH234" s="503"/>
      <c r="AI234" s="568"/>
      <c r="AJ234" s="498"/>
      <c r="AK234" s="330">
        <f>AJ234/VPI!R234</f>
        <v>0</v>
      </c>
      <c r="AL234" s="332">
        <f t="shared" si="15"/>
        <v>0</v>
      </c>
      <c r="AM234" s="330">
        <f>AL234/VPI!R234</f>
        <v>0</v>
      </c>
      <c r="AN234" s="498"/>
      <c r="AO234" s="568"/>
      <c r="AP234" s="511">
        <v>9.8650719509587859</v>
      </c>
      <c r="AR234" s="564">
        <v>0</v>
      </c>
    </row>
    <row r="235" spans="1:44" x14ac:dyDescent="0.25">
      <c r="A235" s="559">
        <v>5805</v>
      </c>
      <c r="B235" s="560" t="s">
        <v>348</v>
      </c>
      <c r="C235" s="488">
        <v>9054203.0199999996</v>
      </c>
      <c r="D235" s="488">
        <v>1225063.2</v>
      </c>
      <c r="E235" s="488"/>
      <c r="F235" s="489"/>
      <c r="G235" s="488">
        <v>577992.30000000005</v>
      </c>
      <c r="H235" s="488">
        <v>48338.2</v>
      </c>
      <c r="I235" s="488">
        <v>45603.5</v>
      </c>
      <c r="J235" s="488">
        <v>225704.66</v>
      </c>
      <c r="K235" s="488">
        <v>91128.15</v>
      </c>
      <c r="L235" s="488">
        <v>1198759.8</v>
      </c>
      <c r="M235" s="367">
        <f t="shared" si="12"/>
        <v>12466792.83</v>
      </c>
      <c r="N235" s="488">
        <v>141008.75</v>
      </c>
      <c r="O235" s="488">
        <v>171695.3</v>
      </c>
      <c r="P235" s="488">
        <v>347904.4</v>
      </c>
      <c r="Q235" s="488">
        <v>48035.55</v>
      </c>
      <c r="R235" s="488">
        <v>305359.2</v>
      </c>
      <c r="S235" s="488">
        <v>59052.84</v>
      </c>
      <c r="T235" s="367">
        <f t="shared" si="13"/>
        <v>13539848.870000001</v>
      </c>
      <c r="U235" s="488">
        <v>-204619.75</v>
      </c>
      <c r="V235" s="488"/>
      <c r="W235" s="488">
        <v>-24023</v>
      </c>
      <c r="X235" s="488">
        <v>69</v>
      </c>
      <c r="Y235" s="499">
        <v>1.1000000000000001</v>
      </c>
      <c r="Z235" s="498">
        <v>6173</v>
      </c>
      <c r="AA235" s="565"/>
      <c r="AB235" s="504"/>
      <c r="AC235" s="330">
        <f>AB235/VPI!R235</f>
        <v>0</v>
      </c>
      <c r="AD235" s="332">
        <f t="shared" si="14"/>
        <v>0</v>
      </c>
      <c r="AE235" s="330">
        <f>AD235/VPI!R235</f>
        <v>0</v>
      </c>
      <c r="AF235" s="504"/>
      <c r="AG235" s="504"/>
      <c r="AH235" s="504"/>
      <c r="AI235" s="565"/>
      <c r="AJ235" s="488"/>
      <c r="AK235" s="330">
        <f>AJ235/VPI!R235</f>
        <v>0</v>
      </c>
      <c r="AL235" s="332">
        <f t="shared" si="15"/>
        <v>0</v>
      </c>
      <c r="AM235" s="330">
        <f>AL235/VPI!R235</f>
        <v>0</v>
      </c>
      <c r="AN235" s="498"/>
      <c r="AO235" s="565"/>
      <c r="AP235" s="511">
        <v>2.6984147829346883</v>
      </c>
      <c r="AQ235" s="488"/>
      <c r="AR235" s="564">
        <v>0</v>
      </c>
    </row>
    <row r="236" spans="1:44" x14ac:dyDescent="0.25">
      <c r="A236" s="559">
        <v>5806</v>
      </c>
      <c r="B236" s="560" t="s">
        <v>371</v>
      </c>
      <c r="C236" s="488">
        <v>5661362.1200000001</v>
      </c>
      <c r="D236" s="488">
        <v>726011.63</v>
      </c>
      <c r="E236" s="488"/>
      <c r="F236" s="489"/>
      <c r="G236" s="488">
        <v>111229.1</v>
      </c>
      <c r="H236" s="488">
        <v>7534.8</v>
      </c>
      <c r="I236" s="488">
        <v>53357.25</v>
      </c>
      <c r="J236" s="488">
        <v>81098.03</v>
      </c>
      <c r="K236" s="488">
        <v>30351.05</v>
      </c>
      <c r="L236" s="488">
        <v>600163.4</v>
      </c>
      <c r="M236" s="367">
        <f t="shared" si="12"/>
        <v>7271107.3799999999</v>
      </c>
      <c r="N236" s="492">
        <v>33900.300000000003</v>
      </c>
      <c r="O236" s="492">
        <v>498139.5</v>
      </c>
      <c r="P236" s="492">
        <v>247445.3</v>
      </c>
      <c r="Q236" s="492">
        <v>9128.4599999999991</v>
      </c>
      <c r="R236" s="492">
        <v>273600.75</v>
      </c>
      <c r="S236" s="488">
        <v>11197.52</v>
      </c>
      <c r="T236" s="367">
        <f t="shared" si="13"/>
        <v>8344519.209999999</v>
      </c>
      <c r="U236" s="490">
        <v>-96654.62</v>
      </c>
      <c r="V236" s="492"/>
      <c r="W236" s="492">
        <v>-2757.8</v>
      </c>
      <c r="X236" s="496">
        <v>73</v>
      </c>
      <c r="Y236" s="497">
        <v>1</v>
      </c>
      <c r="Z236" s="498">
        <v>3177</v>
      </c>
      <c r="AA236" s="561"/>
      <c r="AB236" s="503"/>
      <c r="AC236" s="330">
        <f>AB236/VPI!R236</f>
        <v>0</v>
      </c>
      <c r="AD236" s="332">
        <f t="shared" si="14"/>
        <v>0</v>
      </c>
      <c r="AE236" s="330">
        <f>AD236/VPI!R236</f>
        <v>0</v>
      </c>
      <c r="AF236" s="503"/>
      <c r="AG236" s="503"/>
      <c r="AH236" s="503"/>
      <c r="AI236" s="568"/>
      <c r="AJ236" s="498"/>
      <c r="AK236" s="330">
        <f>AJ236/VPI!R236</f>
        <v>0</v>
      </c>
      <c r="AL236" s="332">
        <f t="shared" si="15"/>
        <v>0</v>
      </c>
      <c r="AM236" s="330">
        <f>AL236/VPI!R236</f>
        <v>0</v>
      </c>
      <c r="AN236" s="498"/>
      <c r="AO236" s="568"/>
      <c r="AP236" s="511">
        <v>12.076018193988254</v>
      </c>
      <c r="AR236" s="564">
        <v>0</v>
      </c>
    </row>
    <row r="237" spans="1:44" x14ac:dyDescent="0.25">
      <c r="A237" s="559">
        <v>5812</v>
      </c>
      <c r="B237" s="560" t="s">
        <v>314</v>
      </c>
      <c r="C237" s="488">
        <v>237317.48</v>
      </c>
      <c r="D237" s="488">
        <v>18645.169999999998</v>
      </c>
      <c r="E237" s="488"/>
      <c r="F237" s="489"/>
      <c r="G237" s="488">
        <v>1337.9</v>
      </c>
      <c r="H237" s="488">
        <v>82.75</v>
      </c>
      <c r="I237" s="488"/>
      <c r="J237" s="488">
        <v>2027.51</v>
      </c>
      <c r="K237" s="488">
        <v>894.75</v>
      </c>
      <c r="L237" s="488">
        <v>19335</v>
      </c>
      <c r="M237" s="367">
        <f t="shared" si="12"/>
        <v>279640.56000000006</v>
      </c>
      <c r="N237" s="492">
        <v>0</v>
      </c>
      <c r="O237" s="492"/>
      <c r="P237" s="492">
        <v>33385</v>
      </c>
      <c r="Q237" s="492">
        <v>773.01</v>
      </c>
      <c r="R237" s="492">
        <v>22551.8</v>
      </c>
      <c r="S237" s="488">
        <v>133.94</v>
      </c>
      <c r="T237" s="367">
        <f t="shared" si="13"/>
        <v>336484.31000000006</v>
      </c>
      <c r="U237" s="490">
        <v>-11300.44</v>
      </c>
      <c r="V237" s="492"/>
      <c r="W237" s="492">
        <v>0</v>
      </c>
      <c r="X237" s="496">
        <v>77</v>
      </c>
      <c r="Y237" s="497">
        <v>0.8</v>
      </c>
      <c r="Z237" s="498">
        <v>188</v>
      </c>
      <c r="AA237" s="561"/>
      <c r="AB237" s="503"/>
      <c r="AC237" s="330">
        <f>AB237/VPI!R237</f>
        <v>0</v>
      </c>
      <c r="AD237" s="332">
        <f t="shared" si="14"/>
        <v>0</v>
      </c>
      <c r="AE237" s="330">
        <f>AD237/VPI!R237</f>
        <v>0</v>
      </c>
      <c r="AF237" s="503"/>
      <c r="AG237" s="503"/>
      <c r="AH237" s="503"/>
      <c r="AI237" s="568"/>
      <c r="AJ237" s="498"/>
      <c r="AK237" s="330">
        <f>AJ237/VPI!R237</f>
        <v>0</v>
      </c>
      <c r="AL237" s="332">
        <f t="shared" si="15"/>
        <v>0</v>
      </c>
      <c r="AM237" s="330">
        <f>AL237/VPI!R237</f>
        <v>0</v>
      </c>
      <c r="AN237" s="498"/>
      <c r="AO237" s="568"/>
      <c r="AP237" s="511">
        <v>-4.5326150173281228</v>
      </c>
      <c r="AR237" s="564">
        <v>0</v>
      </c>
    </row>
    <row r="238" spans="1:44" x14ac:dyDescent="0.25">
      <c r="A238" s="559">
        <v>5813</v>
      </c>
      <c r="B238" s="560" t="s">
        <v>315</v>
      </c>
      <c r="C238" s="488">
        <v>959169.48</v>
      </c>
      <c r="D238" s="488">
        <v>134342.28</v>
      </c>
      <c r="E238" s="488"/>
      <c r="F238" s="489">
        <v>3400</v>
      </c>
      <c r="G238" s="488">
        <v>116820.2</v>
      </c>
      <c r="H238" s="488">
        <v>790.5</v>
      </c>
      <c r="I238" s="488"/>
      <c r="J238" s="488">
        <v>3948.58</v>
      </c>
      <c r="K238" s="488"/>
      <c r="L238" s="488">
        <v>122010.15</v>
      </c>
      <c r="M238" s="367">
        <f t="shared" si="12"/>
        <v>1340481.19</v>
      </c>
      <c r="N238" s="492">
        <v>0</v>
      </c>
      <c r="O238" s="492">
        <v>7338.7</v>
      </c>
      <c r="P238" s="492">
        <v>56891.65</v>
      </c>
      <c r="Q238" s="492">
        <v>561.05999999999995</v>
      </c>
      <c r="R238" s="492">
        <v>51051.95</v>
      </c>
      <c r="S238" s="488">
        <v>11088.79</v>
      </c>
      <c r="T238" s="367">
        <f t="shared" si="13"/>
        <v>1467413.3399999999</v>
      </c>
      <c r="U238" s="490">
        <v>-15373.45</v>
      </c>
      <c r="V238" s="492"/>
      <c r="W238" s="492">
        <v>0</v>
      </c>
      <c r="X238" s="496">
        <v>68.5</v>
      </c>
      <c r="Y238" s="497">
        <v>1.2</v>
      </c>
      <c r="Z238" s="498">
        <v>524</v>
      </c>
      <c r="AA238" s="561"/>
      <c r="AB238" s="503"/>
      <c r="AC238" s="330">
        <f>AB238/VPI!R238</f>
        <v>0</v>
      </c>
      <c r="AD238" s="332">
        <f t="shared" si="14"/>
        <v>0</v>
      </c>
      <c r="AE238" s="330">
        <f>AD238/VPI!R238</f>
        <v>0</v>
      </c>
      <c r="AF238" s="503"/>
      <c r="AG238" s="503"/>
      <c r="AH238" s="503"/>
      <c r="AI238" s="568"/>
      <c r="AJ238" s="498"/>
      <c r="AK238" s="330">
        <f>AJ238/VPI!R238</f>
        <v>0</v>
      </c>
      <c r="AL238" s="332">
        <f t="shared" si="15"/>
        <v>0</v>
      </c>
      <c r="AM238" s="330">
        <f>AL238/VPI!R238</f>
        <v>0</v>
      </c>
      <c r="AN238" s="498"/>
      <c r="AO238" s="568"/>
      <c r="AP238" s="511">
        <v>18.56462217069711</v>
      </c>
      <c r="AR238" s="564">
        <v>0</v>
      </c>
    </row>
    <row r="239" spans="1:44" x14ac:dyDescent="0.25">
      <c r="A239" s="559">
        <v>5816</v>
      </c>
      <c r="B239" s="560" t="s">
        <v>5</v>
      </c>
      <c r="C239" s="488">
        <v>3422996.82</v>
      </c>
      <c r="D239" s="488">
        <v>346104.99</v>
      </c>
      <c r="E239" s="488"/>
      <c r="F239" s="489"/>
      <c r="G239" s="488">
        <v>193091.6</v>
      </c>
      <c r="H239" s="488">
        <v>17571.150000000001</v>
      </c>
      <c r="I239" s="488"/>
      <c r="J239" s="488">
        <v>159184.49</v>
      </c>
      <c r="K239" s="488">
        <v>42937.599999999999</v>
      </c>
      <c r="L239" s="488">
        <v>299956.8</v>
      </c>
      <c r="M239" s="367">
        <f t="shared" si="12"/>
        <v>4481843.45</v>
      </c>
      <c r="N239" s="492">
        <v>22214.3</v>
      </c>
      <c r="O239" s="492">
        <v>116283.2</v>
      </c>
      <c r="P239" s="492">
        <v>620772.9</v>
      </c>
      <c r="Q239" s="492">
        <v>18256.63</v>
      </c>
      <c r="R239" s="492">
        <v>132281.1</v>
      </c>
      <c r="S239" s="488">
        <v>19862.09</v>
      </c>
      <c r="T239" s="367">
        <f t="shared" si="13"/>
        <v>5411513.6699999999</v>
      </c>
      <c r="U239" s="490">
        <v>-74877.399999999994</v>
      </c>
      <c r="V239" s="492"/>
      <c r="W239" s="492">
        <v>-45.05</v>
      </c>
      <c r="X239" s="496">
        <v>65</v>
      </c>
      <c r="Y239" s="497">
        <v>0.7</v>
      </c>
      <c r="Z239" s="498">
        <v>2915</v>
      </c>
      <c r="AA239" s="561"/>
      <c r="AB239" s="503"/>
      <c r="AC239" s="330">
        <f>AB239/VPI!R239</f>
        <v>0</v>
      </c>
      <c r="AD239" s="332">
        <f t="shared" si="14"/>
        <v>0</v>
      </c>
      <c r="AE239" s="330">
        <f>AD239/VPI!R239</f>
        <v>0</v>
      </c>
      <c r="AF239" s="503"/>
      <c r="AG239" s="503"/>
      <c r="AH239" s="503"/>
      <c r="AI239" s="568"/>
      <c r="AJ239" s="498"/>
      <c r="AK239" s="330">
        <f>AJ239/VPI!R239</f>
        <v>0</v>
      </c>
      <c r="AL239" s="332">
        <f t="shared" si="15"/>
        <v>0</v>
      </c>
      <c r="AM239" s="330">
        <f>AL239/VPI!R239</f>
        <v>0</v>
      </c>
      <c r="AN239" s="498"/>
      <c r="AO239" s="568"/>
      <c r="AP239" s="511">
        <v>-2.153204409201765</v>
      </c>
      <c r="AR239" s="564">
        <v>0</v>
      </c>
    </row>
    <row r="240" spans="1:44" x14ac:dyDescent="0.25">
      <c r="A240" s="559">
        <v>5817</v>
      </c>
      <c r="B240" s="560" t="s">
        <v>6</v>
      </c>
      <c r="C240" s="488">
        <v>1524684.59</v>
      </c>
      <c r="D240" s="488">
        <v>168561.99</v>
      </c>
      <c r="E240" s="488"/>
      <c r="F240" s="489">
        <v>5910</v>
      </c>
      <c r="G240" s="488">
        <v>15564.9</v>
      </c>
      <c r="H240" s="488">
        <v>697.3</v>
      </c>
      <c r="I240" s="488"/>
      <c r="J240" s="488">
        <v>43934.95</v>
      </c>
      <c r="K240" s="488">
        <v>8654.65</v>
      </c>
      <c r="L240" s="488">
        <v>140277.04999999999</v>
      </c>
      <c r="M240" s="367">
        <f t="shared" si="12"/>
        <v>1908285.43</v>
      </c>
      <c r="N240" s="492">
        <v>4774.45</v>
      </c>
      <c r="O240" s="492">
        <v>26.7</v>
      </c>
      <c r="P240" s="492">
        <v>48691.45</v>
      </c>
      <c r="Q240" s="492">
        <v>1270.8499999999999</v>
      </c>
      <c r="R240" s="492">
        <v>62503.15</v>
      </c>
      <c r="S240" s="488">
        <v>1533.26</v>
      </c>
      <c r="T240" s="367">
        <f t="shared" si="13"/>
        <v>2027085.2899999998</v>
      </c>
      <c r="U240" s="490">
        <v>-71141.41</v>
      </c>
      <c r="V240" s="492"/>
      <c r="W240" s="492">
        <v>-69.349999999999994</v>
      </c>
      <c r="X240" s="496">
        <v>73.5</v>
      </c>
      <c r="Y240" s="497">
        <v>1</v>
      </c>
      <c r="Z240" s="498">
        <v>1006</v>
      </c>
      <c r="AA240" s="561"/>
      <c r="AB240" s="503"/>
      <c r="AC240" s="330">
        <f>AB240/VPI!R240</f>
        <v>0</v>
      </c>
      <c r="AD240" s="332">
        <f t="shared" si="14"/>
        <v>0</v>
      </c>
      <c r="AE240" s="330">
        <f>AD240/VPI!R240</f>
        <v>0</v>
      </c>
      <c r="AF240" s="503"/>
      <c r="AG240" s="503"/>
      <c r="AH240" s="503"/>
      <c r="AI240" s="568"/>
      <c r="AJ240" s="498"/>
      <c r="AK240" s="330">
        <f>AJ240/VPI!R240</f>
        <v>0</v>
      </c>
      <c r="AL240" s="332">
        <f t="shared" si="15"/>
        <v>0</v>
      </c>
      <c r="AM240" s="330">
        <f>AL240/VPI!R240</f>
        <v>0</v>
      </c>
      <c r="AN240" s="498"/>
      <c r="AO240" s="568"/>
      <c r="AP240" s="511">
        <v>6.9536742735297787</v>
      </c>
      <c r="AR240" s="564">
        <v>0</v>
      </c>
    </row>
    <row r="241" spans="1:44" x14ac:dyDescent="0.25">
      <c r="A241" s="559">
        <v>5819</v>
      </c>
      <c r="B241" s="560" t="s">
        <v>7</v>
      </c>
      <c r="C241" s="488">
        <v>901815.76</v>
      </c>
      <c r="D241" s="488">
        <v>141779.07999999999</v>
      </c>
      <c r="E241" s="488"/>
      <c r="F241" s="489"/>
      <c r="G241" s="488">
        <v>68095</v>
      </c>
      <c r="H241" s="488">
        <v>5130.55</v>
      </c>
      <c r="I241" s="488"/>
      <c r="J241" s="488">
        <v>26990.73</v>
      </c>
      <c r="K241" s="488">
        <v>2134.9499999999998</v>
      </c>
      <c r="L241" s="488">
        <v>98613.8</v>
      </c>
      <c r="M241" s="367">
        <f t="shared" si="12"/>
        <v>1244559.8699999999</v>
      </c>
      <c r="N241" s="492">
        <v>6163.55</v>
      </c>
      <c r="O241" s="492">
        <v>982.3</v>
      </c>
      <c r="P241" s="492">
        <v>133030.6</v>
      </c>
      <c r="Q241" s="492">
        <v>813.77</v>
      </c>
      <c r="R241" s="492">
        <v>43065.3</v>
      </c>
      <c r="S241" s="488">
        <v>6903.99</v>
      </c>
      <c r="T241" s="367">
        <f t="shared" si="13"/>
        <v>1435519.3800000001</v>
      </c>
      <c r="U241" s="490">
        <v>-11988.14</v>
      </c>
      <c r="V241" s="492"/>
      <c r="W241" s="492">
        <v>-7167.85</v>
      </c>
      <c r="X241" s="496">
        <v>69</v>
      </c>
      <c r="Y241" s="497">
        <v>1</v>
      </c>
      <c r="Z241" s="498">
        <v>454</v>
      </c>
      <c r="AA241" s="561"/>
      <c r="AB241" s="503"/>
      <c r="AC241" s="330">
        <f>AB241/VPI!R241</f>
        <v>0</v>
      </c>
      <c r="AD241" s="332">
        <f t="shared" si="14"/>
        <v>0</v>
      </c>
      <c r="AE241" s="330">
        <f>AD241/VPI!R241</f>
        <v>0</v>
      </c>
      <c r="AF241" s="503"/>
      <c r="AG241" s="503"/>
      <c r="AH241" s="503"/>
      <c r="AI241" s="568"/>
      <c r="AJ241" s="498"/>
      <c r="AK241" s="330">
        <f>AJ241/VPI!R241</f>
        <v>0</v>
      </c>
      <c r="AL241" s="332">
        <f t="shared" si="15"/>
        <v>0</v>
      </c>
      <c r="AM241" s="330">
        <f>AL241/VPI!R241</f>
        <v>0</v>
      </c>
      <c r="AN241" s="498"/>
      <c r="AO241" s="568"/>
      <c r="AP241" s="511">
        <v>7.4466867809553667</v>
      </c>
      <c r="AR241" s="564">
        <v>0</v>
      </c>
    </row>
    <row r="242" spans="1:44" x14ac:dyDescent="0.25">
      <c r="A242" s="559">
        <v>5821</v>
      </c>
      <c r="B242" s="560" t="s">
        <v>8</v>
      </c>
      <c r="C242" s="488">
        <v>505758.35</v>
      </c>
      <c r="D242" s="488">
        <v>78519.490000000005</v>
      </c>
      <c r="E242" s="488"/>
      <c r="F242" s="489">
        <v>2190</v>
      </c>
      <c r="G242" s="488">
        <v>2414.15</v>
      </c>
      <c r="H242" s="488">
        <v>1171.4000000000001</v>
      </c>
      <c r="I242" s="488"/>
      <c r="J242" s="488">
        <v>11835.33</v>
      </c>
      <c r="K242" s="488">
        <v>1460</v>
      </c>
      <c r="L242" s="488">
        <v>55103.7</v>
      </c>
      <c r="M242" s="367">
        <f t="shared" si="12"/>
        <v>658452.41999999993</v>
      </c>
      <c r="N242" s="492">
        <v>0</v>
      </c>
      <c r="O242" s="492"/>
      <c r="P242" s="492">
        <v>23719.15</v>
      </c>
      <c r="Q242" s="492">
        <v>19573.59</v>
      </c>
      <c r="R242" s="492">
        <v>748.8</v>
      </c>
      <c r="S242" s="488">
        <v>338.06</v>
      </c>
      <c r="T242" s="367">
        <f t="shared" si="13"/>
        <v>702832.02</v>
      </c>
      <c r="U242" s="490">
        <v>-52664.18</v>
      </c>
      <c r="V242" s="492"/>
      <c r="W242" s="492">
        <v>0</v>
      </c>
      <c r="X242" s="496">
        <v>72</v>
      </c>
      <c r="Y242" s="497">
        <v>1</v>
      </c>
      <c r="Z242" s="498">
        <v>377</v>
      </c>
      <c r="AA242" s="561"/>
      <c r="AB242" s="503"/>
      <c r="AC242" s="330">
        <f>AB242/VPI!R242</f>
        <v>0</v>
      </c>
      <c r="AD242" s="332">
        <f t="shared" si="14"/>
        <v>0</v>
      </c>
      <c r="AE242" s="330">
        <f>AD242/VPI!R242</f>
        <v>0</v>
      </c>
      <c r="AF242" s="503"/>
      <c r="AG242" s="503"/>
      <c r="AH242" s="503"/>
      <c r="AI242" s="568"/>
      <c r="AJ242" s="498"/>
      <c r="AK242" s="330">
        <f>AJ242/VPI!R242</f>
        <v>0</v>
      </c>
      <c r="AL242" s="332">
        <f t="shared" si="15"/>
        <v>0</v>
      </c>
      <c r="AM242" s="330">
        <f>AL242/VPI!R242</f>
        <v>0</v>
      </c>
      <c r="AN242" s="498"/>
      <c r="AO242" s="568"/>
      <c r="AP242" s="511">
        <v>-0.86720409057034298</v>
      </c>
      <c r="AR242" s="564">
        <v>0</v>
      </c>
    </row>
    <row r="243" spans="1:44" x14ac:dyDescent="0.25">
      <c r="A243" s="559">
        <v>5822</v>
      </c>
      <c r="B243" s="560" t="s">
        <v>9</v>
      </c>
      <c r="C243" s="488">
        <v>13040742.060000001</v>
      </c>
      <c r="D243" s="488">
        <v>1491754.99</v>
      </c>
      <c r="E243" s="488"/>
      <c r="F243" s="489"/>
      <c r="G243" s="488">
        <v>1402570.2</v>
      </c>
      <c r="H243" s="488">
        <v>91450.9</v>
      </c>
      <c r="I243" s="488"/>
      <c r="J243" s="488">
        <v>818011.44</v>
      </c>
      <c r="K243" s="488">
        <v>244834.4</v>
      </c>
      <c r="L243" s="488">
        <v>1657102.9</v>
      </c>
      <c r="M243" s="367">
        <f t="shared" si="12"/>
        <v>18746466.889999997</v>
      </c>
      <c r="N243" s="492">
        <v>290653</v>
      </c>
      <c r="O243" s="492">
        <v>469049.2</v>
      </c>
      <c r="P243" s="492">
        <v>940879.85</v>
      </c>
      <c r="Q243" s="492">
        <v>107270.34</v>
      </c>
      <c r="R243" s="492">
        <v>494896.85</v>
      </c>
      <c r="S243" s="488">
        <v>140862.04</v>
      </c>
      <c r="T243" s="367">
        <f t="shared" si="13"/>
        <v>21190078.169999998</v>
      </c>
      <c r="U243" s="490">
        <v>-506809.56</v>
      </c>
      <c r="V243" s="492"/>
      <c r="W243" s="492">
        <v>-972.14</v>
      </c>
      <c r="X243" s="496">
        <v>70</v>
      </c>
      <c r="Y243" s="497">
        <v>1</v>
      </c>
      <c r="Z243" s="498">
        <v>10577</v>
      </c>
      <c r="AA243" s="561"/>
      <c r="AB243" s="503"/>
      <c r="AC243" s="330">
        <f>AB243/VPI!R243</f>
        <v>0</v>
      </c>
      <c r="AD243" s="332">
        <f t="shared" si="14"/>
        <v>0</v>
      </c>
      <c r="AE243" s="330">
        <f>AD243/VPI!R243</f>
        <v>0</v>
      </c>
      <c r="AF243" s="503"/>
      <c r="AG243" s="503"/>
      <c r="AH243" s="503"/>
      <c r="AI243" s="568"/>
      <c r="AJ243" s="498"/>
      <c r="AK243" s="330">
        <f>AJ243/VPI!R243</f>
        <v>0</v>
      </c>
      <c r="AL243" s="332">
        <f t="shared" si="15"/>
        <v>0</v>
      </c>
      <c r="AM243" s="330">
        <f>AL243/VPI!R243</f>
        <v>0</v>
      </c>
      <c r="AN243" s="498"/>
      <c r="AO243" s="568"/>
      <c r="AP243" s="511">
        <v>-12.508503271733169</v>
      </c>
      <c r="AR243" s="564">
        <v>0</v>
      </c>
    </row>
    <row r="244" spans="1:44" x14ac:dyDescent="0.25">
      <c r="A244" s="559">
        <v>5827</v>
      </c>
      <c r="B244" s="560" t="s">
        <v>10</v>
      </c>
      <c r="C244" s="488">
        <v>492979.58</v>
      </c>
      <c r="D244" s="488">
        <v>57265.96</v>
      </c>
      <c r="E244" s="488"/>
      <c r="F244" s="489">
        <v>1570</v>
      </c>
      <c r="G244" s="488">
        <v>10116.25</v>
      </c>
      <c r="H244" s="488">
        <v>821.7</v>
      </c>
      <c r="I244" s="488"/>
      <c r="J244" s="488">
        <v>17940.78</v>
      </c>
      <c r="K244" s="488">
        <v>1659.35</v>
      </c>
      <c r="L244" s="488">
        <v>47239.75</v>
      </c>
      <c r="M244" s="367">
        <f t="shared" si="12"/>
        <v>629593.37</v>
      </c>
      <c r="N244" s="492">
        <v>0</v>
      </c>
      <c r="O244" s="492"/>
      <c r="P244" s="492"/>
      <c r="Q244" s="492">
        <v>9740.76</v>
      </c>
      <c r="R244" s="492"/>
      <c r="S244" s="488">
        <v>1031.27</v>
      </c>
      <c r="T244" s="367">
        <f t="shared" si="13"/>
        <v>640365.4</v>
      </c>
      <c r="U244" s="490">
        <v>-41819.800000000003</v>
      </c>
      <c r="V244" s="492"/>
      <c r="W244" s="492">
        <v>0</v>
      </c>
      <c r="X244" s="496">
        <v>78</v>
      </c>
      <c r="Y244" s="497">
        <v>1</v>
      </c>
      <c r="Z244" s="498">
        <v>315</v>
      </c>
      <c r="AA244" s="561"/>
      <c r="AB244" s="503"/>
      <c r="AC244" s="330">
        <f>AB244/VPI!R244</f>
        <v>0</v>
      </c>
      <c r="AD244" s="332">
        <f t="shared" si="14"/>
        <v>0</v>
      </c>
      <c r="AE244" s="330">
        <f>AD244/VPI!R244</f>
        <v>0</v>
      </c>
      <c r="AF244" s="503"/>
      <c r="AG244" s="503"/>
      <c r="AH244" s="503"/>
      <c r="AI244" s="568"/>
      <c r="AJ244" s="498"/>
      <c r="AK244" s="330">
        <f>AJ244/VPI!R244</f>
        <v>0</v>
      </c>
      <c r="AL244" s="332">
        <f t="shared" si="15"/>
        <v>0</v>
      </c>
      <c r="AM244" s="330">
        <f>AL244/VPI!R244</f>
        <v>0</v>
      </c>
      <c r="AN244" s="498"/>
      <c r="AO244" s="568"/>
      <c r="AP244" s="511">
        <v>3.9066568805828772</v>
      </c>
      <c r="AR244" s="564">
        <v>0</v>
      </c>
    </row>
    <row r="245" spans="1:44" x14ac:dyDescent="0.25">
      <c r="A245" s="559">
        <v>5828</v>
      </c>
      <c r="B245" s="560" t="s">
        <v>370</v>
      </c>
      <c r="C245" s="488">
        <v>172998.77</v>
      </c>
      <c r="D245" s="488">
        <v>30941.23</v>
      </c>
      <c r="E245" s="488"/>
      <c r="F245" s="489"/>
      <c r="G245" s="488">
        <v>339.95</v>
      </c>
      <c r="H245" s="488">
        <v>-48.5</v>
      </c>
      <c r="I245" s="488"/>
      <c r="J245" s="488">
        <v>455.75</v>
      </c>
      <c r="K245" s="488"/>
      <c r="L245" s="488">
        <v>26708.6</v>
      </c>
      <c r="M245" s="367">
        <f t="shared" si="12"/>
        <v>231395.80000000002</v>
      </c>
      <c r="N245" s="492">
        <v>0</v>
      </c>
      <c r="O245" s="492"/>
      <c r="P245" s="492">
        <v>151</v>
      </c>
      <c r="Q245" s="492"/>
      <c r="R245" s="492"/>
      <c r="S245" s="488">
        <v>27.48</v>
      </c>
      <c r="T245" s="367">
        <f t="shared" si="13"/>
        <v>231574.28000000003</v>
      </c>
      <c r="U245" s="490">
        <v>-462.44</v>
      </c>
      <c r="V245" s="492"/>
      <c r="W245" s="492">
        <v>0</v>
      </c>
      <c r="X245" s="496">
        <v>81.5</v>
      </c>
      <c r="Y245" s="497">
        <v>1.5</v>
      </c>
      <c r="Z245" s="498">
        <v>109</v>
      </c>
      <c r="AA245" s="561"/>
      <c r="AB245" s="503"/>
      <c r="AC245" s="330">
        <f>AB245/VPI!R245</f>
        <v>0</v>
      </c>
      <c r="AD245" s="332">
        <f t="shared" si="14"/>
        <v>0</v>
      </c>
      <c r="AE245" s="330">
        <f>AD245/VPI!R245</f>
        <v>0</v>
      </c>
      <c r="AF245" s="503"/>
      <c r="AG245" s="503"/>
      <c r="AH245" s="503"/>
      <c r="AI245" s="568"/>
      <c r="AJ245" s="498"/>
      <c r="AK245" s="330">
        <f>AJ245/VPI!R245</f>
        <v>0</v>
      </c>
      <c r="AL245" s="332">
        <f t="shared" si="15"/>
        <v>0</v>
      </c>
      <c r="AM245" s="330">
        <f>AL245/VPI!R245</f>
        <v>0</v>
      </c>
      <c r="AN245" s="498"/>
      <c r="AO245" s="568"/>
      <c r="AP245" s="511">
        <v>5.4321156157121084</v>
      </c>
      <c r="AR245" s="564">
        <v>0</v>
      </c>
    </row>
    <row r="246" spans="1:44" x14ac:dyDescent="0.25">
      <c r="A246" s="559">
        <v>5830</v>
      </c>
      <c r="B246" s="560" t="s">
        <v>11</v>
      </c>
      <c r="C246" s="488">
        <v>746087.6</v>
      </c>
      <c r="D246" s="488">
        <v>104424.58</v>
      </c>
      <c r="E246" s="488"/>
      <c r="F246" s="489"/>
      <c r="G246" s="488">
        <v>24336.400000000001</v>
      </c>
      <c r="H246" s="488">
        <v>427.5</v>
      </c>
      <c r="I246" s="488"/>
      <c r="J246" s="488">
        <v>13099.79</v>
      </c>
      <c r="K246" s="488">
        <v>-843.8</v>
      </c>
      <c r="L246" s="488">
        <v>67356.850000000006</v>
      </c>
      <c r="M246" s="367">
        <f t="shared" si="12"/>
        <v>954888.91999999993</v>
      </c>
      <c r="N246" s="492">
        <v>8502</v>
      </c>
      <c r="O246" s="492">
        <v>22623.8</v>
      </c>
      <c r="P246" s="492">
        <v>42543.6</v>
      </c>
      <c r="Q246" s="492"/>
      <c r="R246" s="492">
        <v>22666.35</v>
      </c>
      <c r="S246" s="488">
        <v>2334.84</v>
      </c>
      <c r="T246" s="367">
        <f t="shared" si="13"/>
        <v>1053559.51</v>
      </c>
      <c r="U246" s="490">
        <v>-5832.27</v>
      </c>
      <c r="V246" s="492"/>
      <c r="W246" s="492">
        <v>-61.9</v>
      </c>
      <c r="X246" s="496">
        <v>75</v>
      </c>
      <c r="Y246" s="497">
        <v>1</v>
      </c>
      <c r="Z246" s="498">
        <v>525</v>
      </c>
      <c r="AA246" s="561"/>
      <c r="AB246" s="503"/>
      <c r="AC246" s="330">
        <f>AB246/VPI!R246</f>
        <v>0</v>
      </c>
      <c r="AD246" s="332">
        <f t="shared" si="14"/>
        <v>0</v>
      </c>
      <c r="AE246" s="330">
        <f>AD246/VPI!R246</f>
        <v>0</v>
      </c>
      <c r="AF246" s="503"/>
      <c r="AG246" s="503"/>
      <c r="AH246" s="503"/>
      <c r="AI246" s="568"/>
      <c r="AJ246" s="498"/>
      <c r="AK246" s="330">
        <f>AJ246/VPI!R246</f>
        <v>0</v>
      </c>
      <c r="AL246" s="332">
        <f t="shared" si="15"/>
        <v>0</v>
      </c>
      <c r="AM246" s="330">
        <f>AL246/VPI!R246</f>
        <v>0</v>
      </c>
      <c r="AN246" s="498"/>
      <c r="AO246" s="568"/>
      <c r="AP246" s="511">
        <v>5.7754811804305692</v>
      </c>
      <c r="AR246" s="564">
        <v>0</v>
      </c>
    </row>
    <row r="247" spans="1:44" x14ac:dyDescent="0.25">
      <c r="A247" s="559">
        <v>5831</v>
      </c>
      <c r="B247" s="560" t="s">
        <v>347</v>
      </c>
      <c r="C247" s="488">
        <v>4588669.41</v>
      </c>
      <c r="D247" s="488">
        <v>657946.06000000006</v>
      </c>
      <c r="E247" s="488"/>
      <c r="F247" s="489"/>
      <c r="G247" s="488">
        <v>461684.75</v>
      </c>
      <c r="H247" s="488">
        <v>4239.8</v>
      </c>
      <c r="I247" s="488"/>
      <c r="J247" s="488">
        <v>164268.84</v>
      </c>
      <c r="K247" s="488">
        <v>34348.550000000003</v>
      </c>
      <c r="L247" s="488">
        <v>332733.84999999998</v>
      </c>
      <c r="M247" s="367">
        <f t="shared" si="12"/>
        <v>6243891.2599999998</v>
      </c>
      <c r="N247" s="492">
        <v>41333.550000000003</v>
      </c>
      <c r="O247" s="492">
        <v>246280.4</v>
      </c>
      <c r="P247" s="492">
        <v>209418.7</v>
      </c>
      <c r="Q247" s="492">
        <v>12137.79</v>
      </c>
      <c r="R247" s="492">
        <v>221585.1</v>
      </c>
      <c r="S247" s="488">
        <v>43929.15</v>
      </c>
      <c r="T247" s="367">
        <f t="shared" si="13"/>
        <v>7018575.9500000002</v>
      </c>
      <c r="U247" s="490">
        <v>-105721.29</v>
      </c>
      <c r="V247" s="492"/>
      <c r="W247" s="492">
        <v>-703.48</v>
      </c>
      <c r="X247" s="496">
        <v>70.5</v>
      </c>
      <c r="Y247" s="497">
        <v>0.6</v>
      </c>
      <c r="Z247" s="498">
        <v>3406</v>
      </c>
      <c r="AA247" s="561"/>
      <c r="AB247" s="503"/>
      <c r="AC247" s="330">
        <f>AB247/VPI!R247</f>
        <v>0</v>
      </c>
      <c r="AD247" s="332">
        <f t="shared" si="14"/>
        <v>0</v>
      </c>
      <c r="AE247" s="330">
        <f>AD247/VPI!R247</f>
        <v>0</v>
      </c>
      <c r="AF247" s="503"/>
      <c r="AG247" s="503"/>
      <c r="AH247" s="503"/>
      <c r="AI247" s="568"/>
      <c r="AJ247" s="498"/>
      <c r="AK247" s="330">
        <f>AJ247/VPI!R247</f>
        <v>0</v>
      </c>
      <c r="AL247" s="332">
        <f t="shared" si="15"/>
        <v>0</v>
      </c>
      <c r="AM247" s="330">
        <f>AL247/VPI!R247</f>
        <v>0</v>
      </c>
      <c r="AN247" s="498"/>
      <c r="AO247" s="568"/>
      <c r="AP247" s="511">
        <v>1.7780971445216356</v>
      </c>
      <c r="AR247" s="564">
        <v>0</v>
      </c>
    </row>
    <row r="248" spans="1:44" x14ac:dyDescent="0.25">
      <c r="A248" s="559">
        <v>5841</v>
      </c>
      <c r="B248" s="560" t="s">
        <v>12</v>
      </c>
      <c r="C248" s="488">
        <v>5948273.4100000001</v>
      </c>
      <c r="D248" s="488">
        <v>1892172.96</v>
      </c>
      <c r="E248" s="488"/>
      <c r="F248" s="489"/>
      <c r="G248" s="488">
        <v>288714.45</v>
      </c>
      <c r="H248" s="488">
        <v>23052.9</v>
      </c>
      <c r="I248" s="488">
        <v>1114271.6399999999</v>
      </c>
      <c r="J248" s="488">
        <v>430253.99</v>
      </c>
      <c r="K248" s="488">
        <v>22439.200000000001</v>
      </c>
      <c r="L248" s="488">
        <v>1610750.32</v>
      </c>
      <c r="M248" s="367">
        <f t="shared" si="12"/>
        <v>11329928.870000001</v>
      </c>
      <c r="N248" s="492">
        <v>20118.900000000001</v>
      </c>
      <c r="O248" s="492">
        <v>238371.5</v>
      </c>
      <c r="P248" s="492">
        <v>650312.35</v>
      </c>
      <c r="Q248" s="492">
        <v>24649.81</v>
      </c>
      <c r="R248" s="492">
        <v>502931.1</v>
      </c>
      <c r="S248" s="488">
        <v>29394.62</v>
      </c>
      <c r="T248" s="367">
        <f t="shared" si="13"/>
        <v>12795707.15</v>
      </c>
      <c r="U248" s="490">
        <v>-88719.48</v>
      </c>
      <c r="V248" s="492"/>
      <c r="W248" s="492">
        <v>-12159.23</v>
      </c>
      <c r="X248" s="496">
        <v>81.5</v>
      </c>
      <c r="Y248" s="497">
        <v>1.5</v>
      </c>
      <c r="Z248" s="498">
        <v>3625</v>
      </c>
      <c r="AA248" s="561"/>
      <c r="AB248" s="503"/>
      <c r="AC248" s="330">
        <f>AB248/VPI!R248</f>
        <v>0</v>
      </c>
      <c r="AD248" s="332">
        <f t="shared" si="14"/>
        <v>0</v>
      </c>
      <c r="AE248" s="330">
        <f>AD248/VPI!R248</f>
        <v>0</v>
      </c>
      <c r="AF248" s="503"/>
      <c r="AG248" s="503"/>
      <c r="AH248" s="503"/>
      <c r="AI248" s="568"/>
      <c r="AJ248" s="498"/>
      <c r="AK248" s="330">
        <f>AJ248/VPI!R248</f>
        <v>0</v>
      </c>
      <c r="AL248" s="332">
        <f t="shared" si="15"/>
        <v>0</v>
      </c>
      <c r="AM248" s="330">
        <f>AL248/VPI!R248</f>
        <v>0</v>
      </c>
      <c r="AN248" s="498"/>
      <c r="AO248" s="568"/>
      <c r="AP248" s="511">
        <v>11.002227117089458</v>
      </c>
      <c r="AR248" s="564">
        <v>0</v>
      </c>
    </row>
    <row r="249" spans="1:44" x14ac:dyDescent="0.25">
      <c r="A249" s="559">
        <v>5842</v>
      </c>
      <c r="B249" s="560" t="s">
        <v>13</v>
      </c>
      <c r="C249" s="488">
        <v>1149138.2</v>
      </c>
      <c r="D249" s="488">
        <v>191376.88</v>
      </c>
      <c r="E249" s="488"/>
      <c r="F249" s="489"/>
      <c r="G249" s="488">
        <v>101068.9</v>
      </c>
      <c r="H249" s="488">
        <v>-1849.6</v>
      </c>
      <c r="I249" s="488">
        <v>40726.51</v>
      </c>
      <c r="J249" s="488">
        <v>9322.93</v>
      </c>
      <c r="K249" s="488">
        <v>544.85</v>
      </c>
      <c r="L249" s="488">
        <v>148406.6</v>
      </c>
      <c r="M249" s="367">
        <f t="shared" si="12"/>
        <v>1638735.27</v>
      </c>
      <c r="N249" s="492">
        <v>984.5</v>
      </c>
      <c r="O249" s="492">
        <v>27639.599999999999</v>
      </c>
      <c r="P249" s="492">
        <v>42642.55</v>
      </c>
      <c r="Q249" s="492">
        <v>1351.14</v>
      </c>
      <c r="R249" s="492">
        <v>61267.199999999997</v>
      </c>
      <c r="S249" s="488">
        <v>9354.7800000000007</v>
      </c>
      <c r="T249" s="367">
        <f t="shared" si="13"/>
        <v>1781975.04</v>
      </c>
      <c r="U249" s="490">
        <v>-2700.36</v>
      </c>
      <c r="V249" s="492"/>
      <c r="W249" s="492">
        <v>-1.29</v>
      </c>
      <c r="X249" s="496">
        <v>81</v>
      </c>
      <c r="Y249" s="497">
        <v>1.5</v>
      </c>
      <c r="Z249" s="498">
        <v>529</v>
      </c>
      <c r="AA249" s="561"/>
      <c r="AB249" s="503"/>
      <c r="AC249" s="330">
        <f>AB249/VPI!R249</f>
        <v>0</v>
      </c>
      <c r="AD249" s="332">
        <f t="shared" si="14"/>
        <v>0</v>
      </c>
      <c r="AE249" s="330">
        <f>AD249/VPI!R249</f>
        <v>0</v>
      </c>
      <c r="AF249" s="503"/>
      <c r="AG249" s="503"/>
      <c r="AH249" s="503"/>
      <c r="AI249" s="568"/>
      <c r="AJ249" s="498"/>
      <c r="AK249" s="330">
        <f>AJ249/VPI!R249</f>
        <v>0</v>
      </c>
      <c r="AL249" s="332">
        <f t="shared" si="15"/>
        <v>0</v>
      </c>
      <c r="AM249" s="330">
        <f>AL249/VPI!R249</f>
        <v>0</v>
      </c>
      <c r="AN249" s="498"/>
      <c r="AO249" s="568"/>
      <c r="AP249" s="511">
        <v>11.616873209992526</v>
      </c>
      <c r="AR249" s="564">
        <v>0</v>
      </c>
    </row>
    <row r="250" spans="1:44" x14ac:dyDescent="0.25">
      <c r="A250" s="559">
        <v>5843</v>
      </c>
      <c r="B250" s="560" t="s">
        <v>14</v>
      </c>
      <c r="C250" s="488">
        <v>2212154.3199999998</v>
      </c>
      <c r="D250" s="488">
        <v>2068363.1</v>
      </c>
      <c r="E250" s="488"/>
      <c r="F250" s="489"/>
      <c r="G250" s="488">
        <v>159882</v>
      </c>
      <c r="H250" s="488">
        <v>17749.5</v>
      </c>
      <c r="I250" s="488">
        <v>1601657.67</v>
      </c>
      <c r="J250" s="488">
        <v>129341.75999999999</v>
      </c>
      <c r="K250" s="488">
        <v>32589.65</v>
      </c>
      <c r="L250" s="488">
        <v>1278447.7</v>
      </c>
      <c r="M250" s="367">
        <f t="shared" si="12"/>
        <v>7500185.7000000002</v>
      </c>
      <c r="N250" s="492">
        <v>7583.8</v>
      </c>
      <c r="O250" s="492">
        <v>261700.2</v>
      </c>
      <c r="P250" s="492">
        <v>746530.05</v>
      </c>
      <c r="Q250" s="492">
        <v>239.91</v>
      </c>
      <c r="R250" s="492">
        <v>1025865.7</v>
      </c>
      <c r="S250" s="488">
        <v>16747.78</v>
      </c>
      <c r="T250" s="367">
        <f t="shared" si="13"/>
        <v>9558853.1399999987</v>
      </c>
      <c r="U250" s="490">
        <v>-11943.04</v>
      </c>
      <c r="V250" s="492"/>
      <c r="W250" s="492">
        <v>-69999.460000000006</v>
      </c>
      <c r="X250" s="496">
        <v>79</v>
      </c>
      <c r="Y250" s="497">
        <v>1.5</v>
      </c>
      <c r="Z250" s="498">
        <v>796</v>
      </c>
      <c r="AA250" s="561"/>
      <c r="AB250" s="503"/>
      <c r="AC250" s="330">
        <f>AB250/VPI!R250</f>
        <v>0</v>
      </c>
      <c r="AD250" s="332">
        <f t="shared" si="14"/>
        <v>0</v>
      </c>
      <c r="AE250" s="330">
        <f>AD250/VPI!R250</f>
        <v>0</v>
      </c>
      <c r="AF250" s="503"/>
      <c r="AG250" s="503"/>
      <c r="AH250" s="503"/>
      <c r="AI250" s="568"/>
      <c r="AJ250" s="498"/>
      <c r="AK250" s="330">
        <f>AJ250/VPI!R250</f>
        <v>0</v>
      </c>
      <c r="AL250" s="332">
        <f t="shared" si="15"/>
        <v>0</v>
      </c>
      <c r="AM250" s="330">
        <f>AL250/VPI!R250</f>
        <v>0</v>
      </c>
      <c r="AN250" s="498"/>
      <c r="AO250" s="568"/>
      <c r="AP250" s="511">
        <v>45.473191324239167</v>
      </c>
      <c r="AR250" s="564">
        <v>0</v>
      </c>
    </row>
    <row r="251" spans="1:44" x14ac:dyDescent="0.25">
      <c r="A251" s="559">
        <v>5851</v>
      </c>
      <c r="B251" s="560" t="s">
        <v>15</v>
      </c>
      <c r="C251" s="488">
        <v>811292.05</v>
      </c>
      <c r="D251" s="488">
        <v>154331.95000000001</v>
      </c>
      <c r="E251" s="488"/>
      <c r="F251" s="489"/>
      <c r="G251" s="488">
        <v>89293.5</v>
      </c>
      <c r="H251" s="488">
        <v>1358.35</v>
      </c>
      <c r="I251" s="488">
        <v>79141.149999999994</v>
      </c>
      <c r="J251" s="488">
        <v>59596.25</v>
      </c>
      <c r="K251" s="488">
        <v>25553.4</v>
      </c>
      <c r="L251" s="488">
        <v>267479.3</v>
      </c>
      <c r="M251" s="367">
        <f t="shared" si="12"/>
        <v>1488045.95</v>
      </c>
      <c r="N251" s="492">
        <v>60435.25</v>
      </c>
      <c r="O251" s="492">
        <v>443569.7</v>
      </c>
      <c r="P251" s="492">
        <v>43813</v>
      </c>
      <c r="Q251" s="492">
        <v>1138.3399999999999</v>
      </c>
      <c r="R251" s="492">
        <v>129032.95</v>
      </c>
      <c r="S251" s="488">
        <v>8547</v>
      </c>
      <c r="T251" s="367">
        <f t="shared" si="13"/>
        <v>2174582.19</v>
      </c>
      <c r="U251" s="490">
        <v>-17229.66</v>
      </c>
      <c r="V251" s="492"/>
      <c r="W251" s="492">
        <v>-1364.4</v>
      </c>
      <c r="X251" s="496">
        <v>65</v>
      </c>
      <c r="Y251" s="497">
        <v>1.2</v>
      </c>
      <c r="Z251" s="498">
        <v>431</v>
      </c>
      <c r="AA251" s="561"/>
      <c r="AB251" s="503"/>
      <c r="AC251" s="330">
        <f>AB251/VPI!R251</f>
        <v>0</v>
      </c>
      <c r="AD251" s="332">
        <f t="shared" si="14"/>
        <v>0</v>
      </c>
      <c r="AE251" s="330">
        <f>AD251/VPI!R251</f>
        <v>0</v>
      </c>
      <c r="AF251" s="503"/>
      <c r="AG251" s="503"/>
      <c r="AH251" s="503"/>
      <c r="AI251" s="568"/>
      <c r="AJ251" s="498"/>
      <c r="AK251" s="330">
        <f>AJ251/VPI!R251</f>
        <v>0</v>
      </c>
      <c r="AL251" s="332">
        <f t="shared" si="15"/>
        <v>0</v>
      </c>
      <c r="AM251" s="330">
        <f>AL251/VPI!R251</f>
        <v>0</v>
      </c>
      <c r="AN251" s="498"/>
      <c r="AO251" s="568"/>
      <c r="AP251" s="511">
        <v>30.900877647945439</v>
      </c>
      <c r="AR251" s="564">
        <v>0</v>
      </c>
    </row>
    <row r="252" spans="1:44" x14ac:dyDescent="0.25">
      <c r="A252" s="559">
        <v>5852</v>
      </c>
      <c r="B252" s="560" t="s">
        <v>16</v>
      </c>
      <c r="C252" s="488">
        <v>1166667.69</v>
      </c>
      <c r="D252" s="488">
        <v>653531.43000000005</v>
      </c>
      <c r="E252" s="488"/>
      <c r="F252" s="489"/>
      <c r="G252" s="488">
        <v>29042.6</v>
      </c>
      <c r="H252" s="488">
        <v>5070.6000000000004</v>
      </c>
      <c r="I252" s="488">
        <v>152450.5</v>
      </c>
      <c r="J252" s="488">
        <v>60415.92</v>
      </c>
      <c r="K252" s="488">
        <v>11979.35</v>
      </c>
      <c r="L252" s="488">
        <v>151622.85</v>
      </c>
      <c r="M252" s="367">
        <f t="shared" si="12"/>
        <v>2230780.9400000004</v>
      </c>
      <c r="N252" s="492">
        <v>8354.15</v>
      </c>
      <c r="O252" s="492">
        <v>2469652.7999999998</v>
      </c>
      <c r="P252" s="492">
        <v>46200</v>
      </c>
      <c r="Q252" s="492">
        <v>-9680</v>
      </c>
      <c r="R252" s="492"/>
      <c r="S252" s="488">
        <v>3216.32</v>
      </c>
      <c r="T252" s="367">
        <f t="shared" si="13"/>
        <v>4748524.2100000009</v>
      </c>
      <c r="U252" s="490">
        <v>-3293.81</v>
      </c>
      <c r="V252" s="492"/>
      <c r="W252" s="492">
        <v>-5518.22</v>
      </c>
      <c r="X252" s="496">
        <v>62</v>
      </c>
      <c r="Y252" s="497">
        <v>0.75</v>
      </c>
      <c r="Z252" s="498">
        <v>521</v>
      </c>
      <c r="AA252" s="561"/>
      <c r="AB252" s="503"/>
      <c r="AC252" s="330">
        <f>AB252/VPI!R252</f>
        <v>0</v>
      </c>
      <c r="AD252" s="332">
        <f t="shared" si="14"/>
        <v>0</v>
      </c>
      <c r="AE252" s="330">
        <f>AD252/VPI!R252</f>
        <v>0</v>
      </c>
      <c r="AF252" s="503"/>
      <c r="AG252" s="503"/>
      <c r="AH252" s="503"/>
      <c r="AI252" s="568"/>
      <c r="AJ252" s="498"/>
      <c r="AK252" s="330">
        <f>AJ252/VPI!R252</f>
        <v>0</v>
      </c>
      <c r="AL252" s="332">
        <f t="shared" si="15"/>
        <v>0</v>
      </c>
      <c r="AM252" s="330">
        <f>AL252/VPI!R252</f>
        <v>0</v>
      </c>
      <c r="AN252" s="498"/>
      <c r="AO252" s="568"/>
      <c r="AP252" s="511">
        <v>33.986920752741163</v>
      </c>
      <c r="AR252" s="564">
        <v>0</v>
      </c>
    </row>
    <row r="253" spans="1:44" x14ac:dyDescent="0.25">
      <c r="A253" s="559">
        <v>5853</v>
      </c>
      <c r="B253" s="560" t="s">
        <v>17</v>
      </c>
      <c r="C253" s="488">
        <f>2189921-9335-9335</f>
        <v>2171251</v>
      </c>
      <c r="D253" s="488">
        <v>463209.24</v>
      </c>
      <c r="E253" s="488"/>
      <c r="F253" s="489"/>
      <c r="G253" s="488">
        <v>108684.8</v>
      </c>
      <c r="H253" s="488">
        <v>3551.55</v>
      </c>
      <c r="I253" s="488">
        <v>117726.65</v>
      </c>
      <c r="J253" s="488">
        <v>19579.939999999999</v>
      </c>
      <c r="K253" s="488">
        <v>12130.3</v>
      </c>
      <c r="L253" s="488">
        <v>227275</v>
      </c>
      <c r="M253" s="367">
        <f t="shared" si="12"/>
        <v>3123408.4799999995</v>
      </c>
      <c r="N253" s="492">
        <v>81881.25</v>
      </c>
      <c r="O253" s="492">
        <v>163624.45000000001</v>
      </c>
      <c r="P253" s="492">
        <v>132825</v>
      </c>
      <c r="Q253" s="492">
        <v>1282.55</v>
      </c>
      <c r="R253" s="492">
        <v>29785.9</v>
      </c>
      <c r="S253" s="488">
        <v>10582.07</v>
      </c>
      <c r="T253" s="367">
        <f t="shared" si="13"/>
        <v>3543389.6999999993</v>
      </c>
      <c r="U253" s="490">
        <v>-29778.06</v>
      </c>
      <c r="V253" s="492"/>
      <c r="W253" s="492">
        <v>-2027.3</v>
      </c>
      <c r="X253" s="496">
        <v>71</v>
      </c>
      <c r="Y253" s="497">
        <v>1</v>
      </c>
      <c r="Z253" s="498">
        <v>796</v>
      </c>
      <c r="AA253" s="561"/>
      <c r="AB253" s="503"/>
      <c r="AC253" s="330">
        <f>AB253/VPI!R253</f>
        <v>0</v>
      </c>
      <c r="AD253" s="332">
        <f t="shared" si="14"/>
        <v>0</v>
      </c>
      <c r="AE253" s="330">
        <f>AD253/VPI!R253</f>
        <v>0</v>
      </c>
      <c r="AF253" s="503"/>
      <c r="AG253" s="503"/>
      <c r="AH253" s="503"/>
      <c r="AI253" s="568"/>
      <c r="AJ253" s="498"/>
      <c r="AK253" s="330">
        <f>AJ253/VPI!R253</f>
        <v>0</v>
      </c>
      <c r="AL253" s="332">
        <f t="shared" si="15"/>
        <v>0</v>
      </c>
      <c r="AM253" s="330">
        <f>AL253/VPI!R253</f>
        <v>0</v>
      </c>
      <c r="AN253" s="498"/>
      <c r="AO253" s="568"/>
      <c r="AP253" s="511">
        <v>32.251230600408569</v>
      </c>
      <c r="AR253" s="564">
        <v>0</v>
      </c>
    </row>
    <row r="254" spans="1:44" x14ac:dyDescent="0.25">
      <c r="A254" s="559">
        <v>5854</v>
      </c>
      <c r="B254" s="560" t="s">
        <v>18</v>
      </c>
      <c r="C254" s="488">
        <v>877937.27</v>
      </c>
      <c r="D254" s="488">
        <v>210329.34</v>
      </c>
      <c r="E254" s="488"/>
      <c r="F254" s="489"/>
      <c r="G254" s="488">
        <v>137051.4</v>
      </c>
      <c r="H254" s="488">
        <v>2707.8</v>
      </c>
      <c r="I254" s="488"/>
      <c r="J254" s="488">
        <v>10572.09</v>
      </c>
      <c r="K254" s="488">
        <v>3397.4</v>
      </c>
      <c r="L254" s="488">
        <v>119206.9</v>
      </c>
      <c r="M254" s="367">
        <f t="shared" si="12"/>
        <v>1361202.2</v>
      </c>
      <c r="N254" s="492">
        <v>14587.05</v>
      </c>
      <c r="O254" s="492">
        <v>6929.6</v>
      </c>
      <c r="P254" s="492">
        <v>35075.699999999997</v>
      </c>
      <c r="Q254" s="492">
        <v>159997.62</v>
      </c>
      <c r="R254" s="492"/>
      <c r="S254" s="488">
        <v>13177.03</v>
      </c>
      <c r="T254" s="367">
        <f t="shared" si="13"/>
        <v>1590969.2</v>
      </c>
      <c r="U254" s="490">
        <v>-160778.13</v>
      </c>
      <c r="V254" s="492"/>
      <c r="W254" s="492">
        <v>-563.75</v>
      </c>
      <c r="X254" s="496">
        <v>78.5</v>
      </c>
      <c r="Y254" s="497">
        <v>1.5</v>
      </c>
      <c r="Z254" s="498">
        <v>412</v>
      </c>
      <c r="AA254" s="561"/>
      <c r="AB254" s="503"/>
      <c r="AC254" s="330">
        <f>AB254/VPI!R254</f>
        <v>0</v>
      </c>
      <c r="AD254" s="332">
        <f t="shared" si="14"/>
        <v>0</v>
      </c>
      <c r="AE254" s="330">
        <f>AD254/VPI!R254</f>
        <v>0</v>
      </c>
      <c r="AF254" s="503"/>
      <c r="AG254" s="503"/>
      <c r="AH254" s="503"/>
      <c r="AI254" s="568"/>
      <c r="AJ254" s="498"/>
      <c r="AK254" s="330">
        <f>AJ254/VPI!R254</f>
        <v>0</v>
      </c>
      <c r="AL254" s="332">
        <f t="shared" si="15"/>
        <v>0</v>
      </c>
      <c r="AM254" s="330">
        <f>AL254/VPI!R254</f>
        <v>0</v>
      </c>
      <c r="AN254" s="498"/>
      <c r="AO254" s="568"/>
      <c r="AP254" s="511">
        <v>19.519585976641139</v>
      </c>
      <c r="AR254" s="564">
        <v>0</v>
      </c>
    </row>
    <row r="255" spans="1:44" x14ac:dyDescent="0.25">
      <c r="A255" s="559">
        <v>5855</v>
      </c>
      <c r="B255" s="560" t="s">
        <v>19</v>
      </c>
      <c r="C255" s="488">
        <v>1981485.97</v>
      </c>
      <c r="D255" s="488">
        <v>1099014.6399999999</v>
      </c>
      <c r="E255" s="488"/>
      <c r="F255" s="489"/>
      <c r="G255" s="488">
        <v>40949.15</v>
      </c>
      <c r="H255" s="488">
        <v>-3051.35</v>
      </c>
      <c r="I255" s="488">
        <v>760588.21</v>
      </c>
      <c r="J255" s="488">
        <v>14418.35</v>
      </c>
      <c r="K255" s="488">
        <v>13542</v>
      </c>
      <c r="L255" s="488">
        <v>392206.7</v>
      </c>
      <c r="M255" s="367">
        <f t="shared" ref="M255:M305" si="16">SUM(C255:L255)</f>
        <v>4299153.67</v>
      </c>
      <c r="N255" s="492">
        <v>3389.3</v>
      </c>
      <c r="O255" s="492">
        <v>65365</v>
      </c>
      <c r="P255" s="492">
        <v>90652.5</v>
      </c>
      <c r="Q255" s="492"/>
      <c r="R255" s="492">
        <v>159188.45000000001</v>
      </c>
      <c r="S255" s="488">
        <v>3573.15</v>
      </c>
      <c r="T255" s="367">
        <f t="shared" ref="T255:T305" si="17">SUM(M255:S255)</f>
        <v>4621322.07</v>
      </c>
      <c r="U255" s="490">
        <v>-9187.56</v>
      </c>
      <c r="V255" s="492"/>
      <c r="W255" s="492">
        <v>-19636.34</v>
      </c>
      <c r="X255" s="496">
        <v>53</v>
      </c>
      <c r="Y255" s="497">
        <v>1</v>
      </c>
      <c r="Z255" s="498">
        <v>632</v>
      </c>
      <c r="AA255" s="561"/>
      <c r="AB255" s="503"/>
      <c r="AC255" s="330">
        <f>AB255/VPI!R255</f>
        <v>0</v>
      </c>
      <c r="AD255" s="332">
        <f t="shared" si="14"/>
        <v>0</v>
      </c>
      <c r="AE255" s="330">
        <f>AD255/VPI!R255</f>
        <v>0</v>
      </c>
      <c r="AF255" s="503"/>
      <c r="AG255" s="503"/>
      <c r="AH255" s="503"/>
      <c r="AI255" s="568"/>
      <c r="AJ255" s="498"/>
      <c r="AK255" s="330">
        <f>AJ255/VPI!R255</f>
        <v>0</v>
      </c>
      <c r="AL255" s="332">
        <f t="shared" si="15"/>
        <v>0</v>
      </c>
      <c r="AM255" s="330">
        <f>AL255/VPI!R255</f>
        <v>0</v>
      </c>
      <c r="AN255" s="498"/>
      <c r="AO255" s="568"/>
      <c r="AP255" s="511">
        <v>43.136924225992765</v>
      </c>
      <c r="AR255" s="564">
        <v>0</v>
      </c>
    </row>
    <row r="256" spans="1:44" x14ac:dyDescent="0.25">
      <c r="A256" s="559">
        <v>5856</v>
      </c>
      <c r="B256" s="560" t="s">
        <v>20</v>
      </c>
      <c r="C256" s="488">
        <v>1804537.96</v>
      </c>
      <c r="D256" s="488">
        <v>413817.68</v>
      </c>
      <c r="E256" s="488"/>
      <c r="F256" s="489"/>
      <c r="G256" s="488">
        <v>10055.6</v>
      </c>
      <c r="H256" s="488">
        <v>147.25</v>
      </c>
      <c r="I256" s="488">
        <v>198491.95</v>
      </c>
      <c r="J256" s="488">
        <v>32411.29</v>
      </c>
      <c r="K256" s="488">
        <v>15.75</v>
      </c>
      <c r="L256" s="514">
        <v>268057.40000000002</v>
      </c>
      <c r="M256" s="367">
        <f t="shared" si="16"/>
        <v>2727534.8800000004</v>
      </c>
      <c r="N256" s="492">
        <v>10274.25</v>
      </c>
      <c r="O256" s="492">
        <v>24307.8</v>
      </c>
      <c r="P256" s="492">
        <v>140234.85</v>
      </c>
      <c r="Q256" s="492">
        <v>6253.57</v>
      </c>
      <c r="R256" s="492">
        <v>93509.5</v>
      </c>
      <c r="S256" s="488">
        <v>961.96</v>
      </c>
      <c r="T256" s="367">
        <f t="shared" si="17"/>
        <v>3003076.81</v>
      </c>
      <c r="U256" s="490">
        <v>-3528.12</v>
      </c>
      <c r="V256" s="492"/>
      <c r="W256" s="492">
        <v>-3606.34</v>
      </c>
      <c r="X256" s="496">
        <v>66.5</v>
      </c>
      <c r="Y256" s="497">
        <v>1.3</v>
      </c>
      <c r="Z256" s="498">
        <v>768</v>
      </c>
      <c r="AA256" s="561"/>
      <c r="AB256" s="503"/>
      <c r="AC256" s="330">
        <f>AB256/VPI!R256</f>
        <v>0</v>
      </c>
      <c r="AD256" s="332">
        <f t="shared" si="14"/>
        <v>0</v>
      </c>
      <c r="AE256" s="330">
        <f>AD256/VPI!R256</f>
        <v>0</v>
      </c>
      <c r="AF256" s="503"/>
      <c r="AG256" s="503"/>
      <c r="AH256" s="503"/>
      <c r="AI256" s="568"/>
      <c r="AJ256" s="498"/>
      <c r="AK256" s="330">
        <f>AJ256/VPI!R256</f>
        <v>0</v>
      </c>
      <c r="AL256" s="332">
        <f t="shared" si="15"/>
        <v>0</v>
      </c>
      <c r="AM256" s="330">
        <f>AL256/VPI!R256</f>
        <v>0</v>
      </c>
      <c r="AN256" s="498"/>
      <c r="AO256" s="568"/>
      <c r="AP256" s="511">
        <v>28.182480444297124</v>
      </c>
      <c r="AR256" s="564">
        <v>0</v>
      </c>
    </row>
    <row r="257" spans="1:44" x14ac:dyDescent="0.25">
      <c r="A257" s="559">
        <v>5857</v>
      </c>
      <c r="B257" s="560" t="s">
        <v>21</v>
      </c>
      <c r="C257" s="488">
        <v>4721591.26</v>
      </c>
      <c r="D257" s="488">
        <v>723203.97</v>
      </c>
      <c r="E257" s="488"/>
      <c r="F257" s="489"/>
      <c r="G257" s="488">
        <v>118100.15</v>
      </c>
      <c r="H257" s="488">
        <v>8423.5</v>
      </c>
      <c r="I257" s="488"/>
      <c r="J257" s="488">
        <v>3450.64</v>
      </c>
      <c r="K257" s="488">
        <v>19306.05</v>
      </c>
      <c r="L257" s="488">
        <v>427922.65</v>
      </c>
      <c r="M257" s="367">
        <f t="shared" si="16"/>
        <v>6021998.2199999997</v>
      </c>
      <c r="N257" s="492">
        <v>88373.25</v>
      </c>
      <c r="O257" s="492">
        <v>9853.5</v>
      </c>
      <c r="P257" s="492">
        <v>143728.5</v>
      </c>
      <c r="Q257" s="492">
        <v>67.849999999999994</v>
      </c>
      <c r="R257" s="492">
        <v>89214.35</v>
      </c>
      <c r="S257" s="488">
        <v>11929.14</v>
      </c>
      <c r="T257" s="367">
        <f t="shared" si="17"/>
        <v>6365164.8099999987</v>
      </c>
      <c r="U257" s="490">
        <v>-35117.86</v>
      </c>
      <c r="V257" s="492"/>
      <c r="W257" s="492">
        <v>-2540.4499999999998</v>
      </c>
      <c r="X257" s="496">
        <v>64.5</v>
      </c>
      <c r="Y257" s="497">
        <v>1</v>
      </c>
      <c r="Z257" s="498">
        <v>1475</v>
      </c>
      <c r="AA257" s="561"/>
      <c r="AB257" s="503"/>
      <c r="AC257" s="330">
        <f>AB257/VPI!R257</f>
        <v>0</v>
      </c>
      <c r="AD257" s="332">
        <f t="shared" si="14"/>
        <v>0</v>
      </c>
      <c r="AE257" s="330">
        <f>AD257/VPI!R257</f>
        <v>0</v>
      </c>
      <c r="AF257" s="503"/>
      <c r="AG257" s="503"/>
      <c r="AH257" s="503"/>
      <c r="AI257" s="568"/>
      <c r="AJ257" s="498"/>
      <c r="AK257" s="330">
        <f>AJ257/VPI!R257</f>
        <v>0</v>
      </c>
      <c r="AL257" s="332">
        <f t="shared" si="15"/>
        <v>0</v>
      </c>
      <c r="AM257" s="330">
        <f>AL257/VPI!R257</f>
        <v>0</v>
      </c>
      <c r="AN257" s="498"/>
      <c r="AO257" s="568"/>
      <c r="AP257" s="511">
        <v>30.123606941159188</v>
      </c>
      <c r="AR257" s="564">
        <v>0</v>
      </c>
    </row>
    <row r="258" spans="1:44" x14ac:dyDescent="0.25">
      <c r="A258" s="559">
        <v>5858</v>
      </c>
      <c r="B258" s="560" t="s">
        <v>22</v>
      </c>
      <c r="C258" s="488">
        <v>1505460.7</v>
      </c>
      <c r="D258" s="488">
        <v>386444.87</v>
      </c>
      <c r="E258" s="488"/>
      <c r="F258" s="489"/>
      <c r="G258" s="488">
        <v>922.95</v>
      </c>
      <c r="H258" s="488">
        <v>1050.25</v>
      </c>
      <c r="I258" s="488">
        <v>-68429.600000000006</v>
      </c>
      <c r="J258" s="488">
        <v>37126.93</v>
      </c>
      <c r="K258" s="488">
        <v>-498.9</v>
      </c>
      <c r="L258" s="488">
        <v>256174.75</v>
      </c>
      <c r="M258" s="367">
        <f t="shared" si="16"/>
        <v>2118251.9499999997</v>
      </c>
      <c r="N258" s="492">
        <v>8976.4</v>
      </c>
      <c r="O258" s="492">
        <v>280082.8</v>
      </c>
      <c r="P258" s="492">
        <v>114407.75</v>
      </c>
      <c r="Q258" s="492">
        <v>9479.08</v>
      </c>
      <c r="R258" s="492">
        <v>46186.5</v>
      </c>
      <c r="S258" s="488">
        <v>186.04</v>
      </c>
      <c r="T258" s="367">
        <f t="shared" si="17"/>
        <v>2577570.5199999996</v>
      </c>
      <c r="U258" s="490">
        <v>-21422.7</v>
      </c>
      <c r="V258" s="492"/>
      <c r="W258" s="492">
        <v>-4477.28</v>
      </c>
      <c r="X258" s="496">
        <v>58.5</v>
      </c>
      <c r="Y258" s="497">
        <v>1.5</v>
      </c>
      <c r="Z258" s="498">
        <v>629</v>
      </c>
      <c r="AA258" s="561"/>
      <c r="AB258" s="503"/>
      <c r="AC258" s="330">
        <f>AB258/VPI!R258</f>
        <v>0</v>
      </c>
      <c r="AD258" s="332">
        <f t="shared" si="14"/>
        <v>0</v>
      </c>
      <c r="AE258" s="330">
        <f>AD258/VPI!R258</f>
        <v>0</v>
      </c>
      <c r="AF258" s="503"/>
      <c r="AG258" s="503"/>
      <c r="AH258" s="503"/>
      <c r="AI258" s="568"/>
      <c r="AJ258" s="498"/>
      <c r="AK258" s="330">
        <f>AJ258/VPI!R258</f>
        <v>0</v>
      </c>
      <c r="AL258" s="332">
        <f t="shared" si="15"/>
        <v>0</v>
      </c>
      <c r="AM258" s="330">
        <f>AL258/VPI!R258</f>
        <v>0</v>
      </c>
      <c r="AN258" s="498"/>
      <c r="AO258" s="568"/>
      <c r="AP258" s="511">
        <v>32.765416248007988</v>
      </c>
      <c r="AR258" s="564">
        <v>0</v>
      </c>
    </row>
    <row r="259" spans="1:44" x14ac:dyDescent="0.25">
      <c r="A259" s="559">
        <v>5859</v>
      </c>
      <c r="B259" s="560" t="s">
        <v>23</v>
      </c>
      <c r="C259" s="488">
        <v>8647160.5500000007</v>
      </c>
      <c r="D259" s="488">
        <v>1795713.39</v>
      </c>
      <c r="E259" s="488"/>
      <c r="F259" s="489"/>
      <c r="G259" s="488">
        <v>105656.55</v>
      </c>
      <c r="H259" s="488">
        <v>41802.5</v>
      </c>
      <c r="I259" s="488">
        <v>378539.3</v>
      </c>
      <c r="J259" s="488">
        <v>38916.120000000003</v>
      </c>
      <c r="K259" s="488">
        <v>25781.55</v>
      </c>
      <c r="L259" s="488">
        <v>711721.15</v>
      </c>
      <c r="M259" s="367">
        <f t="shared" si="16"/>
        <v>11745291.110000003</v>
      </c>
      <c r="N259" s="492">
        <v>119516.25</v>
      </c>
      <c r="O259" s="492">
        <v>201299</v>
      </c>
      <c r="P259" s="492">
        <v>438249.5</v>
      </c>
      <c r="Q259" s="492">
        <v>4005.05</v>
      </c>
      <c r="R259" s="492">
        <v>357589.75</v>
      </c>
      <c r="S259" s="488">
        <v>13903</v>
      </c>
      <c r="T259" s="367">
        <f t="shared" si="17"/>
        <v>12879853.660000004</v>
      </c>
      <c r="U259" s="490">
        <v>-62344.05</v>
      </c>
      <c r="V259" s="492"/>
      <c r="W259" s="492">
        <v>-16250.5</v>
      </c>
      <c r="X259" s="496">
        <v>63.5</v>
      </c>
      <c r="Y259" s="497">
        <v>1</v>
      </c>
      <c r="Z259" s="498">
        <v>2784</v>
      </c>
      <c r="AA259" s="561"/>
      <c r="AB259" s="503"/>
      <c r="AC259" s="330">
        <f>AB259/VPI!R259</f>
        <v>0</v>
      </c>
      <c r="AD259" s="332">
        <f t="shared" si="14"/>
        <v>0</v>
      </c>
      <c r="AE259" s="330">
        <f>AD259/VPI!R259</f>
        <v>0</v>
      </c>
      <c r="AF259" s="503"/>
      <c r="AG259" s="503"/>
      <c r="AH259" s="503"/>
      <c r="AI259" s="568"/>
      <c r="AJ259" s="498"/>
      <c r="AK259" s="330">
        <f>AJ259/VPI!R259</f>
        <v>0</v>
      </c>
      <c r="AL259" s="332">
        <f t="shared" si="15"/>
        <v>0</v>
      </c>
      <c r="AM259" s="330">
        <f>AL259/VPI!R259</f>
        <v>0</v>
      </c>
      <c r="AN259" s="498"/>
      <c r="AO259" s="568"/>
      <c r="AP259" s="511">
        <v>27.931107023644987</v>
      </c>
      <c r="AR259" s="564">
        <v>0</v>
      </c>
    </row>
    <row r="260" spans="1:44" x14ac:dyDescent="0.25">
      <c r="A260" s="559">
        <v>5860</v>
      </c>
      <c r="B260" s="560" t="s">
        <v>24</v>
      </c>
      <c r="C260" s="488">
        <v>4146654.36</v>
      </c>
      <c r="D260" s="488">
        <v>1604362.12</v>
      </c>
      <c r="E260" s="488"/>
      <c r="F260" s="489"/>
      <c r="G260" s="488">
        <v>95116</v>
      </c>
      <c r="H260" s="488">
        <v>15865.35</v>
      </c>
      <c r="I260" s="488">
        <v>296242.52</v>
      </c>
      <c r="J260" s="488">
        <v>79190.78</v>
      </c>
      <c r="K260" s="488">
        <v>34459.9</v>
      </c>
      <c r="L260" s="488">
        <v>741601.55</v>
      </c>
      <c r="M260" s="367">
        <f t="shared" si="16"/>
        <v>7013492.5800000001</v>
      </c>
      <c r="N260" s="492">
        <v>34043.300000000003</v>
      </c>
      <c r="O260" s="492">
        <v>74203.399999999994</v>
      </c>
      <c r="P260" s="492">
        <v>205824.2</v>
      </c>
      <c r="Q260" s="492">
        <v>13408.76</v>
      </c>
      <c r="R260" s="492">
        <v>212852.7</v>
      </c>
      <c r="S260" s="488">
        <v>10463.75</v>
      </c>
      <c r="T260" s="367">
        <f t="shared" si="17"/>
        <v>7564288.6900000004</v>
      </c>
      <c r="U260" s="490">
        <v>-104263.87</v>
      </c>
      <c r="V260" s="492"/>
      <c r="W260" s="492">
        <v>-33615.82</v>
      </c>
      <c r="X260" s="496">
        <v>58.5</v>
      </c>
      <c r="Y260" s="497">
        <v>1.3</v>
      </c>
      <c r="Z260" s="498">
        <v>1600</v>
      </c>
      <c r="AA260" s="561"/>
      <c r="AB260" s="503"/>
      <c r="AC260" s="330">
        <f>AB260/VPI!R260</f>
        <v>0</v>
      </c>
      <c r="AD260" s="332">
        <f t="shared" si="14"/>
        <v>0</v>
      </c>
      <c r="AE260" s="330">
        <f>AD260/VPI!R260</f>
        <v>0</v>
      </c>
      <c r="AF260" s="503"/>
      <c r="AG260" s="503"/>
      <c r="AH260" s="503"/>
      <c r="AI260" s="568"/>
      <c r="AJ260" s="498"/>
      <c r="AK260" s="330">
        <f>AJ260/VPI!R260</f>
        <v>0</v>
      </c>
      <c r="AL260" s="332">
        <f t="shared" si="15"/>
        <v>0</v>
      </c>
      <c r="AM260" s="330">
        <f>AL260/VPI!R260</f>
        <v>0</v>
      </c>
      <c r="AN260" s="498"/>
      <c r="AO260" s="568"/>
      <c r="AP260" s="511">
        <v>36.197819184760021</v>
      </c>
      <c r="AR260" s="564">
        <v>0</v>
      </c>
    </row>
    <row r="261" spans="1:44" x14ac:dyDescent="0.25">
      <c r="A261" s="559">
        <v>5861</v>
      </c>
      <c r="B261" s="560" t="s">
        <v>25</v>
      </c>
      <c r="C261" s="488">
        <v>14237460</v>
      </c>
      <c r="D261" s="488">
        <v>3299819.03</v>
      </c>
      <c r="E261" s="488"/>
      <c r="F261" s="489"/>
      <c r="G261" s="488">
        <v>34613083.579999998</v>
      </c>
      <c r="H261" s="488">
        <v>1184658.5</v>
      </c>
      <c r="I261" s="488">
        <v>427775.5</v>
      </c>
      <c r="J261" s="488">
        <v>1262795.26</v>
      </c>
      <c r="K261" s="488">
        <v>394938.9</v>
      </c>
      <c r="L261" s="488">
        <v>1953362</v>
      </c>
      <c r="M261" s="367">
        <f t="shared" si="16"/>
        <v>57373892.769999996</v>
      </c>
      <c r="N261" s="492">
        <v>561951.80000000005</v>
      </c>
      <c r="O261" s="492">
        <v>386989.4</v>
      </c>
      <c r="P261" s="492">
        <v>2252791.4500000002</v>
      </c>
      <c r="Q261" s="492">
        <v>27966.16</v>
      </c>
      <c r="R261" s="492">
        <v>591659.25</v>
      </c>
      <c r="S261" s="488">
        <v>3375148.45</v>
      </c>
      <c r="T261" s="367">
        <f t="shared" si="17"/>
        <v>64570399.279999994</v>
      </c>
      <c r="U261" s="490">
        <v>-108477.67</v>
      </c>
      <c r="V261" s="492"/>
      <c r="W261" s="492">
        <v>-50893.1</v>
      </c>
      <c r="X261" s="496">
        <v>59.5</v>
      </c>
      <c r="Y261" s="497">
        <v>1</v>
      </c>
      <c r="Z261" s="498">
        <v>6453</v>
      </c>
      <c r="AA261" s="561"/>
      <c r="AB261" s="503"/>
      <c r="AC261" s="330">
        <f>AB261/VPI!R261</f>
        <v>0</v>
      </c>
      <c r="AD261" s="332">
        <f t="shared" si="14"/>
        <v>0</v>
      </c>
      <c r="AE261" s="330">
        <f>AD261/VPI!R261</f>
        <v>0</v>
      </c>
      <c r="AF261" s="503"/>
      <c r="AG261" s="503"/>
      <c r="AH261" s="503"/>
      <c r="AI261" s="568"/>
      <c r="AJ261" s="498"/>
      <c r="AK261" s="330">
        <f>AJ261/VPI!R261</f>
        <v>0</v>
      </c>
      <c r="AL261" s="332">
        <f t="shared" si="15"/>
        <v>0</v>
      </c>
      <c r="AM261" s="330">
        <f>AL261/VPI!R261</f>
        <v>0</v>
      </c>
      <c r="AN261" s="498"/>
      <c r="AO261" s="568"/>
      <c r="AP261" s="511">
        <v>43.906909104975782</v>
      </c>
      <c r="AR261" s="564">
        <v>0</v>
      </c>
    </row>
    <row r="262" spans="1:44" x14ac:dyDescent="0.25">
      <c r="A262" s="559">
        <v>5862</v>
      </c>
      <c r="B262" s="560" t="s">
        <v>26</v>
      </c>
      <c r="C262" s="488">
        <v>731251.49</v>
      </c>
      <c r="D262" s="488">
        <v>81564.77</v>
      </c>
      <c r="E262" s="488"/>
      <c r="F262" s="489"/>
      <c r="G262" s="488">
        <v>256.45</v>
      </c>
      <c r="H262" s="488">
        <v>2217.9</v>
      </c>
      <c r="I262" s="488"/>
      <c r="J262" s="488">
        <v>34131.22</v>
      </c>
      <c r="K262" s="488">
        <v>3403.85</v>
      </c>
      <c r="L262" s="488">
        <v>50729</v>
      </c>
      <c r="M262" s="367">
        <f t="shared" si="16"/>
        <v>903554.67999999993</v>
      </c>
      <c r="N262" s="492">
        <v>10724.85</v>
      </c>
      <c r="O262" s="492">
        <v>118</v>
      </c>
      <c r="P262" s="492">
        <v>7916.45</v>
      </c>
      <c r="Q262" s="492"/>
      <c r="R262" s="492">
        <v>45936</v>
      </c>
      <c r="S262" s="488">
        <v>233.29</v>
      </c>
      <c r="T262" s="367">
        <f t="shared" si="17"/>
        <v>968483.2699999999</v>
      </c>
      <c r="U262" s="490">
        <v>-3818.01</v>
      </c>
      <c r="V262" s="492"/>
      <c r="W262" s="492">
        <v>-45.78</v>
      </c>
      <c r="X262" s="496">
        <v>79</v>
      </c>
      <c r="Y262" s="497">
        <v>1</v>
      </c>
      <c r="Z262" s="498">
        <v>250</v>
      </c>
      <c r="AA262" s="561"/>
      <c r="AB262" s="503"/>
      <c r="AC262" s="330">
        <f>AB262/VPI!R262</f>
        <v>0</v>
      </c>
      <c r="AD262" s="332">
        <f t="shared" si="14"/>
        <v>0</v>
      </c>
      <c r="AE262" s="330">
        <f>AD262/VPI!R262</f>
        <v>0</v>
      </c>
      <c r="AF262" s="503"/>
      <c r="AG262" s="503"/>
      <c r="AH262" s="503"/>
      <c r="AI262" s="568"/>
      <c r="AJ262" s="498"/>
      <c r="AK262" s="330">
        <f>AJ262/VPI!R262</f>
        <v>0</v>
      </c>
      <c r="AL262" s="332">
        <f t="shared" si="15"/>
        <v>0</v>
      </c>
      <c r="AM262" s="330">
        <f>AL262/VPI!R262</f>
        <v>0</v>
      </c>
      <c r="AN262" s="498"/>
      <c r="AO262" s="568"/>
      <c r="AP262" s="511">
        <v>23.595315356740539</v>
      </c>
      <c r="AR262" s="564">
        <v>0</v>
      </c>
    </row>
    <row r="263" spans="1:44" x14ac:dyDescent="0.25">
      <c r="A263" s="559">
        <v>5863</v>
      </c>
      <c r="B263" s="560" t="s">
        <v>27</v>
      </c>
      <c r="C263" s="488">
        <v>1094655.26</v>
      </c>
      <c r="D263" s="488">
        <v>209768.53</v>
      </c>
      <c r="F263" s="489"/>
      <c r="G263" s="488">
        <v>65657.25</v>
      </c>
      <c r="H263" s="488">
        <v>5950.05</v>
      </c>
      <c r="I263" s="488">
        <v>41418.300000000003</v>
      </c>
      <c r="J263" s="488">
        <v>64436.14</v>
      </c>
      <c r="K263" s="488">
        <v>2260.9</v>
      </c>
      <c r="L263" s="488">
        <v>98799.1</v>
      </c>
      <c r="M263" s="367">
        <f t="shared" si="16"/>
        <v>1582945.53</v>
      </c>
      <c r="N263" s="492">
        <v>14979.6</v>
      </c>
      <c r="O263" s="492">
        <v>8063.6</v>
      </c>
      <c r="P263" s="492">
        <v>43846.15</v>
      </c>
      <c r="Q263" s="492">
        <v>2727.24</v>
      </c>
      <c r="R263" s="492">
        <v>9143.2000000000007</v>
      </c>
      <c r="S263" s="488">
        <v>6751.41</v>
      </c>
      <c r="T263" s="367">
        <f t="shared" si="17"/>
        <v>1668456.73</v>
      </c>
      <c r="U263" s="490">
        <v>-41450.32</v>
      </c>
      <c r="V263" s="492"/>
      <c r="W263" s="492">
        <v>-82281.149999999994</v>
      </c>
      <c r="X263" s="496">
        <v>65</v>
      </c>
      <c r="Y263" s="497">
        <v>1</v>
      </c>
      <c r="Z263" s="498">
        <v>381</v>
      </c>
      <c r="AA263" s="561"/>
      <c r="AB263" s="503"/>
      <c r="AC263" s="330">
        <f>AB263/VPI!R263</f>
        <v>0</v>
      </c>
      <c r="AD263" s="332">
        <f t="shared" ref="AD263:AD305" si="18">AF263-AB263</f>
        <v>0</v>
      </c>
      <c r="AE263" s="330">
        <f>AD263/VPI!R263</f>
        <v>0</v>
      </c>
      <c r="AF263" s="503"/>
      <c r="AG263" s="503"/>
      <c r="AH263" s="503"/>
      <c r="AI263" s="568"/>
      <c r="AJ263" s="498"/>
      <c r="AK263" s="330">
        <f>AJ263/VPI!R263</f>
        <v>0</v>
      </c>
      <c r="AL263" s="332">
        <f t="shared" ref="AL263:AL305" si="19">AN263-AJ263</f>
        <v>0</v>
      </c>
      <c r="AM263" s="330">
        <f>AL263/VPI!R263</f>
        <v>0</v>
      </c>
      <c r="AN263" s="498"/>
      <c r="AO263" s="568"/>
      <c r="AP263" s="511">
        <v>32.213366104440581</v>
      </c>
      <c r="AR263" s="564">
        <v>0</v>
      </c>
    </row>
    <row r="264" spans="1:44" x14ac:dyDescent="0.25">
      <c r="A264" s="559">
        <v>5871</v>
      </c>
      <c r="B264" s="560" t="s">
        <v>28</v>
      </c>
      <c r="C264" s="488">
        <v>0</v>
      </c>
      <c r="D264" s="488">
        <v>3292669.13</v>
      </c>
      <c r="F264" s="489"/>
      <c r="G264" s="488">
        <v>0</v>
      </c>
      <c r="H264" s="490">
        <v>182107.45</v>
      </c>
      <c r="I264" s="488">
        <v>0</v>
      </c>
      <c r="J264" s="488">
        <v>119024.49</v>
      </c>
      <c r="K264" s="488">
        <v>6602.95</v>
      </c>
      <c r="L264" s="488">
        <v>302376.15000000002</v>
      </c>
      <c r="M264" s="367">
        <f t="shared" si="16"/>
        <v>3902780.1700000004</v>
      </c>
      <c r="N264" s="492">
        <v>866563.9</v>
      </c>
      <c r="O264" s="492">
        <v>120034.9</v>
      </c>
      <c r="P264" s="492">
        <v>83618</v>
      </c>
      <c r="Q264" s="492">
        <v>10336.36</v>
      </c>
      <c r="R264" s="492">
        <v>57454.55</v>
      </c>
      <c r="S264" s="488">
        <v>17169.79</v>
      </c>
      <c r="T264" s="367">
        <f t="shared" si="17"/>
        <v>5057957.6700000009</v>
      </c>
      <c r="U264" s="490">
        <v>-38739.64</v>
      </c>
      <c r="V264" s="492"/>
      <c r="W264" s="492">
        <v>-482.28</v>
      </c>
      <c r="X264" s="496">
        <v>77.23</v>
      </c>
      <c r="Y264" s="497">
        <v>1</v>
      </c>
      <c r="Z264" s="498">
        <v>1534</v>
      </c>
      <c r="AA264" s="561"/>
      <c r="AB264" s="503"/>
      <c r="AC264" s="330">
        <f>AB264/VPI!R264</f>
        <v>0</v>
      </c>
      <c r="AD264" s="332">
        <f t="shared" si="18"/>
        <v>0</v>
      </c>
      <c r="AE264" s="330">
        <f>AD264/VPI!R264</f>
        <v>0</v>
      </c>
      <c r="AF264" s="503"/>
      <c r="AG264" s="503"/>
      <c r="AH264" s="503"/>
      <c r="AI264" s="568"/>
      <c r="AJ264" s="498"/>
      <c r="AK264" s="330">
        <f>AJ264/VPI!R264</f>
        <v>0</v>
      </c>
      <c r="AL264" s="332">
        <f t="shared" si="19"/>
        <v>0</v>
      </c>
      <c r="AM264" s="330">
        <f>AL264/VPI!R264</f>
        <v>0</v>
      </c>
      <c r="AN264" s="498"/>
      <c r="AO264" s="568"/>
      <c r="AP264" s="511">
        <v>12.902342053778311</v>
      </c>
      <c r="AR264" s="564">
        <v>0</v>
      </c>
    </row>
    <row r="265" spans="1:44" x14ac:dyDescent="0.25">
      <c r="A265" s="559">
        <v>5872</v>
      </c>
      <c r="B265" s="560" t="s">
        <v>184</v>
      </c>
      <c r="C265" s="488">
        <v>6951230.4900000002</v>
      </c>
      <c r="D265" s="488">
        <v>1044714.57</v>
      </c>
      <c r="F265" s="489"/>
      <c r="G265" s="488">
        <v>10595363.9</v>
      </c>
      <c r="H265" s="488">
        <v>329828.09999999998</v>
      </c>
      <c r="I265" s="488">
        <v>0</v>
      </c>
      <c r="J265" s="488">
        <v>511298.87</v>
      </c>
      <c r="K265" s="488">
        <v>67844.399999999994</v>
      </c>
      <c r="L265" s="488">
        <v>821141.85</v>
      </c>
      <c r="M265" s="367">
        <f t="shared" si="16"/>
        <v>20321422.180000003</v>
      </c>
      <c r="N265" s="492">
        <v>5782308.5</v>
      </c>
      <c r="O265" s="492">
        <v>377818</v>
      </c>
      <c r="P265" s="492">
        <v>415879.2</v>
      </c>
      <c r="Q265" s="492">
        <v>44209.82</v>
      </c>
      <c r="R265" s="492">
        <v>435072.85</v>
      </c>
      <c r="S265" s="488">
        <v>1030069.01</v>
      </c>
      <c r="T265" s="367">
        <f t="shared" si="17"/>
        <v>28406779.560000006</v>
      </c>
      <c r="U265" s="490">
        <v>-112192.68</v>
      </c>
      <c r="V265" s="492"/>
      <c r="W265" s="492">
        <v>-5789.95</v>
      </c>
      <c r="X265" s="496">
        <v>67.040000000000006</v>
      </c>
      <c r="Y265" s="497">
        <v>1</v>
      </c>
      <c r="Z265" s="498">
        <v>4712</v>
      </c>
      <c r="AA265" s="561"/>
      <c r="AB265" s="503"/>
      <c r="AC265" s="330">
        <f>AB265/VPI!R265</f>
        <v>0</v>
      </c>
      <c r="AD265" s="332">
        <f t="shared" si="18"/>
        <v>0</v>
      </c>
      <c r="AE265" s="330">
        <f>AD265/VPI!R265</f>
        <v>0</v>
      </c>
      <c r="AF265" s="503"/>
      <c r="AG265" s="503"/>
      <c r="AH265" s="503"/>
      <c r="AI265" s="568"/>
      <c r="AJ265" s="498"/>
      <c r="AK265" s="330">
        <f>AJ265/VPI!R265</f>
        <v>0</v>
      </c>
      <c r="AL265" s="332">
        <f t="shared" si="19"/>
        <v>0</v>
      </c>
      <c r="AM265" s="330">
        <f>AL265/VPI!R265</f>
        <v>0</v>
      </c>
      <c r="AN265" s="498"/>
      <c r="AO265" s="568"/>
      <c r="AP265" s="511">
        <v>30.432443050378872</v>
      </c>
      <c r="AR265" s="564">
        <v>0</v>
      </c>
    </row>
    <row r="266" spans="1:44" x14ac:dyDescent="0.25">
      <c r="A266" s="559">
        <v>5873</v>
      </c>
      <c r="B266" s="560" t="s">
        <v>185</v>
      </c>
      <c r="C266" s="488">
        <v>1403724.02</v>
      </c>
      <c r="D266" s="488">
        <v>297074.95</v>
      </c>
      <c r="F266" s="489"/>
      <c r="G266" s="491">
        <v>307743.09999999998</v>
      </c>
      <c r="H266" s="490">
        <v>4105.2</v>
      </c>
      <c r="I266" s="488">
        <v>0</v>
      </c>
      <c r="J266" s="488">
        <v>64291.1</v>
      </c>
      <c r="K266" s="488">
        <v>0</v>
      </c>
      <c r="L266" s="488">
        <v>121787.15</v>
      </c>
      <c r="M266" s="367">
        <f t="shared" si="16"/>
        <v>2198725.52</v>
      </c>
      <c r="N266" s="492">
        <v>915654</v>
      </c>
      <c r="O266" s="492">
        <v>34581.699999999997</v>
      </c>
      <c r="P266" s="492">
        <v>94121.2</v>
      </c>
      <c r="Q266" s="492">
        <v>343.94</v>
      </c>
      <c r="R266" s="492">
        <v>31241.9</v>
      </c>
      <c r="S266" s="488">
        <v>29402.25</v>
      </c>
      <c r="T266" s="367">
        <f t="shared" si="17"/>
        <v>3304070.5100000002</v>
      </c>
      <c r="U266" s="490">
        <v>-14120.17</v>
      </c>
      <c r="V266" s="492"/>
      <c r="W266" s="492">
        <v>-271.14</v>
      </c>
      <c r="X266" s="496">
        <v>70</v>
      </c>
      <c r="Y266" s="497">
        <v>0.8</v>
      </c>
      <c r="Z266" s="498">
        <v>910</v>
      </c>
      <c r="AA266" s="561"/>
      <c r="AB266" s="503"/>
      <c r="AC266" s="330">
        <f>AB266/VPI!R266</f>
        <v>0</v>
      </c>
      <c r="AD266" s="332">
        <f t="shared" si="18"/>
        <v>0</v>
      </c>
      <c r="AE266" s="330">
        <f>AD266/VPI!R266</f>
        <v>0</v>
      </c>
      <c r="AF266" s="503"/>
      <c r="AG266" s="503"/>
      <c r="AH266" s="503"/>
      <c r="AI266" s="568"/>
      <c r="AJ266" s="498"/>
      <c r="AK266" s="330">
        <f>AJ266/VPI!R266</f>
        <v>0</v>
      </c>
      <c r="AL266" s="332">
        <f t="shared" si="19"/>
        <v>0</v>
      </c>
      <c r="AM266" s="330">
        <f>AL266/VPI!R266</f>
        <v>0</v>
      </c>
      <c r="AN266" s="498"/>
      <c r="AO266" s="568"/>
      <c r="AP266" s="511">
        <v>23.224720952676577</v>
      </c>
      <c r="AR266" s="564">
        <v>0</v>
      </c>
    </row>
    <row r="267" spans="1:44" x14ac:dyDescent="0.25">
      <c r="A267" s="559">
        <v>5882</v>
      </c>
      <c r="B267" s="560" t="s">
        <v>186</v>
      </c>
      <c r="C267" s="488">
        <v>9309679.8399999999</v>
      </c>
      <c r="D267" s="488">
        <v>2371627.0499999998</v>
      </c>
      <c r="E267" s="488"/>
      <c r="F267" s="489"/>
      <c r="G267" s="488">
        <v>56903.9</v>
      </c>
      <c r="H267" s="488">
        <v>22365</v>
      </c>
      <c r="I267" s="488">
        <v>857913.76</v>
      </c>
      <c r="J267" s="488">
        <v>-691071.23</v>
      </c>
      <c r="K267" s="488">
        <v>70989</v>
      </c>
      <c r="L267" s="488">
        <v>1081159.9099999999</v>
      </c>
      <c r="M267" s="367">
        <f t="shared" si="16"/>
        <v>13079567.23</v>
      </c>
      <c r="N267" s="492">
        <v>17670.7</v>
      </c>
      <c r="O267" s="492">
        <v>297039.7</v>
      </c>
      <c r="P267" s="492">
        <v>1717856</v>
      </c>
      <c r="Q267" s="492">
        <v>19707.330000000002</v>
      </c>
      <c r="R267" s="492">
        <v>380123.5</v>
      </c>
      <c r="S267" s="488">
        <v>7473.78</v>
      </c>
      <c r="T267" s="367">
        <f t="shared" si="17"/>
        <v>15519438.239999998</v>
      </c>
      <c r="U267" s="490">
        <v>-96457.08</v>
      </c>
      <c r="V267" s="492"/>
      <c r="W267" s="492">
        <v>-15100.02</v>
      </c>
      <c r="X267" s="496">
        <v>68</v>
      </c>
      <c r="Y267" s="497">
        <v>1</v>
      </c>
      <c r="Z267" s="498">
        <v>3243</v>
      </c>
      <c r="AA267" s="561"/>
      <c r="AB267" s="503"/>
      <c r="AC267" s="330">
        <f>AB267/VPI!R267</f>
        <v>0</v>
      </c>
      <c r="AD267" s="332">
        <f t="shared" si="18"/>
        <v>0</v>
      </c>
      <c r="AE267" s="330">
        <f>AD267/VPI!R267</f>
        <v>0</v>
      </c>
      <c r="AF267" s="503"/>
      <c r="AG267" s="503"/>
      <c r="AH267" s="503"/>
      <c r="AI267" s="568"/>
      <c r="AJ267" s="498"/>
      <c r="AK267" s="330">
        <f>AJ267/VPI!R267</f>
        <v>0</v>
      </c>
      <c r="AL267" s="332">
        <f t="shared" si="19"/>
        <v>0</v>
      </c>
      <c r="AM267" s="330">
        <f>AL267/VPI!R267</f>
        <v>0</v>
      </c>
      <c r="AN267" s="498"/>
      <c r="AO267" s="568"/>
      <c r="AP267" s="511">
        <v>29.777327630574398</v>
      </c>
      <c r="AR267" s="564">
        <v>1</v>
      </c>
    </row>
    <row r="268" spans="1:44" x14ac:dyDescent="0.25">
      <c r="A268" s="559">
        <v>5883</v>
      </c>
      <c r="B268" s="560" t="s">
        <v>187</v>
      </c>
      <c r="C268" s="488">
        <v>7927059.9100000001</v>
      </c>
      <c r="D268" s="488">
        <v>2549918.12</v>
      </c>
      <c r="E268" s="488"/>
      <c r="F268" s="489"/>
      <c r="G268" s="488">
        <v>110802.05</v>
      </c>
      <c r="H268" s="488">
        <v>21197.65</v>
      </c>
      <c r="I268" s="488">
        <v>174039.47</v>
      </c>
      <c r="J268" s="488">
        <v>91937.13</v>
      </c>
      <c r="K268" s="488">
        <v>12494.2</v>
      </c>
      <c r="L268" s="488">
        <v>745812.35</v>
      </c>
      <c r="M268" s="367">
        <f t="shared" si="16"/>
        <v>11633260.880000003</v>
      </c>
      <c r="N268" s="492">
        <v>1683.4</v>
      </c>
      <c r="O268" s="492">
        <v>265015.09999999998</v>
      </c>
      <c r="P268" s="492">
        <v>880522.9</v>
      </c>
      <c r="Q268" s="492">
        <v>1926.38</v>
      </c>
      <c r="R268" s="492">
        <v>510783.1</v>
      </c>
      <c r="S268" s="488">
        <v>12445.44</v>
      </c>
      <c r="T268" s="367">
        <f t="shared" si="17"/>
        <v>13305637.200000003</v>
      </c>
      <c r="U268" s="490">
        <v>-90261.67</v>
      </c>
      <c r="V268" s="492"/>
      <c r="W268" s="492">
        <v>-22916.639999999999</v>
      </c>
      <c r="X268" s="496">
        <v>67.5</v>
      </c>
      <c r="Y268" s="497">
        <v>1</v>
      </c>
      <c r="Z268" s="498">
        <v>2339</v>
      </c>
      <c r="AA268" s="561"/>
      <c r="AB268" s="503"/>
      <c r="AC268" s="330">
        <f>AB268/VPI!R268</f>
        <v>0</v>
      </c>
      <c r="AD268" s="332">
        <f t="shared" si="18"/>
        <v>0</v>
      </c>
      <c r="AE268" s="330">
        <f>AD268/VPI!R268</f>
        <v>0</v>
      </c>
      <c r="AF268" s="503"/>
      <c r="AG268" s="503"/>
      <c r="AH268" s="503"/>
      <c r="AI268" s="568"/>
      <c r="AJ268" s="498"/>
      <c r="AK268" s="330">
        <f>AJ268/VPI!R268</f>
        <v>0</v>
      </c>
      <c r="AL268" s="332">
        <f t="shared" si="19"/>
        <v>0</v>
      </c>
      <c r="AM268" s="330">
        <f>AL268/VPI!R268</f>
        <v>0</v>
      </c>
      <c r="AN268" s="498"/>
      <c r="AO268" s="568"/>
      <c r="AP268" s="511">
        <v>34.841543964465373</v>
      </c>
      <c r="AR268" s="564">
        <v>1</v>
      </c>
    </row>
    <row r="269" spans="1:44" x14ac:dyDescent="0.25">
      <c r="A269" s="559">
        <v>5884</v>
      </c>
      <c r="B269" s="560" t="s">
        <v>45</v>
      </c>
      <c r="C269" s="488">
        <v>5428805.5499999998</v>
      </c>
      <c r="D269" s="488">
        <v>907474.33</v>
      </c>
      <c r="E269" s="488"/>
      <c r="F269" s="489"/>
      <c r="G269" s="488">
        <v>1965142.2</v>
      </c>
      <c r="H269" s="488">
        <v>-41049.199999999997</v>
      </c>
      <c r="I269" s="488">
        <v>30448.75</v>
      </c>
      <c r="J269" s="488">
        <v>130416.46</v>
      </c>
      <c r="K269" s="488">
        <v>191032.75</v>
      </c>
      <c r="L269" s="488">
        <v>1008987.4</v>
      </c>
      <c r="M269" s="367">
        <f t="shared" si="16"/>
        <v>9621258.2400000002</v>
      </c>
      <c r="N269" s="492">
        <v>696138.15</v>
      </c>
      <c r="O269" s="492">
        <v>84507.199999999997</v>
      </c>
      <c r="P269" s="492">
        <v>353119.45</v>
      </c>
      <c r="Q269" s="492">
        <v>12979.26</v>
      </c>
      <c r="R269" s="492">
        <v>408461.8</v>
      </c>
      <c r="S269" s="488">
        <v>181410.87</v>
      </c>
      <c r="T269" s="367">
        <f t="shared" si="17"/>
        <v>11357874.969999999</v>
      </c>
      <c r="U269" s="490">
        <v>-103879.28</v>
      </c>
      <c r="V269" s="492"/>
      <c r="W269" s="492">
        <v>-2337.89</v>
      </c>
      <c r="X269" s="496">
        <v>64.5</v>
      </c>
      <c r="Y269" s="497">
        <v>1.2</v>
      </c>
      <c r="Z269" s="498">
        <v>3429</v>
      </c>
      <c r="AA269" s="561"/>
      <c r="AB269" s="503"/>
      <c r="AC269" s="330">
        <f>AB269/VPI!R269</f>
        <v>0</v>
      </c>
      <c r="AD269" s="332">
        <f t="shared" si="18"/>
        <v>0</v>
      </c>
      <c r="AE269" s="330">
        <f>AD269/VPI!R269</f>
        <v>0</v>
      </c>
      <c r="AF269" s="503"/>
      <c r="AG269" s="503"/>
      <c r="AH269" s="503"/>
      <c r="AI269" s="568"/>
      <c r="AJ269" s="498"/>
      <c r="AK269" s="330">
        <f>AJ269/VPI!R269</f>
        <v>0</v>
      </c>
      <c r="AL269" s="332">
        <f t="shared" si="19"/>
        <v>0</v>
      </c>
      <c r="AM269" s="330">
        <f>AL269/VPI!R269</f>
        <v>0</v>
      </c>
      <c r="AN269" s="498"/>
      <c r="AO269" s="568"/>
      <c r="AP269" s="511">
        <v>18.092831777068284</v>
      </c>
      <c r="AR269" s="564">
        <v>1</v>
      </c>
    </row>
    <row r="270" spans="1:44" x14ac:dyDescent="0.25">
      <c r="A270" s="559">
        <v>5885</v>
      </c>
      <c r="B270" s="560" t="s">
        <v>46</v>
      </c>
      <c r="C270" s="488">
        <v>5021751.7699999996</v>
      </c>
      <c r="D270" s="488">
        <v>978376.24</v>
      </c>
      <c r="E270" s="488"/>
      <c r="F270" s="489"/>
      <c r="G270" s="488">
        <v>76592.95</v>
      </c>
      <c r="H270" s="488">
        <v>-3735.2</v>
      </c>
      <c r="I270" s="488">
        <v>112073.9</v>
      </c>
      <c r="J270" s="488">
        <v>193332.36</v>
      </c>
      <c r="K270" s="488">
        <v>23018.799999999999</v>
      </c>
      <c r="L270" s="488">
        <v>589484.19999999995</v>
      </c>
      <c r="M270" s="367">
        <f t="shared" si="16"/>
        <v>6990895.0200000005</v>
      </c>
      <c r="N270" s="492">
        <v>5349.5</v>
      </c>
      <c r="O270" s="492">
        <v>14876.4</v>
      </c>
      <c r="P270" s="492">
        <v>378449</v>
      </c>
      <c r="Q270" s="492">
        <v>4347.8</v>
      </c>
      <c r="R270" s="492">
        <v>348878.15</v>
      </c>
      <c r="S270" s="488">
        <v>6869.31</v>
      </c>
      <c r="T270" s="367">
        <f t="shared" si="17"/>
        <v>7749665.1800000006</v>
      </c>
      <c r="U270" s="490">
        <v>-87252.7</v>
      </c>
      <c r="V270" s="492"/>
      <c r="W270" s="492">
        <v>-7279.95</v>
      </c>
      <c r="X270" s="496">
        <v>69.5</v>
      </c>
      <c r="Y270" s="497">
        <v>1.2</v>
      </c>
      <c r="Z270" s="498">
        <v>1918</v>
      </c>
      <c r="AA270" s="561"/>
      <c r="AB270" s="503"/>
      <c r="AC270" s="330">
        <f>AB270/VPI!R270</f>
        <v>0</v>
      </c>
      <c r="AD270" s="332">
        <f t="shared" si="18"/>
        <v>0</v>
      </c>
      <c r="AE270" s="330">
        <f>AD270/VPI!R270</f>
        <v>0</v>
      </c>
      <c r="AF270" s="503"/>
      <c r="AG270" s="503"/>
      <c r="AH270" s="503"/>
      <c r="AI270" s="568"/>
      <c r="AJ270" s="498"/>
      <c r="AK270" s="330">
        <f>AJ270/VPI!R270</f>
        <v>0</v>
      </c>
      <c r="AL270" s="332">
        <f t="shared" si="19"/>
        <v>0</v>
      </c>
      <c r="AM270" s="330">
        <f>AL270/VPI!R270</f>
        <v>0</v>
      </c>
      <c r="AN270" s="498"/>
      <c r="AO270" s="568"/>
      <c r="AP270" s="511">
        <v>28.591589561962302</v>
      </c>
      <c r="AR270" s="564">
        <v>1</v>
      </c>
    </row>
    <row r="271" spans="1:44" x14ac:dyDescent="0.25">
      <c r="A271" s="559">
        <v>5886</v>
      </c>
      <c r="B271" s="560" t="s">
        <v>47</v>
      </c>
      <c r="C271" s="488">
        <v>44414942.18</v>
      </c>
      <c r="D271" s="488">
        <v>12330017.810000001</v>
      </c>
      <c r="E271" s="488"/>
      <c r="F271" s="489"/>
      <c r="G271" s="488">
        <v>4044501.65</v>
      </c>
      <c r="H271" s="488">
        <v>946341.1</v>
      </c>
      <c r="I271" s="488">
        <v>4152245.52</v>
      </c>
      <c r="J271" s="488">
        <v>2523183.0699999998</v>
      </c>
      <c r="K271" s="488">
        <v>867718.55</v>
      </c>
      <c r="L271" s="488">
        <v>11703866.15</v>
      </c>
      <c r="M271" s="367">
        <f t="shared" si="16"/>
        <v>80982816.030000001</v>
      </c>
      <c r="N271" s="492">
        <v>1369524.8</v>
      </c>
      <c r="O271" s="492">
        <v>4768038.2</v>
      </c>
      <c r="P271" s="492">
        <v>4194113.95</v>
      </c>
      <c r="Q271" s="492">
        <v>306413.38</v>
      </c>
      <c r="R271" s="492">
        <v>2833495.6</v>
      </c>
      <c r="S271" s="488">
        <v>470555.8</v>
      </c>
      <c r="T271" s="367">
        <f t="shared" si="17"/>
        <v>94924957.75999999</v>
      </c>
      <c r="U271" s="490">
        <v>-1659384.39</v>
      </c>
      <c r="V271" s="492"/>
      <c r="W271" s="492">
        <v>-173744.98</v>
      </c>
      <c r="X271" s="496">
        <v>65</v>
      </c>
      <c r="Y271" s="497">
        <v>1.5</v>
      </c>
      <c r="Z271" s="498">
        <v>26837</v>
      </c>
      <c r="AA271" s="561"/>
      <c r="AB271" s="503"/>
      <c r="AC271" s="330">
        <f>AB271/VPI!R271</f>
        <v>0</v>
      </c>
      <c r="AD271" s="332">
        <f t="shared" si="18"/>
        <v>0</v>
      </c>
      <c r="AE271" s="330">
        <f>AD271/VPI!R271</f>
        <v>0</v>
      </c>
      <c r="AF271" s="503"/>
      <c r="AG271" s="503"/>
      <c r="AH271" s="503"/>
      <c r="AI271" s="568"/>
      <c r="AJ271" s="498"/>
      <c r="AK271" s="330">
        <f>AJ271/VPI!R271</f>
        <v>0</v>
      </c>
      <c r="AL271" s="332">
        <f t="shared" si="19"/>
        <v>0</v>
      </c>
      <c r="AM271" s="330">
        <f>AL271/VPI!R271</f>
        <v>0</v>
      </c>
      <c r="AN271" s="498"/>
      <c r="AO271" s="568"/>
      <c r="AP271" s="511">
        <v>9.9848097376144516</v>
      </c>
      <c r="AR271" s="564">
        <v>1</v>
      </c>
    </row>
    <row r="272" spans="1:44" x14ac:dyDescent="0.25">
      <c r="A272" s="559">
        <v>5889</v>
      </c>
      <c r="B272" s="560" t="s">
        <v>48</v>
      </c>
      <c r="C272" s="488">
        <v>29360349.91</v>
      </c>
      <c r="D272" s="488">
        <v>6489790.0199999996</v>
      </c>
      <c r="E272" s="488"/>
      <c r="F272" s="489"/>
      <c r="G272" s="488">
        <v>10244677.65</v>
      </c>
      <c r="H272" s="488">
        <v>1618944.05</v>
      </c>
      <c r="I272" s="488">
        <v>1237485.77</v>
      </c>
      <c r="J272" s="488">
        <v>189326.87</v>
      </c>
      <c r="K272" s="488">
        <v>300943.7</v>
      </c>
      <c r="L272" s="488">
        <v>3312441.35</v>
      </c>
      <c r="M272" s="367">
        <f t="shared" si="16"/>
        <v>52753959.32</v>
      </c>
      <c r="N272" s="492">
        <v>127056.75</v>
      </c>
      <c r="O272" s="492">
        <v>359119.7</v>
      </c>
      <c r="P272" s="492">
        <v>1720602.4</v>
      </c>
      <c r="Q272" s="492">
        <v>-41613.050000000003</v>
      </c>
      <c r="R272" s="492">
        <v>965062.55</v>
      </c>
      <c r="S272" s="488">
        <v>1118547.77</v>
      </c>
      <c r="T272" s="367">
        <f t="shared" si="17"/>
        <v>57002735.440000005</v>
      </c>
      <c r="U272" s="490">
        <v>-261156.31</v>
      </c>
      <c r="V272" s="492"/>
      <c r="W272" s="492">
        <v>-3148615.45</v>
      </c>
      <c r="X272" s="496">
        <v>64</v>
      </c>
      <c r="Y272" s="497">
        <v>1.2</v>
      </c>
      <c r="Z272" s="498">
        <v>12605</v>
      </c>
      <c r="AA272" s="561"/>
      <c r="AB272" s="503"/>
      <c r="AC272" s="330">
        <f>AB272/VPI!R272</f>
        <v>0</v>
      </c>
      <c r="AD272" s="332">
        <f t="shared" si="18"/>
        <v>0</v>
      </c>
      <c r="AE272" s="330">
        <f>AD272/VPI!R272</f>
        <v>0</v>
      </c>
      <c r="AF272" s="503"/>
      <c r="AG272" s="503"/>
      <c r="AH272" s="503"/>
      <c r="AI272" s="568"/>
      <c r="AJ272" s="498"/>
      <c r="AK272" s="330">
        <f>AJ272/VPI!R272</f>
        <v>0</v>
      </c>
      <c r="AL272" s="332">
        <f t="shared" si="19"/>
        <v>0</v>
      </c>
      <c r="AM272" s="330">
        <f>AL272/VPI!R272</f>
        <v>0</v>
      </c>
      <c r="AN272" s="498"/>
      <c r="AO272" s="568"/>
      <c r="AP272" s="511">
        <v>22.284810495012724</v>
      </c>
      <c r="AR272" s="564">
        <v>1</v>
      </c>
    </row>
    <row r="273" spans="1:44" x14ac:dyDescent="0.25">
      <c r="A273" s="559">
        <v>5890</v>
      </c>
      <c r="B273" s="560" t="s">
        <v>49</v>
      </c>
      <c r="C273" s="488">
        <v>37541252.219999999</v>
      </c>
      <c r="D273" s="488">
        <v>4957273.09</v>
      </c>
      <c r="E273" s="488"/>
      <c r="F273" s="489"/>
      <c r="G273" s="488">
        <v>26051809</v>
      </c>
      <c r="H273" s="488">
        <v>4211162.2</v>
      </c>
      <c r="I273" s="488">
        <v>-42687.66</v>
      </c>
      <c r="J273" s="488">
        <v>3086494.07</v>
      </c>
      <c r="K273" s="488">
        <v>784696.2</v>
      </c>
      <c r="L273" s="514">
        <v>6213868.1200000001</v>
      </c>
      <c r="M273" s="367">
        <f t="shared" si="16"/>
        <v>82803867.24000001</v>
      </c>
      <c r="N273" s="492">
        <v>871785.1</v>
      </c>
      <c r="O273" s="492">
        <v>681922.7</v>
      </c>
      <c r="P273" s="492">
        <v>2236386.75</v>
      </c>
      <c r="Q273" s="492">
        <v>149000.74</v>
      </c>
      <c r="R273" s="492">
        <v>2061632.6</v>
      </c>
      <c r="S273" s="488">
        <v>2853309.02</v>
      </c>
      <c r="T273" s="367">
        <f t="shared" si="17"/>
        <v>91657904.149999991</v>
      </c>
      <c r="U273" s="490">
        <v>-627206.32999999996</v>
      </c>
      <c r="V273" s="492"/>
      <c r="W273" s="492">
        <v>-6050390.6699999999</v>
      </c>
      <c r="X273" s="496">
        <v>74.5</v>
      </c>
      <c r="Y273" s="497">
        <v>1.5</v>
      </c>
      <c r="Z273" s="498">
        <v>20155</v>
      </c>
      <c r="AA273" s="561"/>
      <c r="AB273" s="503"/>
      <c r="AC273" s="330">
        <f>AB273/VPI!R273</f>
        <v>0</v>
      </c>
      <c r="AD273" s="332">
        <f t="shared" si="18"/>
        <v>0</v>
      </c>
      <c r="AE273" s="330">
        <f>AD273/VPI!R273</f>
        <v>0</v>
      </c>
      <c r="AF273" s="503"/>
      <c r="AG273" s="503"/>
      <c r="AH273" s="503"/>
      <c r="AI273" s="568"/>
      <c r="AJ273" s="498"/>
      <c r="AK273" s="330">
        <f>AJ273/VPI!R273</f>
        <v>0</v>
      </c>
      <c r="AL273" s="332">
        <f t="shared" si="19"/>
        <v>0</v>
      </c>
      <c r="AM273" s="330">
        <f>AL273/VPI!R273</f>
        <v>0</v>
      </c>
      <c r="AN273" s="498"/>
      <c r="AO273" s="568"/>
      <c r="AP273" s="511">
        <v>14.382286240251416</v>
      </c>
      <c r="AR273" s="564">
        <v>1</v>
      </c>
    </row>
    <row r="274" spans="1:44" x14ac:dyDescent="0.25">
      <c r="A274" s="559">
        <v>5891</v>
      </c>
      <c r="B274" s="560" t="s">
        <v>50</v>
      </c>
      <c r="C274" s="488">
        <v>2126256.21</v>
      </c>
      <c r="D274" s="488">
        <v>489980.9</v>
      </c>
      <c r="E274" s="488"/>
      <c r="F274" s="489"/>
      <c r="G274" s="488">
        <v>34649.699999999997</v>
      </c>
      <c r="H274" s="488">
        <v>39524.699999999997</v>
      </c>
      <c r="I274" s="488">
        <v>509.75</v>
      </c>
      <c r="J274" s="488">
        <v>75515.62</v>
      </c>
      <c r="K274" s="488">
        <v>19243.349999999999</v>
      </c>
      <c r="L274" s="488">
        <v>462333.25</v>
      </c>
      <c r="M274" s="367">
        <f t="shared" si="16"/>
        <v>3248013.4800000004</v>
      </c>
      <c r="N274" s="492">
        <v>19046.150000000001</v>
      </c>
      <c r="O274" s="492">
        <v>2274.8000000000002</v>
      </c>
      <c r="P274" s="492">
        <v>165239.65</v>
      </c>
      <c r="Q274" s="492">
        <v>14875.62</v>
      </c>
      <c r="R274" s="492">
        <v>287898.15000000002</v>
      </c>
      <c r="S274" s="488">
        <v>6993.45</v>
      </c>
      <c r="T274" s="367">
        <f t="shared" si="17"/>
        <v>3744341.3000000003</v>
      </c>
      <c r="U274" s="490">
        <v>-31810.82</v>
      </c>
      <c r="V274" s="492"/>
      <c r="W274" s="492">
        <v>-2772.6</v>
      </c>
      <c r="X274" s="496">
        <v>67.5</v>
      </c>
      <c r="Y274" s="497">
        <v>1.5</v>
      </c>
      <c r="Z274" s="498">
        <v>997</v>
      </c>
      <c r="AA274" s="561"/>
      <c r="AB274" s="503"/>
      <c r="AC274" s="330">
        <f>AB274/VPI!R274</f>
        <v>0</v>
      </c>
      <c r="AD274" s="332">
        <f t="shared" si="18"/>
        <v>0</v>
      </c>
      <c r="AE274" s="330">
        <f>AD274/VPI!R274</f>
        <v>0</v>
      </c>
      <c r="AF274" s="503"/>
      <c r="AG274" s="503"/>
      <c r="AH274" s="503"/>
      <c r="AI274" s="568"/>
      <c r="AJ274" s="498"/>
      <c r="AK274" s="330">
        <f>AJ274/VPI!R274</f>
        <v>0</v>
      </c>
      <c r="AL274" s="332">
        <f t="shared" si="19"/>
        <v>0</v>
      </c>
      <c r="AM274" s="330">
        <f>AL274/VPI!R274</f>
        <v>0</v>
      </c>
      <c r="AN274" s="498"/>
      <c r="AO274" s="568"/>
      <c r="AP274" s="511">
        <v>24.959908439820438</v>
      </c>
      <c r="AR274" s="564">
        <v>1</v>
      </c>
    </row>
    <row r="275" spans="1:44" x14ac:dyDescent="0.25">
      <c r="A275" s="559">
        <v>5892</v>
      </c>
      <c r="B275" s="560" t="s">
        <v>594</v>
      </c>
      <c r="C275" s="488">
        <v>34678574.259999998</v>
      </c>
      <c r="D275" s="488">
        <v>8008933.9400000004</v>
      </c>
      <c r="E275" s="488"/>
      <c r="F275" s="489"/>
      <c r="G275" s="488">
        <v>1194024.3999999999</v>
      </c>
      <c r="H275" s="488">
        <v>72479.649999999994</v>
      </c>
      <c r="I275" s="488">
        <v>1466574.19</v>
      </c>
      <c r="J275" s="488">
        <v>349223.59</v>
      </c>
      <c r="K275" s="488">
        <v>113137.7</v>
      </c>
      <c r="L275" s="488">
        <v>3562131.05</v>
      </c>
      <c r="M275" s="367">
        <f t="shared" si="16"/>
        <v>49445078.779999994</v>
      </c>
      <c r="N275" s="488">
        <v>318172.55</v>
      </c>
      <c r="O275" s="488">
        <v>1526952.7</v>
      </c>
      <c r="P275" s="488">
        <v>2700941.15</v>
      </c>
      <c r="Q275" s="488">
        <v>72453.19</v>
      </c>
      <c r="R275" s="488">
        <v>2131169.5499999998</v>
      </c>
      <c r="S275" s="488">
        <v>119410.86</v>
      </c>
      <c r="T275" s="367">
        <f t="shared" si="17"/>
        <v>56314178.779999986</v>
      </c>
      <c r="U275" s="488">
        <v>-179937.94</v>
      </c>
      <c r="V275" s="488"/>
      <c r="W275" s="488">
        <v>-130830.67</v>
      </c>
      <c r="X275" s="488">
        <v>68.5</v>
      </c>
      <c r="Y275" s="499">
        <v>1</v>
      </c>
      <c r="Z275" s="498">
        <v>12340</v>
      </c>
      <c r="AA275" s="565"/>
      <c r="AB275" s="504"/>
      <c r="AC275" s="330">
        <f>AB275/VPI!R275</f>
        <v>0</v>
      </c>
      <c r="AD275" s="332">
        <f t="shared" si="18"/>
        <v>0</v>
      </c>
      <c r="AE275" s="330">
        <f>AD275/VPI!R275</f>
        <v>0</v>
      </c>
      <c r="AF275" s="504"/>
      <c r="AG275" s="504"/>
      <c r="AH275" s="504"/>
      <c r="AI275" s="565"/>
      <c r="AJ275" s="504"/>
      <c r="AK275" s="330">
        <f>AJ275/VPI!R275</f>
        <v>0</v>
      </c>
      <c r="AL275" s="332">
        <f t="shared" si="19"/>
        <v>0</v>
      </c>
      <c r="AM275" s="330">
        <f>AL275/VPI!R275</f>
        <v>0</v>
      </c>
      <c r="AN275" s="504"/>
      <c r="AO275" s="565"/>
      <c r="AP275" s="511">
        <v>24.649215255187155</v>
      </c>
      <c r="AQ275" s="488"/>
      <c r="AR275" s="564">
        <v>1</v>
      </c>
    </row>
    <row r="276" spans="1:44" x14ac:dyDescent="0.25">
      <c r="A276" s="559">
        <v>5902</v>
      </c>
      <c r="B276" s="560" t="s">
        <v>51</v>
      </c>
      <c r="C276" s="488">
        <v>772757.57</v>
      </c>
      <c r="D276" s="488">
        <v>77389.25</v>
      </c>
      <c r="E276" s="488"/>
      <c r="F276" s="489"/>
      <c r="G276" s="488">
        <v>23960.400000000001</v>
      </c>
      <c r="H276" s="488">
        <v>407.15</v>
      </c>
      <c r="I276" s="488"/>
      <c r="J276" s="488">
        <v>4216.28</v>
      </c>
      <c r="K276" s="488"/>
      <c r="L276" s="488">
        <v>73496.800000000003</v>
      </c>
      <c r="M276" s="367">
        <f t="shared" si="16"/>
        <v>952227.45000000007</v>
      </c>
      <c r="N276" s="492">
        <v>0</v>
      </c>
      <c r="O276" s="492">
        <v>7548.1</v>
      </c>
      <c r="P276" s="492">
        <v>25555.4</v>
      </c>
      <c r="Q276" s="492"/>
      <c r="R276" s="492">
        <v>19525</v>
      </c>
      <c r="S276" s="488">
        <v>2297.4699999999998</v>
      </c>
      <c r="T276" s="367">
        <f t="shared" si="17"/>
        <v>1007153.42</v>
      </c>
      <c r="U276" s="652">
        <v>-14340.63</v>
      </c>
      <c r="V276" s="492"/>
      <c r="W276" s="492">
        <v>-171.7</v>
      </c>
      <c r="X276" s="496">
        <v>70</v>
      </c>
      <c r="Y276" s="497">
        <v>1</v>
      </c>
      <c r="Z276" s="498">
        <v>443</v>
      </c>
      <c r="AA276" s="561"/>
      <c r="AB276" s="503"/>
      <c r="AC276" s="330">
        <f>AB276/VPI!R276</f>
        <v>0</v>
      </c>
      <c r="AD276" s="332">
        <f t="shared" si="18"/>
        <v>0</v>
      </c>
      <c r="AE276" s="330">
        <f>AD276/VPI!R276</f>
        <v>0</v>
      </c>
      <c r="AF276" s="503"/>
      <c r="AG276" s="503"/>
      <c r="AH276" s="503"/>
      <c r="AI276" s="568"/>
      <c r="AJ276" s="498"/>
      <c r="AK276" s="330">
        <f>AJ276/VPI!R276</f>
        <v>0</v>
      </c>
      <c r="AL276" s="332">
        <f t="shared" si="19"/>
        <v>0</v>
      </c>
      <c r="AM276" s="330">
        <f>AL276/VPI!R276</f>
        <v>0</v>
      </c>
      <c r="AN276" s="498"/>
      <c r="AO276" s="568"/>
      <c r="AP276" s="511">
        <v>11.094075137627488</v>
      </c>
      <c r="AR276" s="564">
        <v>0</v>
      </c>
    </row>
    <row r="277" spans="1:44" x14ac:dyDescent="0.25">
      <c r="A277" s="559">
        <v>5903</v>
      </c>
      <c r="B277" s="560" t="s">
        <v>52</v>
      </c>
      <c r="C277" s="488">
        <v>359467.54</v>
      </c>
      <c r="D277" s="488">
        <v>47734.77</v>
      </c>
      <c r="E277" s="488"/>
      <c r="F277" s="489"/>
      <c r="G277" s="488">
        <v>4561.8999999999996</v>
      </c>
      <c r="H277" s="488">
        <v>97.1</v>
      </c>
      <c r="I277" s="488"/>
      <c r="J277" s="488">
        <v>739.18</v>
      </c>
      <c r="K277" s="488"/>
      <c r="L277" s="488">
        <v>28657.599999999999</v>
      </c>
      <c r="M277" s="367">
        <f t="shared" si="16"/>
        <v>441258.08999999997</v>
      </c>
      <c r="N277" s="492">
        <v>31899.05</v>
      </c>
      <c r="O277" s="492">
        <v>404.9</v>
      </c>
      <c r="P277" s="492">
        <v>14335.9</v>
      </c>
      <c r="Q277" s="492"/>
      <c r="R277" s="492">
        <v>19465.2</v>
      </c>
      <c r="S277" s="488">
        <v>439.27</v>
      </c>
      <c r="T277" s="367">
        <f t="shared" si="17"/>
        <v>507802.41000000003</v>
      </c>
      <c r="U277" s="490">
        <v>-1763.74</v>
      </c>
      <c r="V277" s="492"/>
      <c r="W277" s="492">
        <v>-148.05000000000001</v>
      </c>
      <c r="X277" s="496">
        <v>72</v>
      </c>
      <c r="Y277" s="497">
        <v>0.7</v>
      </c>
      <c r="Z277" s="498">
        <v>253</v>
      </c>
      <c r="AA277" s="561"/>
      <c r="AB277" s="503"/>
      <c r="AC277" s="330">
        <f>AB277/VPI!R277</f>
        <v>0</v>
      </c>
      <c r="AD277" s="332">
        <f t="shared" si="18"/>
        <v>0</v>
      </c>
      <c r="AE277" s="330">
        <f>AD277/VPI!R277</f>
        <v>0</v>
      </c>
      <c r="AF277" s="503"/>
      <c r="AG277" s="503"/>
      <c r="AH277" s="503"/>
      <c r="AI277" s="568"/>
      <c r="AJ277" s="498"/>
      <c r="AK277" s="330">
        <f>AJ277/VPI!R277</f>
        <v>0</v>
      </c>
      <c r="AL277" s="332">
        <f t="shared" si="19"/>
        <v>0</v>
      </c>
      <c r="AM277" s="330">
        <f>AL277/VPI!R277</f>
        <v>0</v>
      </c>
      <c r="AN277" s="498"/>
      <c r="AO277" s="568"/>
      <c r="AP277" s="511">
        <v>6.8888137899968065</v>
      </c>
      <c r="AR277" s="564">
        <v>0</v>
      </c>
    </row>
    <row r="278" spans="1:44" x14ac:dyDescent="0.25">
      <c r="A278" s="559">
        <v>5904</v>
      </c>
      <c r="B278" s="560" t="s">
        <v>53</v>
      </c>
      <c r="C278" s="488">
        <v>909072.21</v>
      </c>
      <c r="D278" s="488">
        <v>163769.74</v>
      </c>
      <c r="E278" s="488"/>
      <c r="F278" s="489"/>
      <c r="G278" s="488">
        <v>20588.3</v>
      </c>
      <c r="H278" s="488">
        <v>256.35000000000002</v>
      </c>
      <c r="I278" s="488"/>
      <c r="J278" s="488">
        <v>15765.96</v>
      </c>
      <c r="K278" s="488">
        <v>-653.35</v>
      </c>
      <c r="L278" s="488">
        <v>102349.9</v>
      </c>
      <c r="M278" s="367">
        <f t="shared" si="16"/>
        <v>1211149.1099999999</v>
      </c>
      <c r="N278" s="492">
        <v>36808.449999999997</v>
      </c>
      <c r="O278" s="492"/>
      <c r="P278" s="492">
        <v>54757.55</v>
      </c>
      <c r="Q278" s="492"/>
      <c r="R278" s="492">
        <v>15874.35</v>
      </c>
      <c r="S278" s="488">
        <v>1965.31</v>
      </c>
      <c r="T278" s="367">
        <f t="shared" si="17"/>
        <v>1320554.77</v>
      </c>
      <c r="U278" s="490">
        <v>-14063.23</v>
      </c>
      <c r="V278" s="492"/>
      <c r="W278" s="492">
        <v>-188.17</v>
      </c>
      <c r="X278" s="496">
        <v>66</v>
      </c>
      <c r="Y278" s="497">
        <v>1</v>
      </c>
      <c r="Z278" s="498">
        <v>561</v>
      </c>
      <c r="AA278" s="561"/>
      <c r="AB278" s="503"/>
      <c r="AC278" s="330">
        <f>AB278/VPI!R278</f>
        <v>0</v>
      </c>
      <c r="AD278" s="332">
        <f t="shared" si="18"/>
        <v>0</v>
      </c>
      <c r="AE278" s="330">
        <f>AD278/VPI!R278</f>
        <v>0</v>
      </c>
      <c r="AF278" s="503"/>
      <c r="AG278" s="503"/>
      <c r="AH278" s="503"/>
      <c r="AI278" s="568"/>
      <c r="AJ278" s="498"/>
      <c r="AK278" s="330">
        <f>AJ278/VPI!R278</f>
        <v>0</v>
      </c>
      <c r="AL278" s="332">
        <f t="shared" si="19"/>
        <v>0</v>
      </c>
      <c r="AM278" s="330">
        <f>AL278/VPI!R278</f>
        <v>0</v>
      </c>
      <c r="AN278" s="498"/>
      <c r="AO278" s="568"/>
      <c r="AP278" s="511">
        <v>18.984025305530889</v>
      </c>
      <c r="AR278" s="564">
        <v>1</v>
      </c>
    </row>
    <row r="279" spans="1:44" x14ac:dyDescent="0.25">
      <c r="A279" s="559">
        <v>5905</v>
      </c>
      <c r="B279" s="560" t="s">
        <v>54</v>
      </c>
      <c r="C279" s="488">
        <v>1084875.5900000001</v>
      </c>
      <c r="D279" s="488">
        <v>141019.72</v>
      </c>
      <c r="E279" s="488"/>
      <c r="F279" s="489"/>
      <c r="G279" s="488">
        <v>170383.8</v>
      </c>
      <c r="H279" s="488">
        <v>3577.15</v>
      </c>
      <c r="I279" s="488"/>
      <c r="J279" s="488">
        <v>31155.06</v>
      </c>
      <c r="K279" s="488">
        <v>3616.2</v>
      </c>
      <c r="L279" s="619">
        <v>117962</v>
      </c>
      <c r="M279" s="367">
        <f t="shared" si="16"/>
        <v>1552589.52</v>
      </c>
      <c r="N279" s="492">
        <v>187150.85</v>
      </c>
      <c r="O279" s="492">
        <v>97.9</v>
      </c>
      <c r="P279" s="492">
        <v>10635.6</v>
      </c>
      <c r="Q279" s="492">
        <v>-0.22</v>
      </c>
      <c r="R279" s="492">
        <v>42853.05</v>
      </c>
      <c r="S279" s="488">
        <v>16401.71</v>
      </c>
      <c r="T279" s="367">
        <f t="shared" si="17"/>
        <v>1809728.4100000001</v>
      </c>
      <c r="U279" s="490">
        <v>-10784.25</v>
      </c>
      <c r="V279" s="492"/>
      <c r="W279" s="492">
        <v>-35.65</v>
      </c>
      <c r="X279" s="496">
        <v>70</v>
      </c>
      <c r="Y279" s="497">
        <v>1</v>
      </c>
      <c r="Z279" s="498">
        <v>731</v>
      </c>
      <c r="AA279" s="561"/>
      <c r="AB279" s="503"/>
      <c r="AC279" s="330">
        <f>AB279/VPI!R279</f>
        <v>0</v>
      </c>
      <c r="AD279" s="332">
        <f t="shared" si="18"/>
        <v>0</v>
      </c>
      <c r="AE279" s="330">
        <f>AD279/VPI!R279</f>
        <v>0</v>
      </c>
      <c r="AF279" s="503"/>
      <c r="AG279" s="503"/>
      <c r="AH279" s="503"/>
      <c r="AI279" s="568"/>
      <c r="AJ279" s="498"/>
      <c r="AK279" s="330">
        <f>AJ279/VPI!R279</f>
        <v>0</v>
      </c>
      <c r="AL279" s="332">
        <f t="shared" si="19"/>
        <v>0</v>
      </c>
      <c r="AM279" s="330">
        <f>AL279/VPI!R279</f>
        <v>0</v>
      </c>
      <c r="AN279" s="498"/>
      <c r="AO279" s="568"/>
      <c r="AP279" s="511">
        <v>13.606591328390705</v>
      </c>
      <c r="AR279" s="564">
        <v>0</v>
      </c>
    </row>
    <row r="280" spans="1:44" x14ac:dyDescent="0.25">
      <c r="A280" s="559">
        <v>5907</v>
      </c>
      <c r="B280" s="560" t="s">
        <v>55</v>
      </c>
      <c r="C280" s="488">
        <v>538766.93000000005</v>
      </c>
      <c r="D280" s="488">
        <v>66932.820000000007</v>
      </c>
      <c r="E280" s="488"/>
      <c r="F280" s="489">
        <v>1980</v>
      </c>
      <c r="G280" s="488">
        <v>2928.3</v>
      </c>
      <c r="H280" s="488">
        <v>132.55000000000001</v>
      </c>
      <c r="I280" s="488"/>
      <c r="J280" s="488">
        <v>3899.52</v>
      </c>
      <c r="K280" s="488">
        <v>580.70000000000005</v>
      </c>
      <c r="L280" s="488">
        <v>51862.720000000001</v>
      </c>
      <c r="M280" s="367">
        <f t="shared" si="16"/>
        <v>667083.54</v>
      </c>
      <c r="N280" s="492">
        <v>6879.3</v>
      </c>
      <c r="O280" s="492">
        <v>502.5</v>
      </c>
      <c r="P280" s="492">
        <v>27390</v>
      </c>
      <c r="Q280" s="492"/>
      <c r="R280" s="492">
        <v>85221.8</v>
      </c>
      <c r="S280" s="488">
        <v>288.58999999999997</v>
      </c>
      <c r="T280" s="367">
        <f t="shared" si="17"/>
        <v>787365.7300000001</v>
      </c>
      <c r="U280" s="490">
        <v>-7527.72</v>
      </c>
      <c r="V280" s="492"/>
      <c r="W280" s="492">
        <v>0</v>
      </c>
      <c r="X280" s="496">
        <v>75</v>
      </c>
      <c r="Y280" s="497">
        <v>1</v>
      </c>
      <c r="Z280" s="498">
        <v>317</v>
      </c>
      <c r="AA280" s="561"/>
      <c r="AB280" s="503"/>
      <c r="AC280" s="330">
        <f>AB280/VPI!R280</f>
        <v>0</v>
      </c>
      <c r="AD280" s="332">
        <f t="shared" si="18"/>
        <v>0</v>
      </c>
      <c r="AE280" s="330">
        <f>AD280/VPI!R280</f>
        <v>0</v>
      </c>
      <c r="AF280" s="503"/>
      <c r="AG280" s="503"/>
      <c r="AH280" s="503"/>
      <c r="AI280" s="568"/>
      <c r="AJ280" s="498"/>
      <c r="AK280" s="330">
        <f>AJ280/VPI!R280</f>
        <v>0</v>
      </c>
      <c r="AL280" s="332">
        <f t="shared" si="19"/>
        <v>0</v>
      </c>
      <c r="AM280" s="330">
        <f>AL280/VPI!R280</f>
        <v>0</v>
      </c>
      <c r="AN280" s="498"/>
      <c r="AO280" s="568"/>
      <c r="AP280" s="511">
        <v>7.7003214115592735</v>
      </c>
      <c r="AR280" s="564">
        <v>0</v>
      </c>
    </row>
    <row r="281" spans="1:44" x14ac:dyDescent="0.25">
      <c r="A281" s="559">
        <v>5908</v>
      </c>
      <c r="B281" s="560" t="s">
        <v>56</v>
      </c>
      <c r="C281" s="488">
        <v>318037.43</v>
      </c>
      <c r="D281" s="488">
        <v>59317.84</v>
      </c>
      <c r="E281" s="488"/>
      <c r="F281" s="489"/>
      <c r="G281" s="488">
        <v>31245.35</v>
      </c>
      <c r="H281" s="488">
        <v>1.35</v>
      </c>
      <c r="I281" s="488"/>
      <c r="J281" s="488">
        <v>1673.11</v>
      </c>
      <c r="K281" s="488">
        <v>92.95</v>
      </c>
      <c r="L281" s="488">
        <v>28876.35</v>
      </c>
      <c r="M281" s="367">
        <f t="shared" si="16"/>
        <v>439244.37999999995</v>
      </c>
      <c r="N281" s="492">
        <v>680.55</v>
      </c>
      <c r="O281" s="492"/>
      <c r="P281" s="492">
        <v>11731.05</v>
      </c>
      <c r="Q281" s="492">
        <v>4825.34</v>
      </c>
      <c r="R281" s="492"/>
      <c r="S281" s="488">
        <v>2946.06</v>
      </c>
      <c r="T281" s="367">
        <f t="shared" si="17"/>
        <v>459427.37999999995</v>
      </c>
      <c r="U281" s="490">
        <v>-8362.61</v>
      </c>
      <c r="V281" s="492"/>
      <c r="W281" s="492">
        <v>0</v>
      </c>
      <c r="X281" s="496">
        <v>75</v>
      </c>
      <c r="Y281" s="497">
        <v>1</v>
      </c>
      <c r="Z281" s="498">
        <v>175</v>
      </c>
      <c r="AA281" s="561"/>
      <c r="AB281" s="503"/>
      <c r="AC281" s="330">
        <f>AB281/VPI!R281</f>
        <v>0</v>
      </c>
      <c r="AD281" s="332">
        <f t="shared" si="18"/>
        <v>0</v>
      </c>
      <c r="AE281" s="330">
        <f>AD281/VPI!R281</f>
        <v>0</v>
      </c>
      <c r="AF281" s="503"/>
      <c r="AG281" s="503"/>
      <c r="AH281" s="503"/>
      <c r="AI281" s="568"/>
      <c r="AJ281" s="498"/>
      <c r="AK281" s="330">
        <f>AJ281/VPI!R281</f>
        <v>0</v>
      </c>
      <c r="AL281" s="332">
        <f t="shared" si="19"/>
        <v>0</v>
      </c>
      <c r="AM281" s="330">
        <f>AL281/VPI!R281</f>
        <v>0</v>
      </c>
      <c r="AN281" s="498"/>
      <c r="AO281" s="568"/>
      <c r="AP281" s="511">
        <v>12.864192402382256</v>
      </c>
      <c r="AR281" s="564">
        <v>0</v>
      </c>
    </row>
    <row r="282" spans="1:44" x14ac:dyDescent="0.25">
      <c r="A282" s="559">
        <v>5909</v>
      </c>
      <c r="B282" s="560" t="s">
        <v>57</v>
      </c>
      <c r="C282" s="488">
        <v>2012765.02</v>
      </c>
      <c r="D282" s="488">
        <v>374256.26</v>
      </c>
      <c r="E282" s="488"/>
      <c r="F282" s="489"/>
      <c r="G282" s="488">
        <v>7131.15</v>
      </c>
      <c r="H282" s="488">
        <v>2644.8</v>
      </c>
      <c r="I282" s="488"/>
      <c r="J282" s="488">
        <v>20383.86</v>
      </c>
      <c r="K282" s="488">
        <v>-715</v>
      </c>
      <c r="L282" s="488">
        <v>176759.6</v>
      </c>
      <c r="M282" s="367">
        <f t="shared" si="16"/>
        <v>2593225.69</v>
      </c>
      <c r="N282" s="492">
        <v>10577.45</v>
      </c>
      <c r="O282" s="492">
        <v>18256.3</v>
      </c>
      <c r="P282" s="492">
        <v>30855</v>
      </c>
      <c r="Q282" s="492"/>
      <c r="R282" s="492">
        <v>30243.75</v>
      </c>
      <c r="S282" s="488">
        <v>921.71</v>
      </c>
      <c r="T282" s="367">
        <f t="shared" si="17"/>
        <v>2684079.9</v>
      </c>
      <c r="U282" s="490">
        <v>-1794.46</v>
      </c>
      <c r="V282" s="492"/>
      <c r="W282" s="492">
        <v>-552.73</v>
      </c>
      <c r="X282" s="496">
        <v>67</v>
      </c>
      <c r="Y282" s="497">
        <v>1</v>
      </c>
      <c r="Z282" s="498">
        <v>739</v>
      </c>
      <c r="AA282" s="561"/>
      <c r="AB282" s="503"/>
      <c r="AC282" s="330">
        <f>AB282/VPI!R282</f>
        <v>0</v>
      </c>
      <c r="AD282" s="332">
        <f t="shared" si="18"/>
        <v>0</v>
      </c>
      <c r="AE282" s="330">
        <f>AD282/VPI!R282</f>
        <v>0</v>
      </c>
      <c r="AF282" s="503"/>
      <c r="AG282" s="503"/>
      <c r="AH282" s="503"/>
      <c r="AI282" s="568"/>
      <c r="AJ282" s="498"/>
      <c r="AK282" s="330">
        <f>AJ282/VPI!R282</f>
        <v>0</v>
      </c>
      <c r="AL282" s="332">
        <f t="shared" si="19"/>
        <v>0</v>
      </c>
      <c r="AM282" s="330">
        <f>AL282/VPI!R282</f>
        <v>0</v>
      </c>
      <c r="AN282" s="498"/>
      <c r="AO282" s="568"/>
      <c r="AP282" s="511">
        <v>27.271456391994224</v>
      </c>
      <c r="AR282" s="564">
        <v>1</v>
      </c>
    </row>
    <row r="283" spans="1:44" x14ac:dyDescent="0.25">
      <c r="A283" s="559">
        <v>5910</v>
      </c>
      <c r="B283" s="560" t="s">
        <v>58</v>
      </c>
      <c r="C283" s="488">
        <v>867187.04</v>
      </c>
      <c r="D283" s="488">
        <v>79846.09</v>
      </c>
      <c r="E283" s="488"/>
      <c r="F283" s="489">
        <v>2390</v>
      </c>
      <c r="G283" s="488">
        <v>3289.85</v>
      </c>
      <c r="H283" s="488">
        <v>442.5</v>
      </c>
      <c r="I283" s="488"/>
      <c r="J283" s="488">
        <v>4594.91</v>
      </c>
      <c r="K283" s="488"/>
      <c r="L283" s="488">
        <v>65089.35</v>
      </c>
      <c r="M283" s="367">
        <f t="shared" si="16"/>
        <v>1022839.74</v>
      </c>
      <c r="N283" s="492">
        <v>8449.9</v>
      </c>
      <c r="O283" s="492">
        <v>795.7</v>
      </c>
      <c r="P283" s="492">
        <v>23064.05</v>
      </c>
      <c r="Q283" s="492"/>
      <c r="R283" s="492">
        <v>22486.55</v>
      </c>
      <c r="S283" s="488">
        <v>351.9</v>
      </c>
      <c r="T283" s="367">
        <f t="shared" si="17"/>
        <v>1077987.8399999999</v>
      </c>
      <c r="U283" s="490">
        <v>-23927.51</v>
      </c>
      <c r="V283" s="492"/>
      <c r="W283" s="492">
        <v>0</v>
      </c>
      <c r="X283" s="496">
        <v>77</v>
      </c>
      <c r="Y283" s="497">
        <v>1</v>
      </c>
      <c r="Z283" s="498">
        <v>422</v>
      </c>
      <c r="AA283" s="561"/>
      <c r="AB283" s="503"/>
      <c r="AC283" s="330">
        <f>AB283/VPI!R283</f>
        <v>0</v>
      </c>
      <c r="AD283" s="332">
        <f t="shared" si="18"/>
        <v>0</v>
      </c>
      <c r="AE283" s="330">
        <f>AD283/VPI!R283</f>
        <v>0</v>
      </c>
      <c r="AF283" s="503"/>
      <c r="AG283" s="503"/>
      <c r="AH283" s="503"/>
      <c r="AI283" s="568"/>
      <c r="AJ283" s="498"/>
      <c r="AK283" s="330">
        <f>AJ283/VPI!R283</f>
        <v>0</v>
      </c>
      <c r="AL283" s="332">
        <f t="shared" si="19"/>
        <v>0</v>
      </c>
      <c r="AM283" s="330">
        <f>AL283/VPI!R283</f>
        <v>0</v>
      </c>
      <c r="AN283" s="498"/>
      <c r="AO283" s="568"/>
      <c r="AP283" s="511">
        <v>5.1484930161466336</v>
      </c>
      <c r="AR283" s="564">
        <v>0</v>
      </c>
    </row>
    <row r="284" spans="1:44" x14ac:dyDescent="0.25">
      <c r="A284" s="559">
        <v>5911</v>
      </c>
      <c r="B284" s="560" t="s">
        <v>59</v>
      </c>
      <c r="C284" s="488">
        <v>485032.62</v>
      </c>
      <c r="D284" s="488">
        <v>54856.38</v>
      </c>
      <c r="E284" s="488"/>
      <c r="F284" s="489">
        <v>1760</v>
      </c>
      <c r="G284" s="488">
        <v>6913.55</v>
      </c>
      <c r="H284" s="488">
        <v>860.2</v>
      </c>
      <c r="I284" s="488"/>
      <c r="J284" s="488">
        <v>16588.580000000002</v>
      </c>
      <c r="K284" s="488">
        <v>2200.0500000000002</v>
      </c>
      <c r="L284" s="488">
        <v>37082.800000000003</v>
      </c>
      <c r="M284" s="367">
        <f t="shared" si="16"/>
        <v>605294.18000000005</v>
      </c>
      <c r="N284" s="492">
        <v>0</v>
      </c>
      <c r="O284" s="492">
        <v>-0.3</v>
      </c>
      <c r="P284" s="492">
        <v>14080</v>
      </c>
      <c r="Q284" s="492"/>
      <c r="R284" s="492">
        <v>11576.9</v>
      </c>
      <c r="S284" s="488">
        <v>732.94</v>
      </c>
      <c r="T284" s="367">
        <f t="shared" si="17"/>
        <v>631683.72</v>
      </c>
      <c r="U284" s="490">
        <v>-3578.63</v>
      </c>
      <c r="V284" s="492"/>
      <c r="W284" s="492">
        <v>-379.95</v>
      </c>
      <c r="X284" s="496">
        <v>77</v>
      </c>
      <c r="Y284" s="497">
        <v>1</v>
      </c>
      <c r="Z284" s="498">
        <v>242</v>
      </c>
      <c r="AA284" s="561"/>
      <c r="AB284" s="503"/>
      <c r="AC284" s="330">
        <f>AB284/VPI!R284</f>
        <v>0</v>
      </c>
      <c r="AD284" s="332">
        <f t="shared" si="18"/>
        <v>0</v>
      </c>
      <c r="AE284" s="330">
        <f>AD284/VPI!R284</f>
        <v>0</v>
      </c>
      <c r="AF284" s="503"/>
      <c r="AG284" s="503"/>
      <c r="AH284" s="503"/>
      <c r="AI284" s="568"/>
      <c r="AJ284" s="498"/>
      <c r="AK284" s="330">
        <f>AJ284/VPI!R284</f>
        <v>0</v>
      </c>
      <c r="AL284" s="332">
        <f t="shared" si="19"/>
        <v>0</v>
      </c>
      <c r="AM284" s="330">
        <f>AL284/VPI!R284</f>
        <v>0</v>
      </c>
      <c r="AN284" s="498"/>
      <c r="AO284" s="568"/>
      <c r="AP284" s="511">
        <v>14.958965108730792</v>
      </c>
      <c r="AR284" s="564">
        <v>0</v>
      </c>
    </row>
    <row r="285" spans="1:44" x14ac:dyDescent="0.25">
      <c r="A285" s="559">
        <v>5912</v>
      </c>
      <c r="B285" s="560" t="s">
        <v>60</v>
      </c>
      <c r="C285" s="488">
        <v>243988.48000000001</v>
      </c>
      <c r="D285" s="488">
        <v>39002.22</v>
      </c>
      <c r="E285" s="488"/>
      <c r="F285" s="489">
        <v>930</v>
      </c>
      <c r="G285" s="488">
        <v>4601.55</v>
      </c>
      <c r="H285" s="488">
        <v>100.55</v>
      </c>
      <c r="I285" s="488"/>
      <c r="J285" s="488">
        <v>4809.9799999999996</v>
      </c>
      <c r="K285" s="488">
        <v>-188</v>
      </c>
      <c r="L285" s="488">
        <v>24163.4</v>
      </c>
      <c r="M285" s="367">
        <f t="shared" si="16"/>
        <v>317408.18</v>
      </c>
      <c r="N285" s="492">
        <v>9607.1</v>
      </c>
      <c r="O285" s="492"/>
      <c r="P285" s="492">
        <v>7778.35</v>
      </c>
      <c r="Q285" s="492">
        <v>2001.9</v>
      </c>
      <c r="R285" s="492"/>
      <c r="S285" s="488">
        <v>443.33</v>
      </c>
      <c r="T285" s="367">
        <f t="shared" si="17"/>
        <v>337238.86</v>
      </c>
      <c r="U285" s="490">
        <v>-22608.04</v>
      </c>
      <c r="V285" s="492"/>
      <c r="W285" s="492">
        <v>-1.25</v>
      </c>
      <c r="X285" s="496">
        <v>78</v>
      </c>
      <c r="Y285" s="497">
        <v>1</v>
      </c>
      <c r="Z285" s="498">
        <v>160</v>
      </c>
      <c r="AA285" s="561"/>
      <c r="AB285" s="503"/>
      <c r="AC285" s="330">
        <f>AB285/VPI!R285</f>
        <v>0</v>
      </c>
      <c r="AD285" s="332">
        <f t="shared" si="18"/>
        <v>0</v>
      </c>
      <c r="AE285" s="330">
        <f>AD285/VPI!R285</f>
        <v>0</v>
      </c>
      <c r="AF285" s="503"/>
      <c r="AG285" s="503"/>
      <c r="AH285" s="503"/>
      <c r="AI285" s="568"/>
      <c r="AJ285" s="498"/>
      <c r="AK285" s="330">
        <f>AJ285/VPI!R285</f>
        <v>0</v>
      </c>
      <c r="AL285" s="332">
        <f t="shared" si="19"/>
        <v>0</v>
      </c>
      <c r="AM285" s="330">
        <f>AL285/VPI!R285</f>
        <v>0</v>
      </c>
      <c r="AN285" s="498"/>
      <c r="AO285" s="568"/>
      <c r="AP285" s="511">
        <v>-14.833164285211094</v>
      </c>
      <c r="AR285" s="564">
        <v>0</v>
      </c>
    </row>
    <row r="286" spans="1:44" x14ac:dyDescent="0.25">
      <c r="A286" s="559">
        <v>5913</v>
      </c>
      <c r="B286" s="560" t="s">
        <v>61</v>
      </c>
      <c r="C286" s="488">
        <v>1200366.04</v>
      </c>
      <c r="D286" s="488">
        <v>175167.26</v>
      </c>
      <c r="E286" s="488"/>
      <c r="F286" s="489"/>
      <c r="G286" s="488">
        <v>40565.800000000003</v>
      </c>
      <c r="H286" s="488">
        <v>756.55</v>
      </c>
      <c r="I286" s="488"/>
      <c r="J286" s="488">
        <v>14736.34</v>
      </c>
      <c r="K286" s="488">
        <v>1178.2</v>
      </c>
      <c r="L286" s="488">
        <v>128823</v>
      </c>
      <c r="M286" s="367">
        <f t="shared" si="16"/>
        <v>1561593.1900000002</v>
      </c>
      <c r="N286" s="492">
        <v>20900.650000000001</v>
      </c>
      <c r="O286" s="492"/>
      <c r="P286" s="492">
        <v>81461.45</v>
      </c>
      <c r="Q286" s="492">
        <v>37949.4</v>
      </c>
      <c r="R286" s="492">
        <v>72190.05</v>
      </c>
      <c r="S286" s="488">
        <v>3896.03</v>
      </c>
      <c r="T286" s="367">
        <f t="shared" si="17"/>
        <v>1777990.77</v>
      </c>
      <c r="U286" s="490">
        <v>-49431.519999999997</v>
      </c>
      <c r="V286" s="492"/>
      <c r="W286" s="492">
        <v>0</v>
      </c>
      <c r="X286" s="496">
        <v>73</v>
      </c>
      <c r="Y286" s="497">
        <v>1</v>
      </c>
      <c r="Z286" s="498">
        <v>919</v>
      </c>
      <c r="AA286" s="561"/>
      <c r="AB286" s="503"/>
      <c r="AC286" s="330">
        <f>AB286/VPI!R286</f>
        <v>0</v>
      </c>
      <c r="AD286" s="332">
        <f t="shared" si="18"/>
        <v>0</v>
      </c>
      <c r="AE286" s="330">
        <f>AD286/VPI!R286</f>
        <v>0</v>
      </c>
      <c r="AF286" s="503"/>
      <c r="AG286" s="503"/>
      <c r="AH286" s="503"/>
      <c r="AI286" s="568"/>
      <c r="AJ286" s="498"/>
      <c r="AK286" s="330">
        <f>AJ286/VPI!R286</f>
        <v>0</v>
      </c>
      <c r="AL286" s="332">
        <f t="shared" si="19"/>
        <v>0</v>
      </c>
      <c r="AM286" s="330">
        <f>AL286/VPI!R286</f>
        <v>0</v>
      </c>
      <c r="AN286" s="498"/>
      <c r="AO286" s="568"/>
      <c r="AP286" s="511">
        <v>4.0114813128131956</v>
      </c>
      <c r="AR286" s="564">
        <v>0</v>
      </c>
    </row>
    <row r="287" spans="1:44" x14ac:dyDescent="0.25">
      <c r="A287" s="559">
        <v>5914</v>
      </c>
      <c r="B287" s="560" t="s">
        <v>62</v>
      </c>
      <c r="C287" s="488">
        <v>652427.29</v>
      </c>
      <c r="D287" s="488">
        <v>68559.520000000004</v>
      </c>
      <c r="E287" s="488"/>
      <c r="F287" s="489">
        <v>2150.85</v>
      </c>
      <c r="G287" s="488">
        <v>13549.1</v>
      </c>
      <c r="H287" s="488">
        <v>3574.9</v>
      </c>
      <c r="I287" s="488"/>
      <c r="J287" s="488">
        <v>21490.28</v>
      </c>
      <c r="K287" s="488">
        <v>7972.35</v>
      </c>
      <c r="L287" s="488">
        <v>66338.5</v>
      </c>
      <c r="M287" s="367">
        <f t="shared" si="16"/>
        <v>836062.79</v>
      </c>
      <c r="N287" s="492">
        <v>23357.15</v>
      </c>
      <c r="O287" s="492">
        <v>890.8</v>
      </c>
      <c r="P287" s="492">
        <v>20559</v>
      </c>
      <c r="Q287" s="492">
        <v>1110.5</v>
      </c>
      <c r="R287" s="492">
        <v>12419.8</v>
      </c>
      <c r="S287" s="488">
        <v>1614.52</v>
      </c>
      <c r="T287" s="367">
        <f t="shared" si="17"/>
        <v>896014.56000000017</v>
      </c>
      <c r="U287" s="490">
        <v>-9012.41</v>
      </c>
      <c r="V287" s="492"/>
      <c r="W287" s="492">
        <v>0</v>
      </c>
      <c r="X287" s="496">
        <v>73.5</v>
      </c>
      <c r="Y287" s="497">
        <v>1</v>
      </c>
      <c r="Z287" s="498">
        <v>388</v>
      </c>
      <c r="AA287" s="561"/>
      <c r="AB287" s="503"/>
      <c r="AC287" s="330">
        <f>AB287/VPI!R287</f>
        <v>0</v>
      </c>
      <c r="AD287" s="332">
        <f t="shared" si="18"/>
        <v>0</v>
      </c>
      <c r="AE287" s="330">
        <f>AD287/VPI!R287</f>
        <v>0</v>
      </c>
      <c r="AF287" s="503"/>
      <c r="AG287" s="503"/>
      <c r="AH287" s="503"/>
      <c r="AI287" s="568"/>
      <c r="AJ287" s="498"/>
      <c r="AK287" s="330">
        <f>AJ287/VPI!R287</f>
        <v>0</v>
      </c>
      <c r="AL287" s="332">
        <f t="shared" si="19"/>
        <v>0</v>
      </c>
      <c r="AM287" s="330">
        <f>AL287/VPI!R287</f>
        <v>0</v>
      </c>
      <c r="AN287" s="498"/>
      <c r="AO287" s="568"/>
      <c r="AP287" s="511">
        <v>7.8622575744520944</v>
      </c>
      <c r="AR287" s="564">
        <v>1</v>
      </c>
    </row>
    <row r="288" spans="1:44" x14ac:dyDescent="0.25">
      <c r="A288" s="559">
        <v>5919</v>
      </c>
      <c r="B288" s="560" t="s">
        <v>321</v>
      </c>
      <c r="C288" s="488">
        <v>1124325.1299999999</v>
      </c>
      <c r="D288" s="488">
        <v>143689.82999999999</v>
      </c>
      <c r="E288" s="488"/>
      <c r="F288" s="489">
        <v>4120</v>
      </c>
      <c r="G288" s="488">
        <v>26623.65</v>
      </c>
      <c r="H288" s="488">
        <v>1565</v>
      </c>
      <c r="I288" s="488"/>
      <c r="J288" s="488">
        <v>33502.550000000003</v>
      </c>
      <c r="K288" s="488">
        <v>11062.05</v>
      </c>
      <c r="L288" s="488">
        <v>162486.15</v>
      </c>
      <c r="M288" s="367">
        <f t="shared" si="16"/>
        <v>1507374.3599999999</v>
      </c>
      <c r="N288" s="492">
        <v>17402.3</v>
      </c>
      <c r="O288" s="492">
        <v>-4.5999999999999996</v>
      </c>
      <c r="P288" s="492">
        <v>55082.5</v>
      </c>
      <c r="Q288" s="492">
        <v>3960.64</v>
      </c>
      <c r="R288" s="492">
        <v>84062.85</v>
      </c>
      <c r="S288" s="488">
        <v>2657.73</v>
      </c>
      <c r="T288" s="367">
        <f t="shared" si="17"/>
        <v>1670535.7799999998</v>
      </c>
      <c r="U288" s="490">
        <v>-18264.88</v>
      </c>
      <c r="V288" s="492"/>
      <c r="W288" s="492">
        <v>0</v>
      </c>
      <c r="X288" s="496">
        <v>72</v>
      </c>
      <c r="Y288" s="497">
        <v>1.2</v>
      </c>
      <c r="Z288" s="498">
        <v>709</v>
      </c>
      <c r="AA288" s="561"/>
      <c r="AB288" s="503"/>
      <c r="AC288" s="330">
        <f>AB288/VPI!R288</f>
        <v>0</v>
      </c>
      <c r="AD288" s="332">
        <f t="shared" si="18"/>
        <v>0</v>
      </c>
      <c r="AE288" s="330">
        <f>AD288/VPI!R288</f>
        <v>0</v>
      </c>
      <c r="AF288" s="503"/>
      <c r="AG288" s="503"/>
      <c r="AH288" s="503"/>
      <c r="AI288" s="568"/>
      <c r="AJ288" s="498"/>
      <c r="AK288" s="330">
        <f>AJ288/VPI!R288</f>
        <v>0</v>
      </c>
      <c r="AL288" s="332">
        <f t="shared" si="19"/>
        <v>0</v>
      </c>
      <c r="AM288" s="330">
        <f>AL288/VPI!R288</f>
        <v>0</v>
      </c>
      <c r="AN288" s="498"/>
      <c r="AO288" s="568"/>
      <c r="AP288" s="511">
        <v>14.324334073831503</v>
      </c>
      <c r="AR288" s="564">
        <v>1</v>
      </c>
    </row>
    <row r="289" spans="1:44" x14ac:dyDescent="0.25">
      <c r="A289" s="559">
        <v>5921</v>
      </c>
      <c r="B289" s="560" t="s">
        <v>322</v>
      </c>
      <c r="C289" s="488">
        <v>348824.76</v>
      </c>
      <c r="D289" s="488">
        <v>43502.86</v>
      </c>
      <c r="E289" s="488"/>
      <c r="F289" s="489">
        <v>1570.05</v>
      </c>
      <c r="G289" s="488">
        <v>-493.2</v>
      </c>
      <c r="H289" s="488">
        <v>596.4</v>
      </c>
      <c r="I289" s="488"/>
      <c r="J289" s="488">
        <v>19207.240000000002</v>
      </c>
      <c r="K289" s="488"/>
      <c r="L289" s="488">
        <v>35925.550000000003</v>
      </c>
      <c r="M289" s="367">
        <f t="shared" si="16"/>
        <v>449133.66</v>
      </c>
      <c r="N289" s="492">
        <v>8873.65</v>
      </c>
      <c r="O289" s="492"/>
      <c r="P289" s="492">
        <v>1464.85</v>
      </c>
      <c r="Q289" s="492"/>
      <c r="R289" s="492">
        <v>3046.85</v>
      </c>
      <c r="S289" s="488">
        <v>9.73</v>
      </c>
      <c r="T289" s="367">
        <f t="shared" si="17"/>
        <v>462528.73999999993</v>
      </c>
      <c r="U289" s="490">
        <v>-7314.8</v>
      </c>
      <c r="V289" s="492"/>
      <c r="W289" s="492">
        <v>0</v>
      </c>
      <c r="X289" s="496">
        <v>81</v>
      </c>
      <c r="Y289" s="497">
        <v>1</v>
      </c>
      <c r="Z289" s="498">
        <v>282</v>
      </c>
      <c r="AA289" s="561"/>
      <c r="AB289" s="503"/>
      <c r="AC289" s="330">
        <f>AB289/VPI!R289</f>
        <v>0</v>
      </c>
      <c r="AD289" s="332">
        <f t="shared" si="18"/>
        <v>0</v>
      </c>
      <c r="AE289" s="330">
        <f>AD289/VPI!R289</f>
        <v>0</v>
      </c>
      <c r="AF289" s="503"/>
      <c r="AG289" s="503"/>
      <c r="AH289" s="503"/>
      <c r="AI289" s="568"/>
      <c r="AJ289" s="498"/>
      <c r="AK289" s="330">
        <f>AJ289/VPI!R289</f>
        <v>0</v>
      </c>
      <c r="AL289" s="332">
        <f t="shared" si="19"/>
        <v>0</v>
      </c>
      <c r="AM289" s="330">
        <f>AL289/VPI!R289</f>
        <v>0</v>
      </c>
      <c r="AN289" s="498"/>
      <c r="AO289" s="568"/>
      <c r="AP289" s="511">
        <v>-11.113771577582442</v>
      </c>
      <c r="AR289" s="564">
        <v>0</v>
      </c>
    </row>
    <row r="290" spans="1:44" x14ac:dyDescent="0.25">
      <c r="A290" s="559">
        <v>5922</v>
      </c>
      <c r="B290" s="560" t="s">
        <v>234</v>
      </c>
      <c r="C290" s="488">
        <v>1391398.77</v>
      </c>
      <c r="D290" s="488">
        <v>210515.91</v>
      </c>
      <c r="E290" s="488"/>
      <c r="F290" s="489"/>
      <c r="G290" s="488">
        <v>431911.1</v>
      </c>
      <c r="H290" s="488">
        <v>27065.85</v>
      </c>
      <c r="I290" s="488"/>
      <c r="J290" s="488">
        <v>100374.82</v>
      </c>
      <c r="K290" s="488">
        <v>57955.85</v>
      </c>
      <c r="L290" s="488">
        <v>269049.34999999998</v>
      </c>
      <c r="M290" s="367">
        <f t="shared" si="16"/>
        <v>2488271.65</v>
      </c>
      <c r="N290" s="492">
        <v>408418.55</v>
      </c>
      <c r="O290" s="492"/>
      <c r="P290" s="492">
        <v>62641.65</v>
      </c>
      <c r="Q290" s="492">
        <v>2191.33</v>
      </c>
      <c r="R290" s="492">
        <v>36661.9</v>
      </c>
      <c r="S290" s="488">
        <v>43274.11</v>
      </c>
      <c r="T290" s="367">
        <f t="shared" si="17"/>
        <v>3041459.1899999995</v>
      </c>
      <c r="U290" s="490">
        <v>-26181.31</v>
      </c>
      <c r="V290" s="492"/>
      <c r="W290" s="492">
        <v>-335.15</v>
      </c>
      <c r="X290" s="496">
        <v>64.5</v>
      </c>
      <c r="Y290" s="497">
        <v>0.8</v>
      </c>
      <c r="Z290" s="498">
        <v>777</v>
      </c>
      <c r="AA290" s="561"/>
      <c r="AB290" s="503"/>
      <c r="AC290" s="330">
        <f>AB290/VPI!R290</f>
        <v>0</v>
      </c>
      <c r="AD290" s="332">
        <f t="shared" si="18"/>
        <v>0</v>
      </c>
      <c r="AE290" s="330">
        <f>AD290/VPI!R290</f>
        <v>0</v>
      </c>
      <c r="AF290" s="503"/>
      <c r="AG290" s="503"/>
      <c r="AH290" s="503"/>
      <c r="AI290" s="568"/>
      <c r="AJ290" s="498"/>
      <c r="AK290" s="330">
        <f>AJ290/VPI!R290</f>
        <v>0</v>
      </c>
      <c r="AL290" s="332">
        <f t="shared" si="19"/>
        <v>0</v>
      </c>
      <c r="AM290" s="330">
        <f>AL290/VPI!R290</f>
        <v>0</v>
      </c>
      <c r="AN290" s="498"/>
      <c r="AO290" s="568"/>
      <c r="AP290" s="511">
        <v>29.082806120713965</v>
      </c>
      <c r="AR290" s="564">
        <v>0</v>
      </c>
    </row>
    <row r="291" spans="1:44" x14ac:dyDescent="0.25">
      <c r="A291" s="559">
        <v>5923</v>
      </c>
      <c r="B291" s="560" t="s">
        <v>235</v>
      </c>
      <c r="C291" s="488">
        <v>381962.45</v>
      </c>
      <c r="D291" s="488">
        <v>46000.02</v>
      </c>
      <c r="E291" s="488"/>
      <c r="F291" s="489"/>
      <c r="G291" s="488">
        <v>29624.55</v>
      </c>
      <c r="H291" s="488">
        <v>-891.4</v>
      </c>
      <c r="I291" s="488"/>
      <c r="J291" s="488">
        <v>9417.2800000000007</v>
      </c>
      <c r="K291" s="488"/>
      <c r="L291" s="488">
        <v>27502.1</v>
      </c>
      <c r="M291" s="367">
        <f t="shared" si="16"/>
        <v>493615</v>
      </c>
      <c r="N291" s="492">
        <v>33509.599999999999</v>
      </c>
      <c r="O291" s="492"/>
      <c r="P291" s="492">
        <v>2.2000000000000002</v>
      </c>
      <c r="Q291" s="492"/>
      <c r="R291" s="492"/>
      <c r="S291" s="488">
        <v>2709.07</v>
      </c>
      <c r="T291" s="367">
        <f t="shared" si="17"/>
        <v>529835.86999999988</v>
      </c>
      <c r="U291" s="490">
        <v>-59.8</v>
      </c>
      <c r="V291" s="492"/>
      <c r="W291" s="492">
        <v>0</v>
      </c>
      <c r="X291" s="496">
        <v>81</v>
      </c>
      <c r="Y291" s="497">
        <v>1</v>
      </c>
      <c r="Z291" s="498">
        <v>202</v>
      </c>
      <c r="AA291" s="561"/>
      <c r="AB291" s="503"/>
      <c r="AC291" s="330">
        <f>AB291/VPI!R291</f>
        <v>0</v>
      </c>
      <c r="AD291" s="332">
        <f t="shared" si="18"/>
        <v>0</v>
      </c>
      <c r="AE291" s="330">
        <f>AD291/VPI!R291</f>
        <v>0</v>
      </c>
      <c r="AF291" s="503"/>
      <c r="AG291" s="503"/>
      <c r="AH291" s="503"/>
      <c r="AI291" s="568"/>
      <c r="AJ291" s="498"/>
      <c r="AK291" s="330">
        <f>AJ291/VPI!R291</f>
        <v>0</v>
      </c>
      <c r="AL291" s="332">
        <f t="shared" si="19"/>
        <v>0</v>
      </c>
      <c r="AM291" s="330">
        <f>AL291/VPI!R291</f>
        <v>0</v>
      </c>
      <c r="AN291" s="498"/>
      <c r="AO291" s="568"/>
      <c r="AP291" s="511">
        <v>-6.4202715049808958</v>
      </c>
      <c r="AR291" s="564">
        <v>0</v>
      </c>
    </row>
    <row r="292" spans="1:44" x14ac:dyDescent="0.25">
      <c r="A292" s="559">
        <v>5924</v>
      </c>
      <c r="B292" s="560" t="s">
        <v>236</v>
      </c>
      <c r="C292" s="488">
        <v>786093.4</v>
      </c>
      <c r="D292" s="488">
        <v>61843.83</v>
      </c>
      <c r="E292" s="488"/>
      <c r="F292" s="489"/>
      <c r="G292" s="488">
        <v>-3934.25</v>
      </c>
      <c r="H292" s="488">
        <v>699.75</v>
      </c>
      <c r="I292" s="488"/>
      <c r="J292" s="488">
        <v>9462.26</v>
      </c>
      <c r="K292" s="488"/>
      <c r="L292" s="488">
        <v>65807.45</v>
      </c>
      <c r="M292" s="367">
        <f t="shared" si="16"/>
        <v>919972.44</v>
      </c>
      <c r="N292" s="492">
        <v>10613.3</v>
      </c>
      <c r="O292" s="492"/>
      <c r="P292" s="492">
        <v>19552.95</v>
      </c>
      <c r="Q292" s="492"/>
      <c r="R292" s="492">
        <v>27562.25</v>
      </c>
      <c r="S292" s="488">
        <v>-304.95999999999998</v>
      </c>
      <c r="T292" s="367">
        <f t="shared" si="17"/>
        <v>977395.98</v>
      </c>
      <c r="U292" s="490">
        <v>-1760.31</v>
      </c>
      <c r="V292" s="492"/>
      <c r="W292" s="492">
        <v>-170.74</v>
      </c>
      <c r="X292" s="496">
        <v>74</v>
      </c>
      <c r="Y292" s="497">
        <v>1</v>
      </c>
      <c r="Z292" s="498">
        <v>416</v>
      </c>
      <c r="AA292" s="561"/>
      <c r="AB292" s="503"/>
      <c r="AC292" s="330">
        <f>AB292/VPI!R292</f>
        <v>0</v>
      </c>
      <c r="AD292" s="332">
        <f t="shared" si="18"/>
        <v>0</v>
      </c>
      <c r="AE292" s="330">
        <f>AD292/VPI!R292</f>
        <v>0</v>
      </c>
      <c r="AF292" s="503"/>
      <c r="AG292" s="503"/>
      <c r="AH292" s="503"/>
      <c r="AI292" s="568"/>
      <c r="AJ292" s="498"/>
      <c r="AK292" s="330">
        <f>AJ292/VPI!R292</f>
        <v>0</v>
      </c>
      <c r="AL292" s="332">
        <f t="shared" si="19"/>
        <v>0</v>
      </c>
      <c r="AM292" s="330">
        <f>AL292/VPI!R292</f>
        <v>0</v>
      </c>
      <c r="AN292" s="498"/>
      <c r="AO292" s="568"/>
      <c r="AP292" s="511">
        <v>11.049255570100419</v>
      </c>
      <c r="AR292" s="564">
        <v>0</v>
      </c>
    </row>
    <row r="293" spans="1:44" x14ac:dyDescent="0.25">
      <c r="A293" s="559">
        <v>5925</v>
      </c>
      <c r="B293" s="560" t="s">
        <v>326</v>
      </c>
      <c r="C293" s="488">
        <v>339235.44</v>
      </c>
      <c r="D293" s="488">
        <v>71870.210000000006</v>
      </c>
      <c r="E293" s="488"/>
      <c r="F293" s="489">
        <v>1240</v>
      </c>
      <c r="G293" s="488">
        <v>13049.8</v>
      </c>
      <c r="H293" s="488">
        <v>314.85000000000002</v>
      </c>
      <c r="I293" s="488"/>
      <c r="J293" s="488">
        <v>7444.58</v>
      </c>
      <c r="K293" s="488"/>
      <c r="L293" s="488">
        <v>34728.699999999997</v>
      </c>
      <c r="M293" s="367">
        <f t="shared" si="16"/>
        <v>467883.58</v>
      </c>
      <c r="N293" s="492">
        <v>0</v>
      </c>
      <c r="O293" s="492">
        <v>25199.5</v>
      </c>
      <c r="P293" s="492">
        <v>35511.85</v>
      </c>
      <c r="Q293" s="492">
        <v>345.28</v>
      </c>
      <c r="R293" s="492">
        <v>46634.85</v>
      </c>
      <c r="S293" s="488">
        <v>1260.07</v>
      </c>
      <c r="T293" s="367">
        <f t="shared" si="17"/>
        <v>576835.13</v>
      </c>
      <c r="U293" s="490">
        <v>-6656.94</v>
      </c>
      <c r="V293" s="492"/>
      <c r="W293" s="492">
        <v>0</v>
      </c>
      <c r="X293" s="496">
        <v>79</v>
      </c>
      <c r="Y293" s="497">
        <v>1</v>
      </c>
      <c r="Z293" s="498">
        <v>214</v>
      </c>
      <c r="AA293" s="561"/>
      <c r="AB293" s="503"/>
      <c r="AC293" s="330">
        <f>AB293/VPI!R293</f>
        <v>0</v>
      </c>
      <c r="AD293" s="332">
        <f t="shared" si="18"/>
        <v>0</v>
      </c>
      <c r="AE293" s="330">
        <f>AD293/VPI!R293</f>
        <v>0</v>
      </c>
      <c r="AF293" s="503"/>
      <c r="AG293" s="503"/>
      <c r="AH293" s="503"/>
      <c r="AI293" s="568"/>
      <c r="AJ293" s="498"/>
      <c r="AK293" s="330">
        <f>AJ293/VPI!R293</f>
        <v>0</v>
      </c>
      <c r="AL293" s="332">
        <f t="shared" si="19"/>
        <v>0</v>
      </c>
      <c r="AM293" s="330">
        <f>AL293/VPI!R293</f>
        <v>0</v>
      </c>
      <c r="AN293" s="498"/>
      <c r="AO293" s="568"/>
      <c r="AP293" s="511">
        <v>1.7464281791295091</v>
      </c>
      <c r="AR293" s="564">
        <v>0</v>
      </c>
    </row>
    <row r="294" spans="1:44" x14ac:dyDescent="0.25">
      <c r="A294" s="559">
        <v>5926</v>
      </c>
      <c r="B294" s="560" t="s">
        <v>327</v>
      </c>
      <c r="C294" s="488">
        <v>1549908.88</v>
      </c>
      <c r="D294" s="488">
        <v>171910.48</v>
      </c>
      <c r="E294" s="488"/>
      <c r="F294" s="489"/>
      <c r="G294" s="488">
        <v>48692.55</v>
      </c>
      <c r="H294" s="488">
        <v>588.6</v>
      </c>
      <c r="I294" s="488"/>
      <c r="J294" s="488">
        <v>27263.96</v>
      </c>
      <c r="K294" s="488"/>
      <c r="L294" s="620">
        <v>143755.65</v>
      </c>
      <c r="M294" s="367">
        <f t="shared" si="16"/>
        <v>1942120.1199999999</v>
      </c>
      <c r="N294" s="492">
        <v>20250.95</v>
      </c>
      <c r="O294" s="492">
        <v>3045</v>
      </c>
      <c r="P294" s="492">
        <v>28761</v>
      </c>
      <c r="Q294" s="492"/>
      <c r="R294" s="492">
        <v>78096.95</v>
      </c>
      <c r="S294" s="488">
        <v>4646.42</v>
      </c>
      <c r="T294" s="367">
        <f t="shared" si="17"/>
        <v>2076920.4399999997</v>
      </c>
      <c r="U294" s="490">
        <v>-11626.05</v>
      </c>
      <c r="V294" s="492"/>
      <c r="W294" s="492">
        <v>-66.23</v>
      </c>
      <c r="X294" s="496">
        <v>71</v>
      </c>
      <c r="Y294" s="497">
        <v>1</v>
      </c>
      <c r="Z294" s="498">
        <v>875</v>
      </c>
      <c r="AA294" s="561"/>
      <c r="AB294" s="503"/>
      <c r="AC294" s="330">
        <f>AB294/VPI!R294</f>
        <v>0</v>
      </c>
      <c r="AD294" s="332">
        <f t="shared" si="18"/>
        <v>0</v>
      </c>
      <c r="AE294" s="330">
        <f>AD294/VPI!R294</f>
        <v>0</v>
      </c>
      <c r="AF294" s="503"/>
      <c r="AG294" s="503"/>
      <c r="AH294" s="503"/>
      <c r="AI294" s="568"/>
      <c r="AJ294" s="498"/>
      <c r="AK294" s="330">
        <f>AJ294/VPI!R294</f>
        <v>0</v>
      </c>
      <c r="AL294" s="332">
        <f t="shared" si="19"/>
        <v>0</v>
      </c>
      <c r="AM294" s="330">
        <f>AL294/VPI!R294</f>
        <v>0</v>
      </c>
      <c r="AN294" s="498"/>
      <c r="AO294" s="568"/>
      <c r="AP294" s="511">
        <v>15.092435726579506</v>
      </c>
      <c r="AR294" s="564">
        <v>1</v>
      </c>
    </row>
    <row r="295" spans="1:44" x14ac:dyDescent="0.25">
      <c r="A295" s="559">
        <v>5928</v>
      </c>
      <c r="B295" s="560" t="s">
        <v>328</v>
      </c>
      <c r="C295" s="488">
        <v>356554.88</v>
      </c>
      <c r="D295" s="488">
        <v>28990.42</v>
      </c>
      <c r="E295" s="488"/>
      <c r="F295" s="489"/>
      <c r="G295" s="488">
        <v>3996.7</v>
      </c>
      <c r="H295" s="488">
        <v>32</v>
      </c>
      <c r="I295" s="488"/>
      <c r="J295" s="488">
        <v>-12218.61</v>
      </c>
      <c r="K295" s="488"/>
      <c r="L295" s="488">
        <v>27791.7</v>
      </c>
      <c r="M295" s="367">
        <f t="shared" si="16"/>
        <v>405147.09</v>
      </c>
      <c r="N295" s="492">
        <v>15512.05</v>
      </c>
      <c r="O295" s="492"/>
      <c r="P295" s="492">
        <v>10881.8</v>
      </c>
      <c r="Q295" s="492"/>
      <c r="R295" s="492">
        <v>2558.8000000000002</v>
      </c>
      <c r="S295" s="488">
        <v>379.84</v>
      </c>
      <c r="T295" s="367">
        <f t="shared" si="17"/>
        <v>434479.58</v>
      </c>
      <c r="U295" s="490">
        <v>-5695.56</v>
      </c>
      <c r="V295" s="492"/>
      <c r="W295" s="492">
        <v>0</v>
      </c>
      <c r="X295" s="496">
        <v>73</v>
      </c>
      <c r="Y295" s="497">
        <v>1</v>
      </c>
      <c r="Z295" s="498">
        <v>199</v>
      </c>
      <c r="AA295" s="561"/>
      <c r="AB295" s="503"/>
      <c r="AC295" s="330">
        <f>AB295/VPI!R295</f>
        <v>0</v>
      </c>
      <c r="AD295" s="332">
        <f t="shared" si="18"/>
        <v>0</v>
      </c>
      <c r="AE295" s="330">
        <f>AD295/VPI!R295</f>
        <v>0</v>
      </c>
      <c r="AF295" s="503"/>
      <c r="AG295" s="503"/>
      <c r="AH295" s="503"/>
      <c r="AI295" s="568"/>
      <c r="AJ295" s="498"/>
      <c r="AK295" s="330">
        <f>AJ295/VPI!R295</f>
        <v>0</v>
      </c>
      <c r="AL295" s="332">
        <f t="shared" si="19"/>
        <v>0</v>
      </c>
      <c r="AM295" s="330">
        <f>AL295/VPI!R295</f>
        <v>0</v>
      </c>
      <c r="AN295" s="498"/>
      <c r="AO295" s="568"/>
      <c r="AP295" s="511">
        <v>7.9309567394395257</v>
      </c>
      <c r="AR295" s="564">
        <v>0</v>
      </c>
    </row>
    <row r="296" spans="1:44" x14ac:dyDescent="0.25">
      <c r="A296" s="559">
        <v>5929</v>
      </c>
      <c r="B296" s="560" t="s">
        <v>329</v>
      </c>
      <c r="C296" s="488">
        <v>1121525.2</v>
      </c>
      <c r="D296" s="488">
        <v>122449.79</v>
      </c>
      <c r="E296" s="488"/>
      <c r="F296" s="489"/>
      <c r="G296" s="488">
        <v>49780.05</v>
      </c>
      <c r="H296" s="488">
        <v>644.4</v>
      </c>
      <c r="I296" s="488">
        <v>130223.1</v>
      </c>
      <c r="J296" s="488">
        <v>17648.810000000001</v>
      </c>
      <c r="K296" s="488"/>
      <c r="L296" s="488">
        <v>94042.9</v>
      </c>
      <c r="M296" s="367">
        <f t="shared" si="16"/>
        <v>1536314.25</v>
      </c>
      <c r="N296" s="492">
        <v>20869.599999999999</v>
      </c>
      <c r="O296" s="492">
        <v>12448.8</v>
      </c>
      <c r="P296" s="492">
        <v>80213.350000000006</v>
      </c>
      <c r="Q296" s="492">
        <v>6029.31</v>
      </c>
      <c r="R296" s="492">
        <v>111160.25</v>
      </c>
      <c r="S296" s="488">
        <v>4754.21</v>
      </c>
      <c r="T296" s="367">
        <f t="shared" si="17"/>
        <v>1771789.7700000003</v>
      </c>
      <c r="U296" s="490">
        <v>-14054.06</v>
      </c>
      <c r="V296" s="492"/>
      <c r="W296" s="492">
        <v>-190.7</v>
      </c>
      <c r="X296" s="496">
        <v>70</v>
      </c>
      <c r="Y296" s="497">
        <v>0.8</v>
      </c>
      <c r="Z296" s="498">
        <v>665</v>
      </c>
      <c r="AA296" s="561"/>
      <c r="AB296" s="503"/>
      <c r="AC296" s="330">
        <f>AB296/VPI!R296</f>
        <v>0</v>
      </c>
      <c r="AD296" s="332">
        <f t="shared" si="18"/>
        <v>0</v>
      </c>
      <c r="AE296" s="330">
        <f>AD296/VPI!R296</f>
        <v>0</v>
      </c>
      <c r="AF296" s="503"/>
      <c r="AG296" s="503"/>
      <c r="AH296" s="503"/>
      <c r="AI296" s="568"/>
      <c r="AJ296" s="498"/>
      <c r="AK296" s="330">
        <f>AJ296/VPI!R296</f>
        <v>0</v>
      </c>
      <c r="AL296" s="332">
        <f t="shared" si="19"/>
        <v>0</v>
      </c>
      <c r="AM296" s="330">
        <f>AL296/VPI!R296</f>
        <v>0</v>
      </c>
      <c r="AN296" s="498"/>
      <c r="AO296" s="568"/>
      <c r="AP296" s="511">
        <v>16.868324030037929</v>
      </c>
      <c r="AR296" s="564">
        <v>1</v>
      </c>
    </row>
    <row r="297" spans="1:44" x14ac:dyDescent="0.25">
      <c r="A297" s="559">
        <v>5930</v>
      </c>
      <c r="B297" s="560" t="s">
        <v>330</v>
      </c>
      <c r="C297" s="488">
        <v>338198.39</v>
      </c>
      <c r="D297" s="488">
        <v>53534.68</v>
      </c>
      <c r="E297" s="488"/>
      <c r="F297" s="489">
        <v>1170</v>
      </c>
      <c r="G297" s="488">
        <v>261.25</v>
      </c>
      <c r="H297" s="488">
        <v>52.45</v>
      </c>
      <c r="I297" s="488"/>
      <c r="J297" s="488">
        <v>9056.2900000000009</v>
      </c>
      <c r="K297" s="488">
        <v>516.1</v>
      </c>
      <c r="L297" s="488">
        <v>31795.3</v>
      </c>
      <c r="M297" s="367">
        <f t="shared" si="16"/>
        <v>434584.45999999996</v>
      </c>
      <c r="N297" s="492">
        <v>0</v>
      </c>
      <c r="O297" s="492">
        <v>5253.4</v>
      </c>
      <c r="P297" s="492">
        <v>26103.35</v>
      </c>
      <c r="Q297" s="492"/>
      <c r="R297" s="492">
        <v>44266.7</v>
      </c>
      <c r="S297" s="488">
        <v>29.58</v>
      </c>
      <c r="T297" s="367">
        <f t="shared" si="17"/>
        <v>510237.49</v>
      </c>
      <c r="U297" s="490">
        <v>-1282.25</v>
      </c>
      <c r="V297" s="492"/>
      <c r="W297" s="492">
        <v>-487.1</v>
      </c>
      <c r="X297" s="496">
        <v>72</v>
      </c>
      <c r="Y297" s="497">
        <v>1</v>
      </c>
      <c r="Z297" s="498">
        <v>217</v>
      </c>
      <c r="AA297" s="561"/>
      <c r="AB297" s="503"/>
      <c r="AC297" s="330">
        <f>AB297/VPI!R297</f>
        <v>0</v>
      </c>
      <c r="AD297" s="332">
        <f t="shared" si="18"/>
        <v>0</v>
      </c>
      <c r="AE297" s="330">
        <f>AD297/VPI!R297</f>
        <v>0</v>
      </c>
      <c r="AF297" s="503"/>
      <c r="AG297" s="503"/>
      <c r="AH297" s="503"/>
      <c r="AI297" s="568"/>
      <c r="AJ297" s="498"/>
      <c r="AK297" s="330">
        <f>AJ297/VPI!R297</f>
        <v>0</v>
      </c>
      <c r="AL297" s="332">
        <f t="shared" si="19"/>
        <v>0</v>
      </c>
      <c r="AM297" s="330">
        <f>AL297/VPI!R297</f>
        <v>0</v>
      </c>
      <c r="AN297" s="498"/>
      <c r="AO297" s="568"/>
      <c r="AP297" s="511">
        <v>8.1279778372893094</v>
      </c>
      <c r="AR297" s="564">
        <v>1</v>
      </c>
    </row>
    <row r="298" spans="1:44" x14ac:dyDescent="0.25">
      <c r="A298" s="559">
        <v>5931</v>
      </c>
      <c r="B298" s="560" t="s">
        <v>331</v>
      </c>
      <c r="C298" s="488">
        <v>929992.36</v>
      </c>
      <c r="D298" s="488">
        <v>105182.83</v>
      </c>
      <c r="E298" s="488"/>
      <c r="F298" s="489"/>
      <c r="G298" s="488">
        <v>42149.95</v>
      </c>
      <c r="H298" s="488">
        <v>1106.25</v>
      </c>
      <c r="I298" s="488"/>
      <c r="J298" s="488">
        <v>11908.65</v>
      </c>
      <c r="K298" s="488">
        <v>1295.9000000000001</v>
      </c>
      <c r="L298" s="488">
        <v>90313.75</v>
      </c>
      <c r="M298" s="367">
        <f t="shared" si="16"/>
        <v>1181949.6899999997</v>
      </c>
      <c r="N298" s="492">
        <v>13942.2</v>
      </c>
      <c r="O298" s="492">
        <v>2376.5</v>
      </c>
      <c r="P298" s="492">
        <v>48064.55</v>
      </c>
      <c r="Q298" s="492">
        <v>3351.92</v>
      </c>
      <c r="R298" s="492">
        <v>87137.1</v>
      </c>
      <c r="S298" s="488">
        <v>4078.36</v>
      </c>
      <c r="T298" s="367">
        <f t="shared" si="17"/>
        <v>1340900.3199999998</v>
      </c>
      <c r="U298" s="490">
        <v>-8676.1200000000008</v>
      </c>
      <c r="V298" s="492"/>
      <c r="W298" s="492">
        <v>-45.9</v>
      </c>
      <c r="X298" s="496">
        <v>73</v>
      </c>
      <c r="Y298" s="497">
        <v>1</v>
      </c>
      <c r="Z298" s="498">
        <v>522</v>
      </c>
      <c r="AA298" s="561"/>
      <c r="AB298" s="503"/>
      <c r="AC298" s="330">
        <f>AB298/VPI!R298</f>
        <v>0</v>
      </c>
      <c r="AD298" s="332">
        <f t="shared" si="18"/>
        <v>0</v>
      </c>
      <c r="AE298" s="330">
        <f>AD298/VPI!R298</f>
        <v>0</v>
      </c>
      <c r="AF298" s="503"/>
      <c r="AG298" s="503"/>
      <c r="AH298" s="503"/>
      <c r="AI298" s="568"/>
      <c r="AJ298" s="498"/>
      <c r="AK298" s="330">
        <f>AJ298/VPI!R298</f>
        <v>0</v>
      </c>
      <c r="AL298" s="332">
        <f t="shared" si="19"/>
        <v>0</v>
      </c>
      <c r="AM298" s="330">
        <f>AL298/VPI!R298</f>
        <v>0</v>
      </c>
      <c r="AN298" s="498"/>
      <c r="AO298" s="568"/>
      <c r="AP298" s="511">
        <v>14.394099534982741</v>
      </c>
      <c r="AR298" s="564">
        <v>1</v>
      </c>
    </row>
    <row r="299" spans="1:44" x14ac:dyDescent="0.25">
      <c r="A299" s="559">
        <v>5932</v>
      </c>
      <c r="B299" s="560" t="s">
        <v>237</v>
      </c>
      <c r="C299" s="488">
        <v>508192.12</v>
      </c>
      <c r="D299" s="488">
        <v>58900.15</v>
      </c>
      <c r="E299" s="488"/>
      <c r="F299" s="489">
        <v>1380</v>
      </c>
      <c r="G299" s="488">
        <v>737.6</v>
      </c>
      <c r="H299" s="488">
        <v>260</v>
      </c>
      <c r="I299" s="488">
        <v>46721.8</v>
      </c>
      <c r="J299" s="488">
        <v>2259.96</v>
      </c>
      <c r="K299" s="488">
        <v>819.5</v>
      </c>
      <c r="L299" s="488">
        <v>33684.6</v>
      </c>
      <c r="M299" s="367">
        <f t="shared" si="16"/>
        <v>652955.73</v>
      </c>
      <c r="N299" s="492">
        <v>0</v>
      </c>
      <c r="O299" s="492"/>
      <c r="P299" s="492">
        <v>19612.75</v>
      </c>
      <c r="Q299" s="492">
        <v>2609.14</v>
      </c>
      <c r="R299" s="492">
        <v>13734</v>
      </c>
      <c r="S299" s="488">
        <v>94.06</v>
      </c>
      <c r="T299" s="367">
        <f t="shared" si="17"/>
        <v>689005.68</v>
      </c>
      <c r="U299" s="490">
        <v>-4552.71</v>
      </c>
      <c r="V299" s="492"/>
      <c r="W299" s="492">
        <v>-171.55</v>
      </c>
      <c r="X299" s="496">
        <v>75</v>
      </c>
      <c r="Y299" s="497">
        <v>1</v>
      </c>
      <c r="Z299" s="498">
        <v>234</v>
      </c>
      <c r="AA299" s="561"/>
      <c r="AB299" s="503"/>
      <c r="AC299" s="330">
        <f>AB299/VPI!R299</f>
        <v>0</v>
      </c>
      <c r="AD299" s="332">
        <f t="shared" si="18"/>
        <v>0</v>
      </c>
      <c r="AE299" s="330">
        <f>AD299/VPI!R299</f>
        <v>0</v>
      </c>
      <c r="AF299" s="503"/>
      <c r="AG299" s="503"/>
      <c r="AH299" s="503"/>
      <c r="AI299" s="568"/>
      <c r="AJ299" s="498"/>
      <c r="AK299" s="330">
        <f>AJ299/VPI!R299</f>
        <v>0</v>
      </c>
      <c r="AL299" s="332">
        <f t="shared" si="19"/>
        <v>0</v>
      </c>
      <c r="AM299" s="330">
        <f>AL299/VPI!R299</f>
        <v>0</v>
      </c>
      <c r="AN299" s="498"/>
      <c r="AO299" s="568"/>
      <c r="AP299" s="511">
        <v>17.979509672850256</v>
      </c>
      <c r="AR299" s="564">
        <v>0</v>
      </c>
    </row>
    <row r="300" spans="1:44" x14ac:dyDescent="0.25">
      <c r="A300" s="559">
        <v>5933</v>
      </c>
      <c r="B300" s="560" t="s">
        <v>324</v>
      </c>
      <c r="C300" s="488">
        <v>1406503.14</v>
      </c>
      <c r="D300" s="488">
        <v>176198.16</v>
      </c>
      <c r="E300" s="488"/>
      <c r="F300" s="489"/>
      <c r="G300" s="488">
        <v>21789.75</v>
      </c>
      <c r="H300" s="488">
        <v>1786.55</v>
      </c>
      <c r="I300" s="488"/>
      <c r="J300" s="488">
        <v>12192.44</v>
      </c>
      <c r="K300" s="488">
        <v>3427.05</v>
      </c>
      <c r="L300" s="488">
        <v>126626.05</v>
      </c>
      <c r="M300" s="367">
        <f t="shared" si="16"/>
        <v>1748523.14</v>
      </c>
      <c r="N300" s="492">
        <v>16921.3</v>
      </c>
      <c r="O300" s="492">
        <v>25199.8</v>
      </c>
      <c r="P300" s="492">
        <v>57513.5</v>
      </c>
      <c r="Q300" s="492">
        <v>2425.1999999999998</v>
      </c>
      <c r="R300" s="492">
        <v>59493.4</v>
      </c>
      <c r="S300" s="488">
        <v>2222.86</v>
      </c>
      <c r="T300" s="367">
        <f t="shared" si="17"/>
        <v>1912299.2</v>
      </c>
      <c r="U300" s="490">
        <v>-148381.39000000001</v>
      </c>
      <c r="V300" s="492"/>
      <c r="W300" s="492">
        <v>0</v>
      </c>
      <c r="X300" s="496">
        <v>70.5</v>
      </c>
      <c r="Y300" s="497">
        <v>1</v>
      </c>
      <c r="Z300" s="498">
        <v>703</v>
      </c>
      <c r="AA300" s="561"/>
      <c r="AB300" s="503"/>
      <c r="AC300" s="330">
        <f>AB300/VPI!R300</f>
        <v>0</v>
      </c>
      <c r="AD300" s="332">
        <f t="shared" si="18"/>
        <v>0</v>
      </c>
      <c r="AE300" s="330">
        <f>AD300/VPI!R300</f>
        <v>0</v>
      </c>
      <c r="AF300" s="503"/>
      <c r="AG300" s="503"/>
      <c r="AH300" s="503"/>
      <c r="AI300" s="568"/>
      <c r="AJ300" s="498"/>
      <c r="AK300" s="330">
        <f>AJ300/VPI!R300</f>
        <v>0</v>
      </c>
      <c r="AL300" s="332">
        <f t="shared" si="19"/>
        <v>0</v>
      </c>
      <c r="AM300" s="330">
        <f>AL300/VPI!R300</f>
        <v>0</v>
      </c>
      <c r="AN300" s="498"/>
      <c r="AO300" s="568"/>
      <c r="AP300" s="511">
        <v>17.946977403471148</v>
      </c>
      <c r="AR300" s="564">
        <v>0</v>
      </c>
    </row>
    <row r="301" spans="1:44" x14ac:dyDescent="0.25">
      <c r="A301" s="559">
        <v>5934</v>
      </c>
      <c r="B301" s="560" t="s">
        <v>325</v>
      </c>
      <c r="C301" s="488">
        <v>489904.89</v>
      </c>
      <c r="D301" s="488">
        <v>49348.12</v>
      </c>
      <c r="E301" s="488"/>
      <c r="F301" s="489">
        <v>1480</v>
      </c>
      <c r="G301" s="488">
        <v>310.75</v>
      </c>
      <c r="H301" s="488">
        <v>105.8</v>
      </c>
      <c r="I301" s="488"/>
      <c r="J301" s="488">
        <v>7990.4</v>
      </c>
      <c r="K301" s="488">
        <v>0</v>
      </c>
      <c r="L301" s="488">
        <v>31262.7</v>
      </c>
      <c r="M301" s="367">
        <f t="shared" si="16"/>
        <v>580402.66</v>
      </c>
      <c r="N301" s="492">
        <v>4144.3999999999996</v>
      </c>
      <c r="O301" s="492"/>
      <c r="P301" s="492">
        <v>16500</v>
      </c>
      <c r="Q301" s="492">
        <v>2478.0700000000002</v>
      </c>
      <c r="R301" s="492">
        <v>22712.65</v>
      </c>
      <c r="S301" s="488">
        <v>39.270000000000003</v>
      </c>
      <c r="T301" s="367">
        <f t="shared" si="17"/>
        <v>626277.05000000005</v>
      </c>
      <c r="U301" s="490">
        <v>-6727.83</v>
      </c>
      <c r="V301" s="492"/>
      <c r="W301" s="492">
        <v>0</v>
      </c>
      <c r="X301" s="496">
        <v>77</v>
      </c>
      <c r="Y301" s="497">
        <v>1</v>
      </c>
      <c r="Z301" s="498">
        <v>237</v>
      </c>
      <c r="AA301" s="561"/>
      <c r="AB301" s="503"/>
      <c r="AC301" s="330">
        <f>AB301/VPI!R301</f>
        <v>0</v>
      </c>
      <c r="AD301" s="332">
        <f t="shared" si="18"/>
        <v>0</v>
      </c>
      <c r="AE301" s="330">
        <f>AD301/VPI!R301</f>
        <v>0</v>
      </c>
      <c r="AF301" s="503"/>
      <c r="AG301" s="503"/>
      <c r="AH301" s="503"/>
      <c r="AI301" s="568"/>
      <c r="AJ301" s="498"/>
      <c r="AK301" s="330">
        <f>AJ301/VPI!R301</f>
        <v>0</v>
      </c>
      <c r="AL301" s="332">
        <f t="shared" si="19"/>
        <v>0</v>
      </c>
      <c r="AM301" s="330">
        <f>AL301/VPI!R301</f>
        <v>0</v>
      </c>
      <c r="AN301" s="498"/>
      <c r="AO301" s="568"/>
      <c r="AP301" s="511">
        <v>34.878271139280486</v>
      </c>
      <c r="AR301" s="564">
        <v>0</v>
      </c>
    </row>
    <row r="302" spans="1:44" x14ac:dyDescent="0.25">
      <c r="A302" s="559">
        <v>5935</v>
      </c>
      <c r="B302" s="560" t="s">
        <v>254</v>
      </c>
      <c r="C302" s="488">
        <v>285544.59999999998</v>
      </c>
      <c r="D302" s="488">
        <v>54938.37</v>
      </c>
      <c r="E302" s="488"/>
      <c r="F302" s="489"/>
      <c r="G302" s="488">
        <v>2106.25</v>
      </c>
      <c r="H302" s="488">
        <v>478.7</v>
      </c>
      <c r="I302" s="488"/>
      <c r="J302" s="488">
        <v>2184.38</v>
      </c>
      <c r="K302" s="488"/>
      <c r="L302" s="514">
        <v>22043</v>
      </c>
      <c r="M302" s="367">
        <f t="shared" si="16"/>
        <v>367295.3</v>
      </c>
      <c r="N302" s="492">
        <v>0</v>
      </c>
      <c r="O302" s="492"/>
      <c r="P302" s="492">
        <v>26950</v>
      </c>
      <c r="Q302" s="492"/>
      <c r="R302" s="492">
        <v>16426</v>
      </c>
      <c r="S302" s="488">
        <v>243.72</v>
      </c>
      <c r="T302" s="367">
        <f t="shared" si="17"/>
        <v>410915.01999999996</v>
      </c>
      <c r="U302" s="490">
        <v>-88667.92</v>
      </c>
      <c r="V302" s="492"/>
      <c r="W302" s="492">
        <v>-654.4</v>
      </c>
      <c r="X302" s="496">
        <v>68</v>
      </c>
      <c r="Y302" s="497">
        <v>1</v>
      </c>
      <c r="Z302" s="498">
        <v>101</v>
      </c>
      <c r="AA302" s="561"/>
      <c r="AB302" s="503"/>
      <c r="AC302" s="330">
        <f>AB302/VPI!R302</f>
        <v>0</v>
      </c>
      <c r="AD302" s="332">
        <f t="shared" si="18"/>
        <v>0</v>
      </c>
      <c r="AE302" s="330">
        <f>AD302/VPI!R302</f>
        <v>0</v>
      </c>
      <c r="AF302" s="503"/>
      <c r="AG302" s="503"/>
      <c r="AH302" s="503"/>
      <c r="AI302" s="568"/>
      <c r="AJ302" s="498"/>
      <c r="AK302" s="330">
        <f>AJ302/VPI!R302</f>
        <v>0</v>
      </c>
      <c r="AL302" s="332">
        <f t="shared" si="19"/>
        <v>0</v>
      </c>
      <c r="AM302" s="330">
        <f>AL302/VPI!R302</f>
        <v>0</v>
      </c>
      <c r="AN302" s="498"/>
      <c r="AO302" s="568"/>
      <c r="AP302" s="511">
        <v>35.016401778100551</v>
      </c>
      <c r="AR302" s="564">
        <v>0</v>
      </c>
    </row>
    <row r="303" spans="1:44" x14ac:dyDescent="0.25">
      <c r="A303" s="559">
        <v>5937</v>
      </c>
      <c r="B303" s="560" t="s">
        <v>238</v>
      </c>
      <c r="C303" s="488">
        <v>218376.15</v>
      </c>
      <c r="D303" s="488">
        <v>24962</v>
      </c>
      <c r="E303" s="488"/>
      <c r="F303" s="489"/>
      <c r="G303" s="488">
        <v>-2942.45</v>
      </c>
      <c r="H303" s="488">
        <v>265.5</v>
      </c>
      <c r="I303" s="488"/>
      <c r="J303" s="488">
        <v>7444.56</v>
      </c>
      <c r="K303" s="488"/>
      <c r="L303" s="488">
        <v>13175.04</v>
      </c>
      <c r="M303" s="367">
        <f t="shared" si="16"/>
        <v>261280.8</v>
      </c>
      <c r="N303" s="492">
        <v>4824.25</v>
      </c>
      <c r="O303" s="492"/>
      <c r="P303" s="492">
        <v>6711.1</v>
      </c>
      <c r="Q303" s="492">
        <v>-0.01</v>
      </c>
      <c r="R303" s="492">
        <v>2086</v>
      </c>
      <c r="S303" s="488">
        <v>-252.39</v>
      </c>
      <c r="T303" s="367">
        <f t="shared" si="17"/>
        <v>274649.74999999994</v>
      </c>
      <c r="U303" s="490">
        <v>-1093.04</v>
      </c>
      <c r="V303" s="492"/>
      <c r="W303" s="492">
        <v>-0.7</v>
      </c>
      <c r="X303" s="496">
        <v>70</v>
      </c>
      <c r="Y303" s="497">
        <v>0.7</v>
      </c>
      <c r="Z303" s="498">
        <v>151</v>
      </c>
      <c r="AA303" s="561"/>
      <c r="AB303" s="503"/>
      <c r="AC303" s="330">
        <f>AB303/VPI!R303</f>
        <v>0</v>
      </c>
      <c r="AD303" s="332">
        <f t="shared" si="18"/>
        <v>0</v>
      </c>
      <c r="AE303" s="330">
        <f>AD303/VPI!R303</f>
        <v>0</v>
      </c>
      <c r="AF303" s="503"/>
      <c r="AG303" s="503"/>
      <c r="AH303" s="503"/>
      <c r="AI303" s="568"/>
      <c r="AJ303" s="498"/>
      <c r="AK303" s="330">
        <f>AJ303/VPI!R303</f>
        <v>0</v>
      </c>
      <c r="AL303" s="332">
        <f t="shared" si="19"/>
        <v>0</v>
      </c>
      <c r="AM303" s="330">
        <f>AL303/VPI!R303</f>
        <v>0</v>
      </c>
      <c r="AN303" s="498"/>
      <c r="AO303" s="568"/>
      <c r="AP303" s="511">
        <v>6.1828313144721152</v>
      </c>
      <c r="AR303" s="564">
        <v>0</v>
      </c>
    </row>
    <row r="304" spans="1:44" x14ac:dyDescent="0.25">
      <c r="A304" s="559">
        <v>5938</v>
      </c>
      <c r="B304" s="560" t="s">
        <v>133</v>
      </c>
      <c r="C304" s="488">
        <v>43482300.280000001</v>
      </c>
      <c r="D304" s="488">
        <v>4994104.41</v>
      </c>
      <c r="E304" s="488"/>
      <c r="F304" s="489"/>
      <c r="G304" s="488">
        <v>3859409.55</v>
      </c>
      <c r="H304" s="488">
        <v>780162.35</v>
      </c>
      <c r="I304" s="488"/>
      <c r="J304" s="488">
        <v>1872681.12</v>
      </c>
      <c r="K304" s="488">
        <v>514560.3</v>
      </c>
      <c r="L304" s="488">
        <v>4736239.75</v>
      </c>
      <c r="M304" s="367">
        <f t="shared" si="16"/>
        <v>60239457.75999999</v>
      </c>
      <c r="N304" s="492">
        <v>6019770.8499999996</v>
      </c>
      <c r="O304" s="492">
        <v>1558588.5</v>
      </c>
      <c r="P304" s="492">
        <v>3143443.75</v>
      </c>
      <c r="Q304" s="492">
        <v>233994.66</v>
      </c>
      <c r="R304" s="492">
        <v>2238743.2000000002</v>
      </c>
      <c r="S304" s="488">
        <v>437436.64</v>
      </c>
      <c r="T304" s="367">
        <f t="shared" si="17"/>
        <v>73871435.359999985</v>
      </c>
      <c r="U304" s="490">
        <v>-1372673.88</v>
      </c>
      <c r="V304" s="492"/>
      <c r="W304" s="492">
        <v>-12038.06</v>
      </c>
      <c r="X304" s="496">
        <v>75</v>
      </c>
      <c r="Y304" s="497">
        <v>1</v>
      </c>
      <c r="Z304" s="498">
        <v>30221</v>
      </c>
      <c r="AA304" s="561"/>
      <c r="AB304" s="503"/>
      <c r="AC304" s="330">
        <f>AB304/VPI!R304</f>
        <v>0</v>
      </c>
      <c r="AD304" s="332">
        <f t="shared" si="18"/>
        <v>0</v>
      </c>
      <c r="AE304" s="330">
        <f>AD304/VPI!R304</f>
        <v>0</v>
      </c>
      <c r="AF304" s="503"/>
      <c r="AG304" s="503"/>
      <c r="AH304" s="503"/>
      <c r="AI304" s="568"/>
      <c r="AJ304" s="498"/>
      <c r="AK304" s="330">
        <f>AJ304/VPI!R304</f>
        <v>0</v>
      </c>
      <c r="AL304" s="332">
        <f t="shared" si="19"/>
        <v>0</v>
      </c>
      <c r="AM304" s="330">
        <f>AL304/VPI!R304</f>
        <v>0</v>
      </c>
      <c r="AN304" s="498"/>
      <c r="AO304" s="568"/>
      <c r="AP304" s="511">
        <v>-13.463050899415064</v>
      </c>
      <c r="AR304" s="564">
        <v>1</v>
      </c>
    </row>
    <row r="305" spans="1:44" x14ac:dyDescent="0.25">
      <c r="A305" s="559">
        <v>5939</v>
      </c>
      <c r="B305" s="560" t="s">
        <v>132</v>
      </c>
      <c r="C305" s="488">
        <v>5395589.5800000001</v>
      </c>
      <c r="D305" s="488">
        <v>604520.79</v>
      </c>
      <c r="E305" s="488"/>
      <c r="F305" s="489"/>
      <c r="G305" s="488">
        <v>213507.85</v>
      </c>
      <c r="H305" s="488">
        <v>31312.9</v>
      </c>
      <c r="I305" s="488"/>
      <c r="J305" s="488">
        <v>26709.98</v>
      </c>
      <c r="K305" s="488">
        <v>48222.45</v>
      </c>
      <c r="L305" s="488">
        <v>608560.25</v>
      </c>
      <c r="M305" s="367">
        <f t="shared" si="16"/>
        <v>6928423.8000000007</v>
      </c>
      <c r="N305" s="492">
        <v>217734.75</v>
      </c>
      <c r="O305" s="492">
        <v>38661</v>
      </c>
      <c r="P305" s="492">
        <v>218083.25</v>
      </c>
      <c r="Q305" s="492">
        <v>28954.69</v>
      </c>
      <c r="R305" s="492">
        <v>179881.15</v>
      </c>
      <c r="S305" s="488">
        <v>23082.639999999999</v>
      </c>
      <c r="T305" s="367">
        <f t="shared" si="17"/>
        <v>7634821.2800000012</v>
      </c>
      <c r="U305" s="490">
        <v>-95423.01</v>
      </c>
      <c r="V305" s="492"/>
      <c r="W305" s="500">
        <v>-777.57</v>
      </c>
      <c r="X305" s="501">
        <v>71.5</v>
      </c>
      <c r="Y305" s="502">
        <v>1</v>
      </c>
      <c r="Z305" s="509">
        <v>3536</v>
      </c>
      <c r="AA305" s="561"/>
      <c r="AB305" s="503"/>
      <c r="AC305" s="330">
        <f>AB305/VPI!R305</f>
        <v>0</v>
      </c>
      <c r="AD305" s="332">
        <f t="shared" si="18"/>
        <v>0</v>
      </c>
      <c r="AE305" s="330">
        <f>AD305/VPI!R305</f>
        <v>0</v>
      </c>
      <c r="AF305" s="506"/>
      <c r="AG305" s="503"/>
      <c r="AH305" s="506"/>
      <c r="AI305" s="568"/>
      <c r="AJ305" s="498"/>
      <c r="AK305" s="330">
        <f>AJ305/VPI!R305</f>
        <v>0</v>
      </c>
      <c r="AL305" s="332">
        <f t="shared" si="19"/>
        <v>0</v>
      </c>
      <c r="AM305" s="330">
        <f>AL305/VPI!R305</f>
        <v>0</v>
      </c>
      <c r="AN305" s="509"/>
      <c r="AO305" s="568"/>
      <c r="AP305" s="511">
        <v>3.7455724826089689</v>
      </c>
      <c r="AR305" s="564">
        <v>0</v>
      </c>
    </row>
    <row r="306" spans="1:44" x14ac:dyDescent="0.25">
      <c r="A306" s="569"/>
      <c r="B306" s="570">
        <f>COUNTA(B6:B305)</f>
        <v>300</v>
      </c>
      <c r="C306" s="328">
        <f t="shared" ref="C306:S306" si="20">SUM(C6:C305)</f>
        <v>1762672705.1500013</v>
      </c>
      <c r="D306" s="328">
        <f t="shared" si="20"/>
        <v>346225175.77999973</v>
      </c>
      <c r="E306" s="328">
        <f t="shared" si="20"/>
        <v>0</v>
      </c>
      <c r="F306" s="328">
        <f t="shared" si="20"/>
        <v>122153.15000000001</v>
      </c>
      <c r="G306" s="572">
        <f t="shared" si="20"/>
        <v>343877583.02999997</v>
      </c>
      <c r="H306" s="328">
        <f t="shared" si="20"/>
        <v>42856346.490000002</v>
      </c>
      <c r="I306" s="328">
        <f t="shared" si="20"/>
        <v>43181109.470000006</v>
      </c>
      <c r="J306" s="328">
        <f t="shared" si="20"/>
        <v>71524418.810000047</v>
      </c>
      <c r="K306" s="328">
        <f t="shared" si="20"/>
        <v>22997351.79999999</v>
      </c>
      <c r="L306" s="328">
        <f t="shared" si="20"/>
        <v>236050973.96000001</v>
      </c>
      <c r="M306" s="368">
        <f t="shared" si="20"/>
        <v>2869507817.6399984</v>
      </c>
      <c r="N306" s="328">
        <f t="shared" si="20"/>
        <v>95967967.659999996</v>
      </c>
      <c r="O306" s="328">
        <f t="shared" si="20"/>
        <v>89157963.50000006</v>
      </c>
      <c r="P306" s="328">
        <f t="shared" si="20"/>
        <v>112669922.2</v>
      </c>
      <c r="Q306" s="328">
        <f t="shared" si="20"/>
        <v>7739439.1199999964</v>
      </c>
      <c r="R306" s="328">
        <f t="shared" si="20"/>
        <v>86979699.249999955</v>
      </c>
      <c r="S306" s="328">
        <f t="shared" si="20"/>
        <v>36462473.670000017</v>
      </c>
      <c r="T306" s="368">
        <f t="shared" ref="T306" si="21">SUM(M306:S306)</f>
        <v>3298485283.0399981</v>
      </c>
      <c r="U306" s="328">
        <f t="shared" ref="U306:Y306" si="22">SUM(U6:U305)</f>
        <v>-29423313.409999982</v>
      </c>
      <c r="V306" s="328">
        <f t="shared" si="22"/>
        <v>0</v>
      </c>
      <c r="W306" s="328">
        <f t="shared" si="22"/>
        <v>-15954331.390000002</v>
      </c>
      <c r="X306" s="329">
        <f t="shared" si="22"/>
        <v>20871.27</v>
      </c>
      <c r="Y306" s="329">
        <f t="shared" si="22"/>
        <v>318.77999999999997</v>
      </c>
      <c r="Z306" s="509">
        <f>SUM(Z6:Z305)</f>
        <v>846303</v>
      </c>
      <c r="AA306" s="571"/>
      <c r="AB306" s="328">
        <f>SUM(AB6:AB305)</f>
        <v>0</v>
      </c>
      <c r="AC306" s="331">
        <f>AB306/VPI!R306</f>
        <v>0</v>
      </c>
      <c r="AD306" s="333">
        <f>SUM(AD6:AD305)</f>
        <v>0</v>
      </c>
      <c r="AE306" s="331">
        <f>AD306/VPI!R306</f>
        <v>0</v>
      </c>
      <c r="AF306" s="328">
        <f>SUM(AF6:AF305)</f>
        <v>0</v>
      </c>
      <c r="AG306" s="328">
        <f>SUM(AG6:AG305)</f>
        <v>0</v>
      </c>
      <c r="AH306" s="328">
        <f>SUM(AH6:AH305)</f>
        <v>0</v>
      </c>
      <c r="AJ306" s="328">
        <f>SUM(AJ6:AJ305)</f>
        <v>0</v>
      </c>
      <c r="AK306" s="331">
        <f>AJ306/VPI!R306</f>
        <v>0</v>
      </c>
      <c r="AL306" s="333">
        <f>SUM(AL6:AL305)</f>
        <v>0</v>
      </c>
      <c r="AM306" s="331">
        <f>AL306/VPI!R306</f>
        <v>0</v>
      </c>
      <c r="AN306" s="328">
        <f>SUM(AN6:AN305)</f>
        <v>0</v>
      </c>
      <c r="AP306" s="572">
        <f>SUM(AP6:AP305)</f>
        <v>5361.1063451693817</v>
      </c>
      <c r="AR306" s="573">
        <f>SUM(AR6:AR305)</f>
        <v>49</v>
      </c>
    </row>
    <row r="309" spans="1:44" x14ac:dyDescent="0.25">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1"/>
      <c r="AL309" s="571"/>
      <c r="AM309" s="571"/>
      <c r="AN309" s="571"/>
      <c r="AO309" s="571"/>
      <c r="AP309" s="571"/>
      <c r="AQ309" s="571"/>
      <c r="AR309" s="571"/>
    </row>
    <row r="313" spans="1:44" x14ac:dyDescent="0.25">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1"/>
      <c r="AL313" s="571"/>
      <c r="AM313" s="571"/>
      <c r="AN313" s="571"/>
      <c r="AO313" s="571"/>
      <c r="AP313" s="571"/>
      <c r="AQ313" s="571"/>
      <c r="AR313" s="571"/>
    </row>
    <row r="317" spans="1:44" x14ac:dyDescent="0.25">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1"/>
      <c r="AL317" s="571"/>
      <c r="AM317" s="571"/>
      <c r="AN317" s="571"/>
      <c r="AO317" s="571"/>
      <c r="AP317" s="571"/>
      <c r="AQ317" s="571"/>
      <c r="AR317" s="571"/>
    </row>
    <row r="320" spans="1:44" s="536" customFormat="1" x14ac:dyDescent="0.25">
      <c r="A320" s="537"/>
      <c r="C320" s="574"/>
      <c r="G320" s="490"/>
    </row>
    <row r="321" spans="1:44" s="536" customFormat="1" x14ac:dyDescent="0.25">
      <c r="A321" s="537"/>
      <c r="C321" s="574"/>
      <c r="D321" s="574"/>
      <c r="E321" s="574"/>
      <c r="F321" s="574"/>
      <c r="G321" s="571"/>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4"/>
      <c r="AL321" s="574"/>
      <c r="AM321" s="574"/>
      <c r="AN321" s="574"/>
      <c r="AO321" s="574"/>
      <c r="AP321" s="574"/>
      <c r="AQ321" s="574"/>
      <c r="AR321" s="574"/>
    </row>
    <row r="322" spans="1:44" s="536" customFormat="1" x14ac:dyDescent="0.25">
      <c r="A322" s="537"/>
      <c r="C322" s="574"/>
      <c r="D322" s="574"/>
      <c r="E322" s="574"/>
      <c r="F322" s="574"/>
      <c r="G322" s="571"/>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4"/>
      <c r="AL322" s="574"/>
      <c r="AM322" s="574"/>
      <c r="AN322" s="574"/>
      <c r="AO322" s="574"/>
      <c r="AP322" s="574"/>
      <c r="AQ322" s="574"/>
      <c r="AR322" s="574"/>
    </row>
    <row r="324" spans="1:44" x14ac:dyDescent="0.25">
      <c r="C324" s="576"/>
      <c r="D324" s="576"/>
    </row>
    <row r="325" spans="1:44" x14ac:dyDescent="0.25">
      <c r="C325" s="576"/>
      <c r="D325" s="576"/>
    </row>
    <row r="326" spans="1:44" x14ac:dyDescent="0.25">
      <c r="C326" s="576"/>
      <c r="D326" s="576"/>
    </row>
    <row r="327" spans="1:44" x14ac:dyDescent="0.25">
      <c r="C327" s="576"/>
      <c r="D327" s="576"/>
    </row>
  </sheetData>
  <mergeCells count="19">
    <mergeCell ref="A4:A5"/>
    <mergeCell ref="B4:B5"/>
    <mergeCell ref="Q4:Q5"/>
    <mergeCell ref="Y4:Y5"/>
    <mergeCell ref="U4:U5"/>
    <mergeCell ref="W4:W5"/>
    <mergeCell ref="V4:V5"/>
    <mergeCell ref="S4:S5"/>
    <mergeCell ref="AR4:AR5"/>
    <mergeCell ref="AN4:AN5"/>
    <mergeCell ref="AB3:AF3"/>
    <mergeCell ref="AB4:AC4"/>
    <mergeCell ref="AJ4:AK4"/>
    <mergeCell ref="AL4:AM4"/>
    <mergeCell ref="AJ3:AN3"/>
    <mergeCell ref="AD4:AE4"/>
    <mergeCell ref="AF4:AF5"/>
    <mergeCell ref="AG4:AG5"/>
    <mergeCell ref="AH4:AH5"/>
  </mergeCells>
  <phoneticPr fontId="21" type="noConversion"/>
  <hyperlinks>
    <hyperlink ref="C1" location="Recherche!A1" display="← Précédent" xr:uid="{9DFAD010-0C97-42DF-A3FC-76FBADDC6AFF}"/>
    <hyperlink ref="D1" location="'Table des matières'!A1" display="Table des matières" xr:uid="{DD040F16-3F41-415E-ABBC-CF6EBDE17DB0}"/>
    <hyperlink ref="E1" location="VPI!A1" display="Suivant →" xr:uid="{0BFBE454-28CA-492D-AAD2-6B120C6EA93F}"/>
  </hyperlinks>
  <pageMargins left="0.19685039370078741"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3" tint="0.59999389629810485"/>
  </sheetPr>
  <dimension ref="A1:R317"/>
  <sheetViews>
    <sheetView zoomScaleNormal="100" workbookViewId="0">
      <pane ySplit="5" topLeftCell="A127" activePane="bottomLeft" state="frozen"/>
      <selection activeCell="X73" sqref="X73"/>
      <selection pane="bottomLeft"/>
    </sheetView>
  </sheetViews>
  <sheetFormatPr baseColWidth="10" defaultColWidth="8.625" defaultRowHeight="15" x14ac:dyDescent="0.25"/>
  <cols>
    <col min="1" max="1" width="7.625" style="3" customWidth="1"/>
    <col min="2" max="2" width="21.625" style="11" customWidth="1"/>
    <col min="3" max="3" width="12" style="11" customWidth="1"/>
    <col min="4" max="4" width="20.625" style="5" customWidth="1"/>
    <col min="5" max="5" width="12" style="11" bestFit="1" customWidth="1"/>
    <col min="6" max="6" width="9.875" style="5" bestFit="1" customWidth="1"/>
    <col min="7" max="7" width="10.25" style="11" bestFit="1" customWidth="1"/>
    <col min="8" max="8" width="9.875" style="11" bestFit="1" customWidth="1"/>
    <col min="9" max="9" width="12.875" style="11" customWidth="1"/>
    <col min="10" max="10" width="10.25" style="11" customWidth="1"/>
    <col min="11" max="11" width="15.75" style="11" customWidth="1"/>
    <col min="12" max="12" width="13" style="156" customWidth="1"/>
    <col min="13" max="13" width="10" style="11" bestFit="1" customWidth="1"/>
    <col min="14" max="14" width="13.375" style="11" customWidth="1"/>
    <col min="15" max="15" width="12.875" style="13" customWidth="1"/>
    <col min="16" max="16" width="14.25" style="11" bestFit="1" customWidth="1"/>
    <col min="17" max="17" width="11.25" style="11" customWidth="1"/>
    <col min="18" max="18" width="14.25" style="11" customWidth="1"/>
    <col min="19" max="19" width="9.875" style="11" bestFit="1" customWidth="1"/>
    <col min="20" max="16384" width="8.625" style="11"/>
  </cols>
  <sheetData>
    <row r="1" spans="1:18" ht="26.25" customHeight="1" x14ac:dyDescent="0.4">
      <c r="A1" s="202" t="s">
        <v>407</v>
      </c>
      <c r="B1" s="21"/>
      <c r="C1" s="21"/>
      <c r="E1" s="223" t="s">
        <v>402</v>
      </c>
      <c r="F1" s="224" t="s">
        <v>394</v>
      </c>
      <c r="G1" s="372" t="s">
        <v>403</v>
      </c>
      <c r="H1" s="3"/>
      <c r="I1" s="278"/>
      <c r="J1" s="278"/>
      <c r="K1" s="278"/>
      <c r="L1" s="278"/>
      <c r="M1" s="278"/>
      <c r="N1" s="278"/>
      <c r="O1" s="278"/>
      <c r="P1" s="278"/>
      <c r="Q1" s="278"/>
      <c r="R1" s="278"/>
    </row>
    <row r="2" spans="1:18" ht="15.75" customHeight="1" x14ac:dyDescent="0.35">
      <c r="A2" s="274" t="str">
        <f>Paramètres!B4</f>
        <v>Décompte 2023</v>
      </c>
      <c r="C2" s="20"/>
      <c r="E2" s="23"/>
      <c r="G2" s="24"/>
      <c r="H2" s="3"/>
      <c r="I2" s="278"/>
      <c r="J2" s="278"/>
      <c r="K2" s="278"/>
      <c r="L2" s="278"/>
      <c r="M2" s="278"/>
      <c r="N2" s="278"/>
      <c r="O2" s="278"/>
      <c r="P2" s="278"/>
      <c r="Q2" s="278"/>
      <c r="R2" s="278"/>
    </row>
    <row r="3" spans="1:18" x14ac:dyDescent="0.25">
      <c r="A3" s="2"/>
      <c r="B3" s="275"/>
      <c r="C3" s="3"/>
      <c r="E3" s="23"/>
      <c r="G3" s="3"/>
      <c r="H3" s="3"/>
      <c r="I3" s="3"/>
      <c r="J3" s="3"/>
      <c r="K3" s="3"/>
    </row>
    <row r="4" spans="1:18" s="14" customFormat="1" ht="45" x14ac:dyDescent="0.2">
      <c r="A4" s="726" t="s">
        <v>44</v>
      </c>
      <c r="B4" s="722" t="s">
        <v>84</v>
      </c>
      <c r="C4" s="334" t="s">
        <v>511</v>
      </c>
      <c r="D4" s="334" t="s">
        <v>512</v>
      </c>
      <c r="E4" s="335" t="s">
        <v>415</v>
      </c>
      <c r="F4" s="334" t="s">
        <v>525</v>
      </c>
      <c r="G4" s="334" t="s">
        <v>311</v>
      </c>
      <c r="H4" s="728" t="s">
        <v>218</v>
      </c>
      <c r="I4" s="730" t="s">
        <v>524</v>
      </c>
      <c r="J4" s="728" t="s">
        <v>219</v>
      </c>
      <c r="K4" s="728" t="s">
        <v>336</v>
      </c>
      <c r="L4" s="724" t="s">
        <v>288</v>
      </c>
      <c r="M4" s="334" t="s">
        <v>223</v>
      </c>
      <c r="N4" s="334" t="s">
        <v>445</v>
      </c>
      <c r="O4" s="722" t="s">
        <v>416</v>
      </c>
      <c r="P4" s="724" t="s">
        <v>361</v>
      </c>
      <c r="Q4" s="336" t="s">
        <v>71</v>
      </c>
      <c r="R4" s="341" t="s">
        <v>409</v>
      </c>
    </row>
    <row r="5" spans="1:18" ht="14.25" customHeight="1" x14ac:dyDescent="0.25">
      <c r="A5" s="727"/>
      <c r="B5" s="723"/>
      <c r="C5" s="337" t="s">
        <v>526</v>
      </c>
      <c r="D5" s="338" t="s">
        <v>527</v>
      </c>
      <c r="E5" s="339" t="s">
        <v>72</v>
      </c>
      <c r="F5" s="337" t="s">
        <v>74</v>
      </c>
      <c r="G5" s="338" t="s">
        <v>75</v>
      </c>
      <c r="H5" s="729"/>
      <c r="I5" s="731"/>
      <c r="J5" s="729"/>
      <c r="K5" s="729"/>
      <c r="L5" s="725"/>
      <c r="M5" s="338" t="s">
        <v>73</v>
      </c>
      <c r="N5" s="338" t="s">
        <v>76</v>
      </c>
      <c r="O5" s="723"/>
      <c r="P5" s="725"/>
      <c r="Q5" s="340">
        <f>Paramètres!B5</f>
        <v>2023</v>
      </c>
      <c r="R5" s="342">
        <f>Paramètres!B5</f>
        <v>2023</v>
      </c>
    </row>
    <row r="6" spans="1:18" x14ac:dyDescent="0.25">
      <c r="A6" s="7">
        <f>Données!A6</f>
        <v>5401</v>
      </c>
      <c r="B6" s="27" t="str">
        <f>Données!B6</f>
        <v>Aigle</v>
      </c>
      <c r="C6" s="8">
        <f>Données!C6+Données!D6</f>
        <v>15108779.43</v>
      </c>
      <c r="D6" s="8">
        <f>+Données!G6+Données!H6+Données!S6</f>
        <v>1559037.5599999998</v>
      </c>
      <c r="E6" s="8">
        <f>+Données!E6</f>
        <v>0</v>
      </c>
      <c r="F6" s="8">
        <f>+Données!I6</f>
        <v>27519.06</v>
      </c>
      <c r="G6" s="8">
        <f>+Données!J6</f>
        <v>656151.53</v>
      </c>
      <c r="H6" s="8">
        <f>Données!U6</f>
        <v>-360258.82</v>
      </c>
      <c r="I6" s="26">
        <f>Données!V6</f>
        <v>0</v>
      </c>
      <c r="J6" s="26">
        <f>Données!W6</f>
        <v>-10939.25</v>
      </c>
      <c r="K6" s="8">
        <f>+Données!Q6</f>
        <v>99047.35</v>
      </c>
      <c r="L6" s="343">
        <f>SUM(C6:K6)</f>
        <v>17079336.860000003</v>
      </c>
      <c r="M6" s="8">
        <f>+Données!F6</f>
        <v>0</v>
      </c>
      <c r="N6" s="8">
        <f>+Données!K6</f>
        <v>283986</v>
      </c>
      <c r="O6" s="8">
        <f>(Données!L6/Données!Y6)*1</f>
        <v>2032747.1666666667</v>
      </c>
      <c r="P6" s="343">
        <f>SUM(L6:O6)</f>
        <v>19396070.026666671</v>
      </c>
      <c r="Q6" s="28">
        <f>+Données!X6</f>
        <v>66</v>
      </c>
      <c r="R6" s="343">
        <f t="shared" ref="R6" si="0">P6/Q6</f>
        <v>293879.84888888896</v>
      </c>
    </row>
    <row r="7" spans="1:18" x14ac:dyDescent="0.25">
      <c r="A7" s="7">
        <f>Données!A7</f>
        <v>5402</v>
      </c>
      <c r="B7" s="27" t="str">
        <f>Données!B7</f>
        <v>Bex</v>
      </c>
      <c r="C7" s="8">
        <f>Données!C7+Données!D7</f>
        <v>11600449.060000001</v>
      </c>
      <c r="D7" s="8">
        <f>+Données!G7+Données!H7+Données!S7</f>
        <v>1047161.79</v>
      </c>
      <c r="E7" s="8">
        <f>+Données!E7</f>
        <v>0</v>
      </c>
      <c r="F7" s="8">
        <f>+Données!I7</f>
        <v>27795.9</v>
      </c>
      <c r="G7" s="8">
        <f>+Données!J7</f>
        <v>440843.7</v>
      </c>
      <c r="H7" s="8">
        <f>Données!U7</f>
        <v>-377046.8</v>
      </c>
      <c r="I7" s="152">
        <f>Données!V7</f>
        <v>0</v>
      </c>
      <c r="J7" s="152">
        <f>Données!W7</f>
        <v>-3467.38</v>
      </c>
      <c r="K7" s="8">
        <f>+Données!Q7</f>
        <v>50002.46</v>
      </c>
      <c r="L7" s="343">
        <f t="shared" ref="L7:L70" si="1">SUM(C7:K7)</f>
        <v>12785738.73</v>
      </c>
      <c r="M7" s="8">
        <f>+Données!F7</f>
        <v>0</v>
      </c>
      <c r="N7" s="8">
        <f>+Données!K7</f>
        <v>149719.25</v>
      </c>
      <c r="O7" s="8">
        <f>(Données!L7/Données!Y7)*1</f>
        <v>1456109.6400000001</v>
      </c>
      <c r="P7" s="343">
        <f t="shared" ref="P7:P70" si="2">SUM(L7:O7)</f>
        <v>14391567.620000001</v>
      </c>
      <c r="Q7" s="173">
        <f>+Données!X7</f>
        <v>71</v>
      </c>
      <c r="R7" s="343">
        <f t="shared" ref="R7:R70" si="3">P7/Q7</f>
        <v>202698.13549295775</v>
      </c>
    </row>
    <row r="8" spans="1:18" x14ac:dyDescent="0.25">
      <c r="A8" s="7">
        <f>Données!A8</f>
        <v>5403</v>
      </c>
      <c r="B8" s="27" t="str">
        <f>Données!B8</f>
        <v>Chessel</v>
      </c>
      <c r="C8" s="8">
        <f>Données!C8+Données!D8</f>
        <v>700353.89</v>
      </c>
      <c r="D8" s="8">
        <f>+Données!G8+Données!H8+Données!S8</f>
        <v>15150.14</v>
      </c>
      <c r="E8" s="8">
        <f>+Données!E8</f>
        <v>0</v>
      </c>
      <c r="F8" s="8">
        <f>+Données!I8</f>
        <v>0</v>
      </c>
      <c r="G8" s="8">
        <f>+Données!J8</f>
        <v>30927.59</v>
      </c>
      <c r="H8" s="8">
        <f>Données!U8</f>
        <v>-50761.43</v>
      </c>
      <c r="I8" s="152">
        <f>Données!V8</f>
        <v>0</v>
      </c>
      <c r="J8" s="152">
        <f>Données!W8</f>
        <v>0</v>
      </c>
      <c r="K8" s="8">
        <f>+Données!Q8</f>
        <v>61669.24</v>
      </c>
      <c r="L8" s="343">
        <f t="shared" si="1"/>
        <v>757339.42999999993</v>
      </c>
      <c r="M8" s="8">
        <f>+Données!F8</f>
        <v>0</v>
      </c>
      <c r="N8" s="8">
        <f>+Données!K8</f>
        <v>8151.1</v>
      </c>
      <c r="O8" s="8">
        <f>(Données!L8/Données!Y8)*1</f>
        <v>91253.2</v>
      </c>
      <c r="P8" s="343">
        <f t="shared" si="2"/>
        <v>856743.72999999986</v>
      </c>
      <c r="Q8" s="173">
        <f>+Données!X8</f>
        <v>65</v>
      </c>
      <c r="R8" s="343">
        <f t="shared" si="3"/>
        <v>13180.672769230767</v>
      </c>
    </row>
    <row r="9" spans="1:18" x14ac:dyDescent="0.25">
      <c r="A9" s="7">
        <f>Données!A9</f>
        <v>5404</v>
      </c>
      <c r="B9" s="27" t="str">
        <f>Données!B9</f>
        <v>Corbeyrier</v>
      </c>
      <c r="C9" s="8">
        <f>Données!C9+Données!D9</f>
        <v>686252.45</v>
      </c>
      <c r="D9" s="8">
        <f>+Données!G9+Données!H9+Données!S9</f>
        <v>12950.41</v>
      </c>
      <c r="E9" s="8">
        <f>+Données!E9</f>
        <v>0</v>
      </c>
      <c r="F9" s="8">
        <f>+Données!I9</f>
        <v>0</v>
      </c>
      <c r="G9" s="8">
        <f>+Données!J9</f>
        <v>7551.17</v>
      </c>
      <c r="H9" s="8">
        <f>Données!U9</f>
        <v>-16026.78</v>
      </c>
      <c r="I9" s="152">
        <f>Données!V9</f>
        <v>0</v>
      </c>
      <c r="J9" s="152">
        <f>Données!W9</f>
        <v>-778.25</v>
      </c>
      <c r="K9" s="8">
        <f>+Données!Q9</f>
        <v>3731.41</v>
      </c>
      <c r="L9" s="343">
        <f t="shared" si="1"/>
        <v>693680.41</v>
      </c>
      <c r="M9" s="8">
        <f>+Données!F9</f>
        <v>0</v>
      </c>
      <c r="N9" s="8">
        <f>+Données!K9</f>
        <v>1959.55</v>
      </c>
      <c r="O9" s="8">
        <f>(Données!L9/Données!Y9)*1</f>
        <v>92963.099999999991</v>
      </c>
      <c r="P9" s="343">
        <f t="shared" si="2"/>
        <v>788603.06</v>
      </c>
      <c r="Q9" s="173">
        <f>+Données!X9</f>
        <v>74</v>
      </c>
      <c r="R9" s="343">
        <f t="shared" si="3"/>
        <v>10656.798108108109</v>
      </c>
    </row>
    <row r="10" spans="1:18" x14ac:dyDescent="0.25">
      <c r="A10" s="7">
        <f>Données!A10</f>
        <v>5405</v>
      </c>
      <c r="B10" s="27" t="str">
        <f>Données!B10</f>
        <v>Gryon</v>
      </c>
      <c r="C10" s="8">
        <f>Données!C10+Données!D10</f>
        <v>4693298.3</v>
      </c>
      <c r="D10" s="8">
        <f>+Données!G10+Données!H10+Données!S10</f>
        <v>58427.479999999996</v>
      </c>
      <c r="E10" s="8">
        <f>+Données!E10</f>
        <v>0</v>
      </c>
      <c r="F10" s="8">
        <f>+Données!I10</f>
        <v>249890.35</v>
      </c>
      <c r="G10" s="8">
        <f>+Données!J10</f>
        <v>92231.75</v>
      </c>
      <c r="H10" s="8">
        <f>Données!U10</f>
        <v>-122650.43</v>
      </c>
      <c r="I10" s="152">
        <f>Données!V10</f>
        <v>0</v>
      </c>
      <c r="J10" s="152">
        <f>Données!W10</f>
        <v>-9033.14</v>
      </c>
      <c r="K10" s="8">
        <f>+Données!Q10</f>
        <v>5879.92</v>
      </c>
      <c r="L10" s="343">
        <f t="shared" si="1"/>
        <v>4968044.2300000004</v>
      </c>
      <c r="M10" s="8">
        <f>+Données!F10</f>
        <v>0</v>
      </c>
      <c r="N10" s="8">
        <f>+Données!K10</f>
        <v>12014.55</v>
      </c>
      <c r="O10" s="8">
        <f>(Données!L10/Données!Y10)*1</f>
        <v>841151.56666666677</v>
      </c>
      <c r="P10" s="343">
        <f t="shared" si="2"/>
        <v>5821210.3466666667</v>
      </c>
      <c r="Q10" s="173">
        <f>+Données!X10</f>
        <v>73.5</v>
      </c>
      <c r="R10" s="343">
        <f t="shared" si="3"/>
        <v>79200.140770975064</v>
      </c>
    </row>
    <row r="11" spans="1:18" x14ac:dyDescent="0.25">
      <c r="A11" s="7">
        <f>Données!A11</f>
        <v>5406</v>
      </c>
      <c r="B11" s="27" t="str">
        <f>Données!B11</f>
        <v>Lavey-Morcles</v>
      </c>
      <c r="C11" s="8">
        <f>Données!C11+Données!D11</f>
        <v>1329932.1499999999</v>
      </c>
      <c r="D11" s="8">
        <f>+Données!G11+Données!H11+Données!S11</f>
        <v>201107.54</v>
      </c>
      <c r="E11" s="8">
        <f>+Données!E11</f>
        <v>0</v>
      </c>
      <c r="F11" s="8">
        <f>+Données!I11</f>
        <v>0</v>
      </c>
      <c r="G11" s="8">
        <f>+Données!J11</f>
        <v>45771.12</v>
      </c>
      <c r="H11" s="8">
        <f>Données!U11</f>
        <v>-24221.62</v>
      </c>
      <c r="I11" s="152">
        <f>Données!V11</f>
        <v>0</v>
      </c>
      <c r="J11" s="152">
        <f>Données!W11</f>
        <v>-221.9</v>
      </c>
      <c r="K11" s="8">
        <f>+Données!Q11</f>
        <v>3259.95</v>
      </c>
      <c r="L11" s="343">
        <f t="shared" si="1"/>
        <v>1555627.24</v>
      </c>
      <c r="M11" s="8">
        <f>+Données!F11</f>
        <v>0</v>
      </c>
      <c r="N11" s="8">
        <f>+Données!K11</f>
        <v>10035</v>
      </c>
      <c r="O11" s="8">
        <f>(Données!L11/Données!Y11)*1</f>
        <v>162801.23076923078</v>
      </c>
      <c r="P11" s="343">
        <f t="shared" si="2"/>
        <v>1728463.4707692307</v>
      </c>
      <c r="Q11" s="173">
        <f>+Données!X11</f>
        <v>71.5</v>
      </c>
      <c r="R11" s="343">
        <f t="shared" si="3"/>
        <v>24174.314276492736</v>
      </c>
    </row>
    <row r="12" spans="1:18" x14ac:dyDescent="0.25">
      <c r="A12" s="7">
        <f>Données!A12</f>
        <v>5407</v>
      </c>
      <c r="B12" s="27" t="str">
        <f>Données!B12</f>
        <v>Leysin</v>
      </c>
      <c r="C12" s="8">
        <f>Données!C12+Données!D12</f>
        <v>5935570.1500000004</v>
      </c>
      <c r="D12" s="8">
        <f>+Données!G12+Données!H12+Données!S12</f>
        <v>298054.67999999993</v>
      </c>
      <c r="E12" s="8">
        <f>+Données!E12</f>
        <v>0</v>
      </c>
      <c r="F12" s="8">
        <f>+Données!I12</f>
        <v>187522.6</v>
      </c>
      <c r="G12" s="8">
        <f>+Données!J12</f>
        <v>464228.15</v>
      </c>
      <c r="H12" s="8">
        <f>Données!U12</f>
        <v>-182520.01</v>
      </c>
      <c r="I12" s="152">
        <f>Données!V12</f>
        <v>0</v>
      </c>
      <c r="J12" s="152">
        <f>Données!W12</f>
        <v>-2553.98</v>
      </c>
      <c r="K12" s="8">
        <f>+Données!Q12</f>
        <v>22628.61</v>
      </c>
      <c r="L12" s="343">
        <f t="shared" si="1"/>
        <v>6722930.2000000002</v>
      </c>
      <c r="M12" s="8">
        <f>+Données!F12</f>
        <v>0</v>
      </c>
      <c r="N12" s="8">
        <f>+Données!K12</f>
        <v>29975.3</v>
      </c>
      <c r="O12" s="8">
        <f>(Données!L12/Données!Y12)*1</f>
        <v>859421.29999999993</v>
      </c>
      <c r="P12" s="343">
        <f t="shared" si="2"/>
        <v>7612326.7999999998</v>
      </c>
      <c r="Q12" s="173">
        <f>+Données!X12</f>
        <v>78</v>
      </c>
      <c r="R12" s="343">
        <f t="shared" si="3"/>
        <v>97593.933333333334</v>
      </c>
    </row>
    <row r="13" spans="1:18" x14ac:dyDescent="0.25">
      <c r="A13" s="7">
        <f>Données!A13</f>
        <v>5408</v>
      </c>
      <c r="B13" s="27" t="str">
        <f>Données!B13</f>
        <v>Noville</v>
      </c>
      <c r="C13" s="8">
        <f>Données!C13+Données!D13</f>
        <v>2286793.9700000002</v>
      </c>
      <c r="D13" s="8">
        <f>+Données!G13+Données!H13+Données!S13</f>
        <v>332861.65999999997</v>
      </c>
      <c r="E13" s="8">
        <f>+Données!E13</f>
        <v>0</v>
      </c>
      <c r="F13" s="8">
        <f>+Données!I13</f>
        <v>0</v>
      </c>
      <c r="G13" s="8">
        <f>+Données!J13</f>
        <v>35679.96</v>
      </c>
      <c r="H13" s="8">
        <f>Données!U13</f>
        <v>-13713.27</v>
      </c>
      <c r="I13" s="152">
        <f>Données!V13</f>
        <v>0</v>
      </c>
      <c r="J13" s="152">
        <f>Données!W13</f>
        <v>-3971</v>
      </c>
      <c r="K13" s="8">
        <f>+Données!Q13</f>
        <v>-8918.59</v>
      </c>
      <c r="L13" s="343">
        <f t="shared" si="1"/>
        <v>2628732.7300000004</v>
      </c>
      <c r="M13" s="8">
        <f>+Données!F13</f>
        <v>0</v>
      </c>
      <c r="N13" s="8">
        <f>+Données!K13</f>
        <v>28688.2</v>
      </c>
      <c r="O13" s="8">
        <f>(Données!L13/Données!Y13)*1</f>
        <v>355853.26666666666</v>
      </c>
      <c r="P13" s="343">
        <f t="shared" si="2"/>
        <v>3013274.1966666672</v>
      </c>
      <c r="Q13" s="173">
        <f>+Données!X13</f>
        <v>75</v>
      </c>
      <c r="R13" s="343">
        <f t="shared" si="3"/>
        <v>40176.989288888893</v>
      </c>
    </row>
    <row r="14" spans="1:18" x14ac:dyDescent="0.25">
      <c r="A14" s="7">
        <f>Données!A14</f>
        <v>5409</v>
      </c>
      <c r="B14" s="27" t="str">
        <f>Données!B14</f>
        <v>Ollon</v>
      </c>
      <c r="C14" s="8">
        <f>Données!C14+Données!D14</f>
        <v>20899392.370000001</v>
      </c>
      <c r="D14" s="8">
        <f>+Données!G14+Données!H14+Données!S14</f>
        <v>1129115.71</v>
      </c>
      <c r="E14" s="8">
        <f>+Données!E14</f>
        <v>0</v>
      </c>
      <c r="F14" s="8">
        <f>+Données!I14</f>
        <v>2553058.69</v>
      </c>
      <c r="G14" s="8">
        <f>+Données!J14</f>
        <v>823094.46</v>
      </c>
      <c r="H14" s="8">
        <f>Données!U14</f>
        <v>-318558.65000000002</v>
      </c>
      <c r="I14" s="152">
        <f>Données!V14</f>
        <v>0</v>
      </c>
      <c r="J14" s="152">
        <f>Données!W14</f>
        <v>-56297.45</v>
      </c>
      <c r="K14" s="8">
        <f>+Données!Q14</f>
        <v>136902.81</v>
      </c>
      <c r="L14" s="343">
        <f t="shared" si="1"/>
        <v>25166707.940000005</v>
      </c>
      <c r="M14" s="8">
        <f>+Données!F14</f>
        <v>0</v>
      </c>
      <c r="N14" s="8">
        <f>+Données!K14</f>
        <v>136159.25</v>
      </c>
      <c r="O14" s="8">
        <f>(Données!L14/Données!Y14)*1</f>
        <v>3374631.8461538465</v>
      </c>
      <c r="P14" s="343">
        <f t="shared" si="2"/>
        <v>28677499.036153853</v>
      </c>
      <c r="Q14" s="173">
        <f>+Données!X14</f>
        <v>68</v>
      </c>
      <c r="R14" s="343">
        <f t="shared" si="3"/>
        <v>421727.92700226256</v>
      </c>
    </row>
    <row r="15" spans="1:18" x14ac:dyDescent="0.25">
      <c r="A15" s="7">
        <f>Données!A15</f>
        <v>5410</v>
      </c>
      <c r="B15" s="27" t="str">
        <f>Données!B15</f>
        <v>Ormont-Dessous</v>
      </c>
      <c r="C15" s="8">
        <f>Données!C15+Données!D15</f>
        <v>2352026.09</v>
      </c>
      <c r="D15" s="8">
        <f>+Données!G15+Données!H15+Données!S15</f>
        <v>36626.17</v>
      </c>
      <c r="E15" s="8">
        <f>+Données!E15</f>
        <v>0</v>
      </c>
      <c r="F15" s="8">
        <f>+Données!I15</f>
        <v>0</v>
      </c>
      <c r="G15" s="8">
        <f>+Données!J15</f>
        <v>70403.03</v>
      </c>
      <c r="H15" s="8">
        <f>Données!U15</f>
        <v>-45404.29</v>
      </c>
      <c r="I15" s="152">
        <f>Données!V15</f>
        <v>0</v>
      </c>
      <c r="J15" s="152">
        <f>Données!W15</f>
        <v>-202.44</v>
      </c>
      <c r="K15" s="8">
        <f>+Données!Q15</f>
        <v>1518.08</v>
      </c>
      <c r="L15" s="343">
        <f t="shared" si="1"/>
        <v>2414966.6399999997</v>
      </c>
      <c r="M15" s="8">
        <f>+Données!F15</f>
        <v>0</v>
      </c>
      <c r="N15" s="8">
        <f>+Données!K15</f>
        <v>12130.5</v>
      </c>
      <c r="O15" s="8">
        <f>(Données!L15/Données!Y15)*1</f>
        <v>403157.8</v>
      </c>
      <c r="P15" s="343">
        <f t="shared" si="2"/>
        <v>2830254.9399999995</v>
      </c>
      <c r="Q15" s="173">
        <f>+Données!X15</f>
        <v>77</v>
      </c>
      <c r="R15" s="343">
        <f t="shared" si="3"/>
        <v>36756.557662337655</v>
      </c>
    </row>
    <row r="16" spans="1:18" x14ac:dyDescent="0.25">
      <c r="A16" s="7">
        <f>Données!A16</f>
        <v>5411</v>
      </c>
      <c r="B16" s="27" t="str">
        <f>Données!B16</f>
        <v>Ormont-Dessus</v>
      </c>
      <c r="C16" s="8">
        <f>Données!C16+Données!D16</f>
        <v>4653567.5999999996</v>
      </c>
      <c r="D16" s="8">
        <f>+Données!G16+Données!H16+Données!S16</f>
        <v>142621.62</v>
      </c>
      <c r="E16" s="8">
        <f>+Données!E16</f>
        <v>0</v>
      </c>
      <c r="F16" s="8">
        <f>+Données!I16</f>
        <v>229025</v>
      </c>
      <c r="G16" s="8">
        <f>+Données!J16</f>
        <v>175167.99</v>
      </c>
      <c r="H16" s="8">
        <f>Données!U16</f>
        <v>-48745.96</v>
      </c>
      <c r="I16" s="152">
        <f>Données!V16</f>
        <v>0</v>
      </c>
      <c r="J16" s="152">
        <f>Données!W16</f>
        <v>-3221.29</v>
      </c>
      <c r="K16" s="8">
        <f>+Données!Q16</f>
        <v>0</v>
      </c>
      <c r="L16" s="343">
        <f t="shared" si="1"/>
        <v>5148414.96</v>
      </c>
      <c r="M16" s="8">
        <f>+Données!F16</f>
        <v>0</v>
      </c>
      <c r="N16" s="8">
        <f>+Données!K16</f>
        <v>-5518.75</v>
      </c>
      <c r="O16" s="8">
        <f>(Données!L16/Données!Y16)*1</f>
        <v>876162</v>
      </c>
      <c r="P16" s="343">
        <f t="shared" si="2"/>
        <v>6019058.21</v>
      </c>
      <c r="Q16" s="173">
        <f>+Données!X16</f>
        <v>76</v>
      </c>
      <c r="R16" s="343">
        <f t="shared" si="3"/>
        <v>79198.134342105259</v>
      </c>
    </row>
    <row r="17" spans="1:18" x14ac:dyDescent="0.25">
      <c r="A17" s="7">
        <f>Données!A17</f>
        <v>5412</v>
      </c>
      <c r="B17" s="27" t="str">
        <f>Données!B17</f>
        <v>Rennaz</v>
      </c>
      <c r="C17" s="8">
        <f>Données!C17+Données!D17</f>
        <v>1290215.2999999998</v>
      </c>
      <c r="D17" s="8">
        <f>+Données!G17+Données!H17+Données!S17</f>
        <v>273248.96999999997</v>
      </c>
      <c r="E17" s="8">
        <f>+Données!E17</f>
        <v>0</v>
      </c>
      <c r="F17" s="8">
        <f>+Données!I17</f>
        <v>0</v>
      </c>
      <c r="G17" s="8">
        <f>+Données!J17</f>
        <v>140910.54999999999</v>
      </c>
      <c r="H17" s="8">
        <f>Données!U17</f>
        <v>-54721.01</v>
      </c>
      <c r="I17" s="152">
        <f>Données!V17</f>
        <v>0</v>
      </c>
      <c r="J17" s="152">
        <f>Données!W17</f>
        <v>-36.9</v>
      </c>
      <c r="K17" s="8">
        <f>+Données!Q17</f>
        <v>7823.4</v>
      </c>
      <c r="L17" s="343">
        <f t="shared" si="1"/>
        <v>1657440.3099999998</v>
      </c>
      <c r="M17" s="8">
        <f>+Données!F17</f>
        <v>0</v>
      </c>
      <c r="N17" s="8">
        <f>+Données!K17</f>
        <v>51372.95</v>
      </c>
      <c r="O17" s="8">
        <f>(Données!L17/Données!Y17)*1</f>
        <v>293899.59999999998</v>
      </c>
      <c r="P17" s="343">
        <f t="shared" si="2"/>
        <v>2002712.8599999999</v>
      </c>
      <c r="Q17" s="173">
        <f>+Données!X17</f>
        <v>69</v>
      </c>
      <c r="R17" s="343">
        <f t="shared" si="3"/>
        <v>29024.824057971011</v>
      </c>
    </row>
    <row r="18" spans="1:18" x14ac:dyDescent="0.25">
      <c r="A18" s="7">
        <f>Données!A18</f>
        <v>5413</v>
      </c>
      <c r="B18" s="27" t="str">
        <f>Données!B18</f>
        <v>Roche</v>
      </c>
      <c r="C18" s="8">
        <f>Données!C18+Données!D18</f>
        <v>2102752.41</v>
      </c>
      <c r="D18" s="8">
        <f>+Données!G18+Données!H18+Données!S18</f>
        <v>320703.13</v>
      </c>
      <c r="E18" s="8">
        <f>+Données!E18</f>
        <v>0</v>
      </c>
      <c r="F18" s="8">
        <f>+Données!I18</f>
        <v>3106.45</v>
      </c>
      <c r="G18" s="8">
        <f>+Données!J18</f>
        <v>87645.17</v>
      </c>
      <c r="H18" s="8">
        <f>Données!U18</f>
        <v>-59761.36</v>
      </c>
      <c r="I18" s="152">
        <f>Données!V18</f>
        <v>0</v>
      </c>
      <c r="J18" s="152">
        <f>Données!W18</f>
        <v>-24.27</v>
      </c>
      <c r="K18" s="8">
        <f>+Données!Q18</f>
        <v>1782.51</v>
      </c>
      <c r="L18" s="343">
        <f t="shared" si="1"/>
        <v>2456204.04</v>
      </c>
      <c r="M18" s="8">
        <f>+Données!F18</f>
        <v>0</v>
      </c>
      <c r="N18" s="8">
        <f>+Données!K18</f>
        <v>32154.05</v>
      </c>
      <c r="O18" s="8">
        <f>(Données!L18/Données!Y18)*1</f>
        <v>314598.29166666669</v>
      </c>
      <c r="P18" s="343">
        <f t="shared" si="2"/>
        <v>2802956.3816666664</v>
      </c>
      <c r="Q18" s="173">
        <f>+Données!X18</f>
        <v>68</v>
      </c>
      <c r="R18" s="343">
        <f t="shared" si="3"/>
        <v>41219.946789215683</v>
      </c>
    </row>
    <row r="19" spans="1:18" x14ac:dyDescent="0.25">
      <c r="A19" s="7">
        <f>Données!A19</f>
        <v>5414</v>
      </c>
      <c r="B19" s="27" t="str">
        <f>Données!B19</f>
        <v>Villeneuve</v>
      </c>
      <c r="C19" s="8">
        <f>Données!C19+Données!D19</f>
        <v>9036841.3000000007</v>
      </c>
      <c r="D19" s="8">
        <f>+Données!G19+Données!H19+Données!S19</f>
        <v>1989618.88</v>
      </c>
      <c r="E19" s="8">
        <f>+Données!E19</f>
        <v>0</v>
      </c>
      <c r="F19" s="8">
        <f>+Données!I19</f>
        <v>172305.6</v>
      </c>
      <c r="G19" s="8">
        <f>+Données!J19</f>
        <v>372579.67</v>
      </c>
      <c r="H19" s="8">
        <f>Données!U19</f>
        <v>-299382.34000000003</v>
      </c>
      <c r="I19" s="152">
        <f>Données!V19</f>
        <v>0</v>
      </c>
      <c r="J19" s="152">
        <f>Données!W19</f>
        <v>-4853.54</v>
      </c>
      <c r="K19" s="8">
        <f>+Données!Q19</f>
        <v>58023</v>
      </c>
      <c r="L19" s="343">
        <f t="shared" si="1"/>
        <v>11325132.57</v>
      </c>
      <c r="M19" s="8">
        <f>+Données!F19</f>
        <v>0</v>
      </c>
      <c r="N19" s="8">
        <f>+Données!K19</f>
        <v>162978.4</v>
      </c>
      <c r="O19" s="8">
        <f>(Données!L19/Données!Y19)*1</f>
        <v>1342396.75</v>
      </c>
      <c r="P19" s="343">
        <f t="shared" si="2"/>
        <v>12830507.720000001</v>
      </c>
      <c r="Q19" s="173">
        <f>+Données!X19</f>
        <v>67.5</v>
      </c>
      <c r="R19" s="343">
        <f t="shared" si="3"/>
        <v>190081.59585185186</v>
      </c>
    </row>
    <row r="20" spans="1:18" x14ac:dyDescent="0.25">
      <c r="A20" s="7">
        <f>Données!A20</f>
        <v>5415</v>
      </c>
      <c r="B20" s="27" t="str">
        <f>Données!B20</f>
        <v>Yvorne</v>
      </c>
      <c r="C20" s="8">
        <f>Données!C20+Données!D20</f>
        <v>2264294.91</v>
      </c>
      <c r="D20" s="8">
        <f>+Données!G20+Données!H20+Données!S20</f>
        <v>99576.05</v>
      </c>
      <c r="E20" s="8">
        <f>+Données!E20</f>
        <v>0</v>
      </c>
      <c r="F20" s="8">
        <f>+Données!I20</f>
        <v>470.1</v>
      </c>
      <c r="G20" s="8">
        <f>+Données!J20</f>
        <v>41446.769999999997</v>
      </c>
      <c r="H20" s="8">
        <f>Données!U20</f>
        <v>-41688.93</v>
      </c>
      <c r="I20" s="152">
        <f>Données!V20</f>
        <v>0</v>
      </c>
      <c r="J20" s="152">
        <f>Données!W20</f>
        <v>-3284.3</v>
      </c>
      <c r="K20" s="8">
        <f>+Données!Q20</f>
        <v>9800.57</v>
      </c>
      <c r="L20" s="343">
        <f t="shared" si="1"/>
        <v>2370615.17</v>
      </c>
      <c r="M20" s="8">
        <f>+Données!F20</f>
        <v>0</v>
      </c>
      <c r="N20" s="8">
        <f>+Données!K20</f>
        <v>10522.3</v>
      </c>
      <c r="O20" s="8">
        <f>(Données!L20/Données!Y20)*1</f>
        <v>248721.76666666669</v>
      </c>
      <c r="P20" s="343">
        <f t="shared" si="2"/>
        <v>2629859.2366666663</v>
      </c>
      <c r="Q20" s="173">
        <f>+Données!X20</f>
        <v>71.5</v>
      </c>
      <c r="R20" s="343">
        <f t="shared" si="3"/>
        <v>36781.248065268061</v>
      </c>
    </row>
    <row r="21" spans="1:18" x14ac:dyDescent="0.25">
      <c r="A21" s="7">
        <f>Données!A21</f>
        <v>5422</v>
      </c>
      <c r="B21" s="27" t="str">
        <f>Données!B21</f>
        <v>Aubonne</v>
      </c>
      <c r="C21" s="8">
        <f>Données!C21+Données!D21</f>
        <v>17498667.120000001</v>
      </c>
      <c r="D21" s="8">
        <f>+Données!G21+Données!H21+Données!S21</f>
        <v>9313842.1000000015</v>
      </c>
      <c r="E21" s="8">
        <f>+Données!E21</f>
        <v>0</v>
      </c>
      <c r="F21" s="8">
        <f>+Données!I21</f>
        <v>130124.8</v>
      </c>
      <c r="G21" s="8">
        <f>+Données!J21</f>
        <v>287954.23</v>
      </c>
      <c r="H21" s="8">
        <f>Données!U21</f>
        <v>-112442.77</v>
      </c>
      <c r="I21" s="152">
        <f>Données!V21</f>
        <v>0</v>
      </c>
      <c r="J21" s="152">
        <f>Données!W21</f>
        <v>-7568.75</v>
      </c>
      <c r="K21" s="8">
        <f>+Données!Q21</f>
        <v>9362.33</v>
      </c>
      <c r="L21" s="343">
        <f t="shared" si="1"/>
        <v>27119939.060000002</v>
      </c>
      <c r="M21" s="8">
        <f>+Données!F21</f>
        <v>0</v>
      </c>
      <c r="N21" s="8">
        <f>+Données!K21</f>
        <v>142379.4</v>
      </c>
      <c r="O21" s="8">
        <f>(Données!L21/Données!Y21)*1</f>
        <v>1184466.8500000001</v>
      </c>
      <c r="P21" s="343">
        <f t="shared" si="2"/>
        <v>28446785.310000002</v>
      </c>
      <c r="Q21" s="173">
        <f>+Données!X21</f>
        <v>68</v>
      </c>
      <c r="R21" s="343">
        <f t="shared" si="3"/>
        <v>418335.07808823534</v>
      </c>
    </row>
    <row r="22" spans="1:18" x14ac:dyDescent="0.25">
      <c r="A22" s="7">
        <f>Données!A22</f>
        <v>5423</v>
      </c>
      <c r="B22" s="27" t="str">
        <f>Données!B22</f>
        <v>Ballens</v>
      </c>
      <c r="C22" s="8">
        <f>Données!C22+Données!D22</f>
        <v>1157505.55</v>
      </c>
      <c r="D22" s="8">
        <f>+Données!G22+Données!H22+Données!S22</f>
        <v>19902.78</v>
      </c>
      <c r="E22" s="8">
        <f>+Données!E22</f>
        <v>0</v>
      </c>
      <c r="F22" s="8">
        <f>+Données!I22</f>
        <v>0</v>
      </c>
      <c r="G22" s="8">
        <f>+Données!J22</f>
        <v>36375.64</v>
      </c>
      <c r="H22" s="8">
        <f>Données!U22</f>
        <v>-16509.72</v>
      </c>
      <c r="I22" s="152">
        <f>Données!V22</f>
        <v>0</v>
      </c>
      <c r="J22" s="152">
        <f>Données!W22</f>
        <v>-61.65</v>
      </c>
      <c r="K22" s="8">
        <f>+Données!Q22</f>
        <v>-0.05</v>
      </c>
      <c r="L22" s="343">
        <f t="shared" si="1"/>
        <v>1197212.55</v>
      </c>
      <c r="M22" s="8">
        <f>+Données!F22</f>
        <v>0</v>
      </c>
      <c r="N22" s="8">
        <f>+Données!K22</f>
        <v>2138.85</v>
      </c>
      <c r="O22" s="8">
        <f>(Données!L22/Données!Y22)*1</f>
        <v>84197.1</v>
      </c>
      <c r="P22" s="343">
        <f t="shared" si="2"/>
        <v>1283548.5000000002</v>
      </c>
      <c r="Q22" s="173">
        <f>+Données!X22</f>
        <v>73</v>
      </c>
      <c r="R22" s="343">
        <f t="shared" si="3"/>
        <v>17582.856164383564</v>
      </c>
    </row>
    <row r="23" spans="1:18" x14ac:dyDescent="0.25">
      <c r="A23" s="7">
        <f>Données!A23</f>
        <v>5424</v>
      </c>
      <c r="B23" s="27" t="str">
        <f>Données!B23</f>
        <v>Berolle</v>
      </c>
      <c r="C23" s="8">
        <f>Données!C23+Données!D23</f>
        <v>660194.11</v>
      </c>
      <c r="D23" s="8">
        <f>+Données!G23+Données!H23+Données!S23</f>
        <v>1642.08</v>
      </c>
      <c r="E23" s="8">
        <f>+Données!E23</f>
        <v>0</v>
      </c>
      <c r="F23" s="8">
        <f>+Données!I23</f>
        <v>45516.2</v>
      </c>
      <c r="G23" s="8">
        <f>+Données!J23</f>
        <v>5269.21</v>
      </c>
      <c r="H23" s="8">
        <f>Données!U23</f>
        <v>-6766.82</v>
      </c>
      <c r="I23" s="152">
        <f>Données!V23</f>
        <v>0</v>
      </c>
      <c r="J23" s="152">
        <f>Données!W23</f>
        <v>0</v>
      </c>
      <c r="K23" s="8">
        <f>+Données!Q23</f>
        <v>0</v>
      </c>
      <c r="L23" s="343">
        <f t="shared" si="1"/>
        <v>705854.77999999991</v>
      </c>
      <c r="M23" s="8">
        <f>+Données!F23</f>
        <v>0</v>
      </c>
      <c r="N23" s="8">
        <f>+Données!K23</f>
        <v>766</v>
      </c>
      <c r="O23" s="8">
        <f>(Données!L23/Données!Y23)*1</f>
        <v>55299.4</v>
      </c>
      <c r="P23" s="343">
        <f t="shared" si="2"/>
        <v>761920.17999999993</v>
      </c>
      <c r="Q23" s="173">
        <f>+Données!X23</f>
        <v>75.5</v>
      </c>
      <c r="R23" s="343">
        <f t="shared" si="3"/>
        <v>10091.658013245033</v>
      </c>
    </row>
    <row r="24" spans="1:18" x14ac:dyDescent="0.25">
      <c r="A24" s="7">
        <f>Données!A24</f>
        <v>5425</v>
      </c>
      <c r="B24" s="27" t="str">
        <f>Données!B24</f>
        <v>Bière</v>
      </c>
      <c r="C24" s="8">
        <f>Données!C24+Données!D24</f>
        <v>2574053.9300000002</v>
      </c>
      <c r="D24" s="8">
        <f>+Données!G24+Données!H24+Données!S24</f>
        <v>166156.93</v>
      </c>
      <c r="E24" s="8">
        <f>+Données!E24</f>
        <v>0</v>
      </c>
      <c r="F24" s="8">
        <f>+Données!I24</f>
        <v>0</v>
      </c>
      <c r="G24" s="8">
        <f>+Données!J24</f>
        <v>149530.72</v>
      </c>
      <c r="H24" s="8">
        <f>Données!U24</f>
        <v>-52367.69</v>
      </c>
      <c r="I24" s="152">
        <f>Données!V24</f>
        <v>0</v>
      </c>
      <c r="J24" s="152">
        <f>Données!W24</f>
        <v>-28.6</v>
      </c>
      <c r="K24" s="8">
        <f>+Données!Q24</f>
        <v>-360.05</v>
      </c>
      <c r="L24" s="343">
        <f t="shared" si="1"/>
        <v>2836985.2400000007</v>
      </c>
      <c r="M24" s="8">
        <f>+Données!F24</f>
        <v>0</v>
      </c>
      <c r="N24" s="8">
        <f>+Données!K24</f>
        <v>21063.45</v>
      </c>
      <c r="O24" s="8">
        <f>(Données!L24/Données!Y24)*1</f>
        <v>234564.13793103452</v>
      </c>
      <c r="P24" s="343">
        <f t="shared" si="2"/>
        <v>3092612.8279310353</v>
      </c>
      <c r="Q24" s="173">
        <f>+Données!X24</f>
        <v>69</v>
      </c>
      <c r="R24" s="343">
        <f t="shared" si="3"/>
        <v>44820.475767116455</v>
      </c>
    </row>
    <row r="25" spans="1:18" x14ac:dyDescent="0.25">
      <c r="A25" s="7">
        <f>Données!A25</f>
        <v>5426</v>
      </c>
      <c r="B25" s="27" t="str">
        <f>Données!B25</f>
        <v>Bougy-Villars</v>
      </c>
      <c r="C25" s="8">
        <f>Données!C25+Données!D25</f>
        <v>3170384.1399999997</v>
      </c>
      <c r="D25" s="8">
        <f>+Données!G25+Données!H25+Données!S25</f>
        <v>18874.63</v>
      </c>
      <c r="E25" s="8">
        <f>+Données!E25</f>
        <v>0</v>
      </c>
      <c r="F25" s="8">
        <f>+Données!I25</f>
        <v>1024695.58</v>
      </c>
      <c r="G25" s="8">
        <f>+Données!J25</f>
        <v>24420.83</v>
      </c>
      <c r="H25" s="8">
        <f>Données!U25</f>
        <v>-5894.75</v>
      </c>
      <c r="I25" s="152">
        <f>Données!V25</f>
        <v>0</v>
      </c>
      <c r="J25" s="152">
        <f>Données!W25</f>
        <v>-5702.49</v>
      </c>
      <c r="K25" s="8">
        <f>+Données!Q25</f>
        <v>257.3</v>
      </c>
      <c r="L25" s="343">
        <f t="shared" si="1"/>
        <v>4227035.2399999993</v>
      </c>
      <c r="M25" s="8">
        <f>+Données!F25</f>
        <v>0</v>
      </c>
      <c r="N25" s="8">
        <f>+Données!K25</f>
        <v>5155.8</v>
      </c>
      <c r="O25" s="8">
        <f>(Données!L25/Données!Y25)*1</f>
        <v>286657.45833333337</v>
      </c>
      <c r="P25" s="343">
        <f t="shared" si="2"/>
        <v>4518848.4983333321</v>
      </c>
      <c r="Q25" s="173">
        <f>+Données!X25</f>
        <v>64.5</v>
      </c>
      <c r="R25" s="343">
        <f t="shared" si="3"/>
        <v>70059.66664082685</v>
      </c>
    </row>
    <row r="26" spans="1:18" x14ac:dyDescent="0.25">
      <c r="A26" s="7">
        <f>Données!A26</f>
        <v>5427</v>
      </c>
      <c r="B26" s="27" t="str">
        <f>Données!B26</f>
        <v>Féchy</v>
      </c>
      <c r="C26" s="8">
        <f>Données!C26+Données!D26</f>
        <v>4172066.4</v>
      </c>
      <c r="D26" s="8">
        <f>+Données!G26+Données!H26+Données!S26</f>
        <v>181130.4</v>
      </c>
      <c r="E26" s="8">
        <f>+Données!E26</f>
        <v>0</v>
      </c>
      <c r="F26" s="8">
        <f>+Données!I26</f>
        <v>712848.15</v>
      </c>
      <c r="G26" s="8">
        <f>+Données!J26</f>
        <v>107303.57</v>
      </c>
      <c r="H26" s="8">
        <f>Données!U26</f>
        <v>-518.78</v>
      </c>
      <c r="I26" s="152">
        <f>Données!V26</f>
        <v>0</v>
      </c>
      <c r="J26" s="152">
        <f>Données!W26</f>
        <v>-8964</v>
      </c>
      <c r="K26" s="8">
        <f>+Données!Q26</f>
        <v>19554.150000000001</v>
      </c>
      <c r="L26" s="343">
        <f t="shared" si="1"/>
        <v>5183419.8900000006</v>
      </c>
      <c r="M26" s="8">
        <f>+Données!F26</f>
        <v>0</v>
      </c>
      <c r="N26" s="8">
        <f>+Données!K26</f>
        <v>6896.45</v>
      </c>
      <c r="O26" s="8">
        <f>(Données!L26/Données!Y26)*1</f>
        <v>378925.65384615381</v>
      </c>
      <c r="P26" s="343">
        <f t="shared" si="2"/>
        <v>5569241.9938461548</v>
      </c>
      <c r="Q26" s="173">
        <f>+Données!X26</f>
        <v>64</v>
      </c>
      <c r="R26" s="343">
        <f t="shared" si="3"/>
        <v>87019.406153846168</v>
      </c>
    </row>
    <row r="27" spans="1:18" x14ac:dyDescent="0.25">
      <c r="A27" s="7">
        <f>Données!A27</f>
        <v>5428</v>
      </c>
      <c r="B27" s="27" t="str">
        <f>Données!B27</f>
        <v>Gimel</v>
      </c>
      <c r="C27" s="8">
        <f>Données!C27+Données!D27</f>
        <v>4570623.43</v>
      </c>
      <c r="D27" s="8">
        <f>+Données!G27+Données!H27+Données!S27</f>
        <v>84781.56</v>
      </c>
      <c r="E27" s="8">
        <f>+Données!E27</f>
        <v>0</v>
      </c>
      <c r="F27" s="8">
        <f>+Données!I27</f>
        <v>0</v>
      </c>
      <c r="G27" s="8">
        <f>+Données!J27</f>
        <v>197273.11</v>
      </c>
      <c r="H27" s="8">
        <f>Données!U27</f>
        <v>-97780.92</v>
      </c>
      <c r="I27" s="152">
        <f>Données!V27</f>
        <v>0</v>
      </c>
      <c r="J27" s="152">
        <f>Données!W27</f>
        <v>-6854.35</v>
      </c>
      <c r="K27" s="8">
        <f>+Données!Q27</f>
        <v>48169.08</v>
      </c>
      <c r="L27" s="343">
        <f t="shared" si="1"/>
        <v>4796211.91</v>
      </c>
      <c r="M27" s="8">
        <f>+Données!F27</f>
        <v>0</v>
      </c>
      <c r="N27" s="8">
        <f>+Données!K27</f>
        <v>26850.85</v>
      </c>
      <c r="O27" s="8">
        <f>(Données!L27/Données!Y27)*1</f>
        <v>438311.54166666669</v>
      </c>
      <c r="P27" s="343">
        <f t="shared" si="2"/>
        <v>5261374.3016666668</v>
      </c>
      <c r="Q27" s="173">
        <f>+Données!X27</f>
        <v>73</v>
      </c>
      <c r="R27" s="343">
        <f t="shared" si="3"/>
        <v>72073.620570776256</v>
      </c>
    </row>
    <row r="28" spans="1:18" x14ac:dyDescent="0.25">
      <c r="A28" s="7">
        <f>Données!A28</f>
        <v>5429</v>
      </c>
      <c r="B28" s="27" t="str">
        <f>Données!B28</f>
        <v>Longirod</v>
      </c>
      <c r="C28" s="8">
        <f>Données!C28+Données!D28</f>
        <v>1377837.03</v>
      </c>
      <c r="D28" s="8">
        <f>+Données!G28+Données!H28+Données!S28</f>
        <v>8952.4500000000007</v>
      </c>
      <c r="E28" s="8">
        <f>+Données!E28</f>
        <v>0</v>
      </c>
      <c r="F28" s="8">
        <f>+Données!I28</f>
        <v>0</v>
      </c>
      <c r="G28" s="8">
        <f>+Données!J28</f>
        <v>3042.44</v>
      </c>
      <c r="H28" s="8">
        <f>Données!U28</f>
        <v>-16206.8</v>
      </c>
      <c r="I28" s="152">
        <f>Données!V28</f>
        <v>0</v>
      </c>
      <c r="J28" s="152">
        <f>Données!W28</f>
        <v>-87.15</v>
      </c>
      <c r="K28" s="8">
        <f>+Données!Q28</f>
        <v>5446.32</v>
      </c>
      <c r="L28" s="343">
        <f t="shared" si="1"/>
        <v>1378984.29</v>
      </c>
      <c r="M28" s="8">
        <f>+Données!F28</f>
        <v>0</v>
      </c>
      <c r="N28" s="8">
        <f>+Données!K28</f>
        <v>2264.5</v>
      </c>
      <c r="O28" s="8">
        <f>(Données!L28/Données!Y28)*1</f>
        <v>113187.15</v>
      </c>
      <c r="P28" s="343">
        <f t="shared" si="2"/>
        <v>1494435.94</v>
      </c>
      <c r="Q28" s="173">
        <f>+Données!X28</f>
        <v>77.5</v>
      </c>
      <c r="R28" s="343">
        <f t="shared" si="3"/>
        <v>19283.044387096772</v>
      </c>
    </row>
    <row r="29" spans="1:18" x14ac:dyDescent="0.25">
      <c r="A29" s="7">
        <f>Données!A29</f>
        <v>5430</v>
      </c>
      <c r="B29" s="27" t="str">
        <f>Données!B29</f>
        <v>Marchissy</v>
      </c>
      <c r="C29" s="8">
        <f>Données!C29+Données!D29</f>
        <v>1166992.21</v>
      </c>
      <c r="D29" s="8">
        <f>+Données!G29+Données!H29+Données!S29</f>
        <v>-7488.18</v>
      </c>
      <c r="E29" s="8">
        <f>+Données!E29</f>
        <v>0</v>
      </c>
      <c r="F29" s="8">
        <f>+Données!I29</f>
        <v>0</v>
      </c>
      <c r="G29" s="8">
        <f>+Données!J29</f>
        <v>-252.32</v>
      </c>
      <c r="H29" s="8">
        <f>Données!U29</f>
        <v>-2877.35</v>
      </c>
      <c r="I29" s="152">
        <f>Données!V29</f>
        <v>0</v>
      </c>
      <c r="J29" s="152">
        <f>Données!W29</f>
        <v>-114.05</v>
      </c>
      <c r="K29" s="8">
        <f>+Données!Q29</f>
        <v>1268.3399999999999</v>
      </c>
      <c r="L29" s="343">
        <f t="shared" si="1"/>
        <v>1157528.6499999999</v>
      </c>
      <c r="M29" s="8">
        <f>+Données!F29</f>
        <v>0</v>
      </c>
      <c r="N29" s="8">
        <f>+Données!K29</f>
        <v>1015.5</v>
      </c>
      <c r="O29" s="8">
        <f>(Données!L29/Données!Y29)*1</f>
        <v>95498.5</v>
      </c>
      <c r="P29" s="343">
        <f t="shared" si="2"/>
        <v>1254042.6499999999</v>
      </c>
      <c r="Q29" s="173">
        <f>+Données!X29</f>
        <v>77.5</v>
      </c>
      <c r="R29" s="343">
        <f t="shared" si="3"/>
        <v>16181.195483870966</v>
      </c>
    </row>
    <row r="30" spans="1:18" x14ac:dyDescent="0.25">
      <c r="A30" s="7">
        <f>Données!A30</f>
        <v>5431</v>
      </c>
      <c r="B30" s="27" t="str">
        <f>Données!B30</f>
        <v>Mollens</v>
      </c>
      <c r="C30" s="8">
        <f>Données!C30+Données!D30</f>
        <v>623802.86</v>
      </c>
      <c r="D30" s="8">
        <f>+Données!G30+Données!H30+Données!S30</f>
        <v>1765.1899999999998</v>
      </c>
      <c r="E30" s="8">
        <f>+Données!E30</f>
        <v>0</v>
      </c>
      <c r="F30" s="8">
        <f>+Données!I30</f>
        <v>0</v>
      </c>
      <c r="G30" s="8">
        <f>+Données!J30</f>
        <v>20352.099999999999</v>
      </c>
      <c r="H30" s="8">
        <f>Données!U30</f>
        <v>-5306.55</v>
      </c>
      <c r="I30" s="152">
        <f>Données!V30</f>
        <v>0</v>
      </c>
      <c r="J30" s="152">
        <f>Données!W30</f>
        <v>-1513.45</v>
      </c>
      <c r="K30" s="8">
        <f>+Données!Q30</f>
        <v>0</v>
      </c>
      <c r="L30" s="343">
        <f t="shared" si="1"/>
        <v>639100.14999999991</v>
      </c>
      <c r="M30" s="8">
        <f>+Données!F30</f>
        <v>0</v>
      </c>
      <c r="N30" s="8">
        <f>+Données!K30</f>
        <v>976</v>
      </c>
      <c r="O30" s="8">
        <f>(Données!L30/Données!Y30)*1</f>
        <v>52297.4</v>
      </c>
      <c r="P30" s="343">
        <f t="shared" si="2"/>
        <v>692373.54999999993</v>
      </c>
      <c r="Q30" s="173">
        <f>+Données!X30</f>
        <v>74</v>
      </c>
      <c r="R30" s="343">
        <f t="shared" si="3"/>
        <v>9356.399324324324</v>
      </c>
    </row>
    <row r="31" spans="1:18" x14ac:dyDescent="0.25">
      <c r="A31" s="7">
        <f>Données!A31</f>
        <v>5434</v>
      </c>
      <c r="B31" s="27" t="str">
        <f>Données!B31</f>
        <v>Saint-George</v>
      </c>
      <c r="C31" s="8">
        <f>Données!C31+Données!D31</f>
        <v>2824606.89</v>
      </c>
      <c r="D31" s="8">
        <f>+Données!G31+Données!H31+Données!S31</f>
        <v>90089.599999999991</v>
      </c>
      <c r="E31" s="8">
        <f>+Données!E31</f>
        <v>0</v>
      </c>
      <c r="F31" s="8">
        <f>+Données!I31</f>
        <v>0</v>
      </c>
      <c r="G31" s="8">
        <f>+Données!J31</f>
        <v>50852.1</v>
      </c>
      <c r="H31" s="8">
        <f>Données!U31</f>
        <v>-13047.14</v>
      </c>
      <c r="I31" s="152">
        <f>Données!V31</f>
        <v>0</v>
      </c>
      <c r="J31" s="152">
        <f>Données!W31</f>
        <v>-1405.15</v>
      </c>
      <c r="K31" s="8">
        <f>+Données!Q31</f>
        <v>3932.78</v>
      </c>
      <c r="L31" s="343">
        <f t="shared" si="1"/>
        <v>2955029.08</v>
      </c>
      <c r="M31" s="8">
        <f>+Données!F31</f>
        <v>0</v>
      </c>
      <c r="N31" s="8">
        <f>+Données!K31</f>
        <v>4647.2</v>
      </c>
      <c r="O31" s="8">
        <f>(Données!L31/Données!Y31)*1</f>
        <v>250139.12500000003</v>
      </c>
      <c r="P31" s="343">
        <f t="shared" si="2"/>
        <v>3209815.4050000003</v>
      </c>
      <c r="Q31" s="173">
        <f>+Données!X31</f>
        <v>69.5</v>
      </c>
      <c r="R31" s="343">
        <f t="shared" si="3"/>
        <v>46184.394316546764</v>
      </c>
    </row>
    <row r="32" spans="1:18" x14ac:dyDescent="0.25">
      <c r="A32" s="7">
        <f>Données!A32</f>
        <v>5435</v>
      </c>
      <c r="B32" s="27" t="str">
        <f>Données!B32</f>
        <v>Saint-Livres</v>
      </c>
      <c r="C32" s="8">
        <f>Données!C32+Données!D32</f>
        <v>1714940.0899999999</v>
      </c>
      <c r="D32" s="8">
        <f>+Données!G32+Données!H32+Données!S32</f>
        <v>18927.439999999999</v>
      </c>
      <c r="E32" s="8">
        <f>+Données!E32</f>
        <v>0</v>
      </c>
      <c r="F32" s="8">
        <f>+Données!I32</f>
        <v>0</v>
      </c>
      <c r="G32" s="8">
        <f>+Données!J32</f>
        <v>-17887.66</v>
      </c>
      <c r="H32" s="8">
        <f>Données!U32</f>
        <v>-35552.28</v>
      </c>
      <c r="I32" s="152">
        <f>Données!V32</f>
        <v>0</v>
      </c>
      <c r="J32" s="152">
        <f>Données!W32</f>
        <v>-933.92</v>
      </c>
      <c r="K32" s="8">
        <f>+Données!Q32</f>
        <v>1219.8900000000001</v>
      </c>
      <c r="L32" s="343">
        <f t="shared" si="1"/>
        <v>1680713.5599999998</v>
      </c>
      <c r="M32" s="8">
        <f>+Données!F32</f>
        <v>0</v>
      </c>
      <c r="N32" s="8">
        <f>+Données!K32</f>
        <v>0</v>
      </c>
      <c r="O32" s="8">
        <f>(Données!L32/Données!Y32)*1</f>
        <v>140880.20000000001</v>
      </c>
      <c r="P32" s="343">
        <f t="shared" si="2"/>
        <v>1821593.7599999998</v>
      </c>
      <c r="Q32" s="173">
        <f>+Données!X32</f>
        <v>69</v>
      </c>
      <c r="R32" s="343">
        <f t="shared" si="3"/>
        <v>26399.909565217389</v>
      </c>
    </row>
    <row r="33" spans="1:18" x14ac:dyDescent="0.25">
      <c r="A33" s="7">
        <f>Données!A33</f>
        <v>5436</v>
      </c>
      <c r="B33" s="27" t="str">
        <f>Données!B33</f>
        <v>Saint-Oyens</v>
      </c>
      <c r="C33" s="8">
        <f>Données!C33+Données!D33</f>
        <v>1241006.8600000001</v>
      </c>
      <c r="D33" s="8">
        <f>+Données!G33+Données!H33+Données!S33</f>
        <v>16701.62</v>
      </c>
      <c r="E33" s="8">
        <f>+Données!E33</f>
        <v>0</v>
      </c>
      <c r="F33" s="8">
        <f>+Données!I33</f>
        <v>0</v>
      </c>
      <c r="G33" s="8">
        <f>+Données!J33</f>
        <v>-11833.35</v>
      </c>
      <c r="H33" s="8">
        <f>Données!U33</f>
        <v>-100445.3</v>
      </c>
      <c r="I33" s="152">
        <f>Données!V33</f>
        <v>0</v>
      </c>
      <c r="J33" s="152">
        <f>Données!W33</f>
        <v>-1348.75</v>
      </c>
      <c r="K33" s="8">
        <f>+Données!Q33</f>
        <v>20275.7</v>
      </c>
      <c r="L33" s="343">
        <f t="shared" si="1"/>
        <v>1164356.78</v>
      </c>
      <c r="M33" s="8">
        <f>+Données!F33</f>
        <v>0</v>
      </c>
      <c r="N33" s="8">
        <f>+Données!K33</f>
        <v>0</v>
      </c>
      <c r="O33" s="8">
        <f>(Données!L33/Données!Y33)*1</f>
        <v>93109.562499999985</v>
      </c>
      <c r="P33" s="343">
        <f t="shared" si="2"/>
        <v>1257466.3425</v>
      </c>
      <c r="Q33" s="173">
        <f>+Données!X33</f>
        <v>79</v>
      </c>
      <c r="R33" s="343">
        <f t="shared" si="3"/>
        <v>15917.295474683544</v>
      </c>
    </row>
    <row r="34" spans="1:18" x14ac:dyDescent="0.25">
      <c r="A34" s="7">
        <f>Données!A34</f>
        <v>5437</v>
      </c>
      <c r="B34" s="27" t="str">
        <f>Données!B34</f>
        <v>Saubraz</v>
      </c>
      <c r="C34" s="8">
        <f>Données!C34+Données!D34</f>
        <v>1238876.72</v>
      </c>
      <c r="D34" s="8">
        <f>+Données!G34+Données!H34+Données!S34</f>
        <v>8942.8700000000008</v>
      </c>
      <c r="E34" s="8">
        <f>+Données!E34</f>
        <v>0</v>
      </c>
      <c r="F34" s="8">
        <f>+Données!I34</f>
        <v>0</v>
      </c>
      <c r="G34" s="8">
        <f>+Données!J34</f>
        <v>14472.85</v>
      </c>
      <c r="H34" s="8">
        <f>Données!U34</f>
        <v>-3151.39</v>
      </c>
      <c r="I34" s="152">
        <f>Données!V34</f>
        <v>0</v>
      </c>
      <c r="J34" s="152">
        <f>Données!W34</f>
        <v>-64.3</v>
      </c>
      <c r="K34" s="8">
        <f>+Données!Q34</f>
        <v>0</v>
      </c>
      <c r="L34" s="343">
        <f t="shared" si="1"/>
        <v>1259076.7500000002</v>
      </c>
      <c r="M34" s="8">
        <f>+Données!F34</f>
        <v>0</v>
      </c>
      <c r="N34" s="8">
        <f>+Données!K34</f>
        <v>3051.85</v>
      </c>
      <c r="O34" s="8">
        <f>(Données!L34/Données!Y34)*1</f>
        <v>77827.45</v>
      </c>
      <c r="P34" s="343">
        <f t="shared" si="2"/>
        <v>1339956.0500000003</v>
      </c>
      <c r="Q34" s="173">
        <f>+Données!X34</f>
        <v>80</v>
      </c>
      <c r="R34" s="343">
        <f t="shared" si="3"/>
        <v>16749.450625000005</v>
      </c>
    </row>
    <row r="35" spans="1:18" x14ac:dyDescent="0.25">
      <c r="A35" s="7">
        <f>Données!A35</f>
        <v>5451</v>
      </c>
      <c r="B35" s="27" t="str">
        <f>Données!B35</f>
        <v>Avenches</v>
      </c>
      <c r="C35" s="8">
        <f>Données!C35+Données!D35</f>
        <v>5873763.96</v>
      </c>
      <c r="D35" s="8">
        <f>+Données!G35+Données!H35+Données!S35</f>
        <v>2167611.81</v>
      </c>
      <c r="E35" s="8">
        <f>+Données!E35</f>
        <v>0</v>
      </c>
      <c r="F35" s="8">
        <f>+Données!I35</f>
        <v>0</v>
      </c>
      <c r="G35" s="8">
        <f>+Données!J35</f>
        <v>408122.67</v>
      </c>
      <c r="H35" s="8">
        <f>Données!U35</f>
        <v>-273146.94</v>
      </c>
      <c r="I35" s="152">
        <f>Données!V35</f>
        <v>0</v>
      </c>
      <c r="J35" s="152">
        <f>Données!W35</f>
        <v>-749.7</v>
      </c>
      <c r="K35" s="8">
        <f>+Données!Q35</f>
        <v>16647.21</v>
      </c>
      <c r="L35" s="343">
        <f t="shared" si="1"/>
        <v>8192249.0099999988</v>
      </c>
      <c r="M35" s="8">
        <f>+Données!F35</f>
        <v>0</v>
      </c>
      <c r="N35" s="8">
        <f>+Données!K35</f>
        <v>136947.04999999999</v>
      </c>
      <c r="O35" s="8">
        <f>(Données!L35/Données!Y35)*1</f>
        <v>1022021.5</v>
      </c>
      <c r="P35" s="343">
        <f t="shared" si="2"/>
        <v>9351217.5599999987</v>
      </c>
      <c r="Q35" s="173">
        <f>+Données!X35</f>
        <v>65</v>
      </c>
      <c r="R35" s="343">
        <f t="shared" si="3"/>
        <v>143864.88553846153</v>
      </c>
    </row>
    <row r="36" spans="1:18" x14ac:dyDescent="0.25">
      <c r="A36" s="7">
        <f>Données!A36</f>
        <v>5456</v>
      </c>
      <c r="B36" s="27" t="str">
        <f>Données!B36</f>
        <v>Cudrefin</v>
      </c>
      <c r="C36" s="8">
        <f>Données!C36+Données!D36</f>
        <v>3624482.92</v>
      </c>
      <c r="D36" s="8">
        <f>+Données!G36+Données!H36+Données!S36</f>
        <v>128311.67</v>
      </c>
      <c r="E36" s="8">
        <f>+Données!E36</f>
        <v>0</v>
      </c>
      <c r="F36" s="8">
        <f>+Données!I36</f>
        <v>0</v>
      </c>
      <c r="G36" s="8">
        <f>+Données!J36</f>
        <v>17223.82</v>
      </c>
      <c r="H36" s="8">
        <f>Données!U36</f>
        <v>-23491.93</v>
      </c>
      <c r="I36" s="152">
        <f>Données!V36</f>
        <v>0</v>
      </c>
      <c r="J36" s="152">
        <f>Données!W36</f>
        <v>-50.9</v>
      </c>
      <c r="K36" s="8">
        <f>+Données!Q36</f>
        <v>33963.589999999997</v>
      </c>
      <c r="L36" s="343">
        <f t="shared" si="1"/>
        <v>3780439.1699999995</v>
      </c>
      <c r="M36" s="8">
        <f>+Données!F36</f>
        <v>0</v>
      </c>
      <c r="N36" s="8">
        <f>+Données!K36</f>
        <v>9335.75</v>
      </c>
      <c r="O36" s="8">
        <f>(Données!L36/Données!Y36)*1</f>
        <v>385978.66666666669</v>
      </c>
      <c r="P36" s="343">
        <f t="shared" si="2"/>
        <v>4175753.586666666</v>
      </c>
      <c r="Q36" s="173">
        <f>+Données!X36</f>
        <v>59</v>
      </c>
      <c r="R36" s="343">
        <f t="shared" si="3"/>
        <v>70775.484519773992</v>
      </c>
    </row>
    <row r="37" spans="1:18" x14ac:dyDescent="0.25">
      <c r="A37" s="7">
        <f>Données!A37</f>
        <v>5458</v>
      </c>
      <c r="B37" s="27" t="str">
        <f>Données!B37</f>
        <v>Faoug</v>
      </c>
      <c r="C37" s="8">
        <f>Données!C37+Données!D37</f>
        <v>1728823.38</v>
      </c>
      <c r="D37" s="8">
        <f>+Données!G37+Données!H37+Données!S37</f>
        <v>22416.13</v>
      </c>
      <c r="E37" s="8">
        <f>+Données!E37</f>
        <v>0</v>
      </c>
      <c r="F37" s="8">
        <f>+Données!I37</f>
        <v>0</v>
      </c>
      <c r="G37" s="8">
        <f>+Données!J37</f>
        <v>42455.07</v>
      </c>
      <c r="H37" s="8">
        <f>Données!U37</f>
        <v>-40004.230000000003</v>
      </c>
      <c r="I37" s="152">
        <f>Données!V37</f>
        <v>0</v>
      </c>
      <c r="J37" s="152">
        <f>Données!W37</f>
        <v>-93.85</v>
      </c>
      <c r="K37" s="8">
        <f>+Données!Q37</f>
        <v>0</v>
      </c>
      <c r="L37" s="343">
        <f t="shared" si="1"/>
        <v>1753596.4999999998</v>
      </c>
      <c r="M37" s="8">
        <f>+Données!F37</f>
        <v>0</v>
      </c>
      <c r="N37" s="8">
        <f>+Données!K37</f>
        <v>13446.75</v>
      </c>
      <c r="O37" s="8">
        <f>(Données!L37/Données!Y37)*1</f>
        <v>199778.93333333335</v>
      </c>
      <c r="P37" s="343">
        <f t="shared" si="2"/>
        <v>1966822.1833333331</v>
      </c>
      <c r="Q37" s="173">
        <f>+Données!X37</f>
        <v>65</v>
      </c>
      <c r="R37" s="343">
        <f t="shared" si="3"/>
        <v>30258.802820512818</v>
      </c>
    </row>
    <row r="38" spans="1:18" x14ac:dyDescent="0.25">
      <c r="A38" s="7">
        <f>Données!A38</f>
        <v>5464</v>
      </c>
      <c r="B38" s="27" t="str">
        <f>Données!B38</f>
        <v>Vully-les-Lacs</v>
      </c>
      <c r="C38" s="8">
        <f>Données!C38+Données!D38</f>
        <v>7570318.2599999998</v>
      </c>
      <c r="D38" s="8">
        <f>+Données!G38+Données!H38+Données!S38</f>
        <v>219604.44</v>
      </c>
      <c r="E38" s="8">
        <f>+Données!E38</f>
        <v>0</v>
      </c>
      <c r="F38" s="8">
        <f>+Données!I38</f>
        <v>34058.199999999997</v>
      </c>
      <c r="G38" s="8">
        <f>+Données!J38</f>
        <v>95851.91</v>
      </c>
      <c r="H38" s="8">
        <f>Données!U38</f>
        <v>-145046.15</v>
      </c>
      <c r="I38" s="152">
        <f>Données!V38</f>
        <v>0</v>
      </c>
      <c r="J38" s="152">
        <f>Données!W38</f>
        <v>-4790.95</v>
      </c>
      <c r="K38" s="8">
        <f>+Données!Q38</f>
        <v>33457.910000000003</v>
      </c>
      <c r="L38" s="343">
        <f t="shared" si="1"/>
        <v>7803453.6200000001</v>
      </c>
      <c r="M38" s="8">
        <f>+Données!F38</f>
        <v>0</v>
      </c>
      <c r="N38" s="8">
        <f>+Données!K38</f>
        <v>38050.9</v>
      </c>
      <c r="O38" s="8">
        <f>(Données!L38/Données!Y38)*1</f>
        <v>776011.8666666667</v>
      </c>
      <c r="P38" s="343">
        <f t="shared" si="2"/>
        <v>8617516.3866666667</v>
      </c>
      <c r="Q38" s="173">
        <f>+Données!X38</f>
        <v>67</v>
      </c>
      <c r="R38" s="343">
        <f t="shared" si="3"/>
        <v>128619.64756218906</v>
      </c>
    </row>
    <row r="39" spans="1:18" x14ac:dyDescent="0.25">
      <c r="A39" s="7">
        <f>Données!A39</f>
        <v>5471</v>
      </c>
      <c r="B39" s="27" t="str">
        <f>Données!B39</f>
        <v>Bettens</v>
      </c>
      <c r="C39" s="8">
        <f>Données!C39+Données!D39</f>
        <v>1429885.3800000001</v>
      </c>
      <c r="D39" s="8">
        <f>+Données!G39+Données!H39+Données!S39</f>
        <v>87142.86</v>
      </c>
      <c r="E39" s="8">
        <f>+Données!E39</f>
        <v>0</v>
      </c>
      <c r="F39" s="8">
        <f>+Données!I39</f>
        <v>0</v>
      </c>
      <c r="G39" s="8">
        <f>+Données!J39</f>
        <v>16811.04</v>
      </c>
      <c r="H39" s="8">
        <f>Données!U39</f>
        <v>-16606.990000000002</v>
      </c>
      <c r="I39" s="152">
        <f>Données!V39</f>
        <v>0</v>
      </c>
      <c r="J39" s="152">
        <f>Données!W39</f>
        <v>-387.7</v>
      </c>
      <c r="K39" s="8">
        <f>+Données!Q39</f>
        <v>0</v>
      </c>
      <c r="L39" s="343">
        <f t="shared" si="1"/>
        <v>1516844.5900000003</v>
      </c>
      <c r="M39" s="8">
        <f>+Données!F39</f>
        <v>0</v>
      </c>
      <c r="N39" s="8">
        <f>+Données!K39</f>
        <v>5494.75</v>
      </c>
      <c r="O39" s="8">
        <f>(Données!L39/Données!Y39)*1</f>
        <v>138846.33333333331</v>
      </c>
      <c r="P39" s="343">
        <f t="shared" si="2"/>
        <v>1661185.6733333336</v>
      </c>
      <c r="Q39" s="173">
        <f>+Données!X39</f>
        <v>70</v>
      </c>
      <c r="R39" s="343">
        <f t="shared" si="3"/>
        <v>23731.223904761908</v>
      </c>
    </row>
    <row r="40" spans="1:18" x14ac:dyDescent="0.25">
      <c r="A40" s="7">
        <f>Données!A40</f>
        <v>5472</v>
      </c>
      <c r="B40" s="27" t="str">
        <f>Données!B40</f>
        <v>Bournens</v>
      </c>
      <c r="C40" s="8">
        <f>Données!C40+Données!D40</f>
        <v>1249253.03</v>
      </c>
      <c r="D40" s="8">
        <f>+Données!G40+Données!H40+Données!S40</f>
        <v>6019.71</v>
      </c>
      <c r="E40" s="8">
        <f>+Données!E40</f>
        <v>0</v>
      </c>
      <c r="F40" s="8">
        <f>+Données!I40</f>
        <v>0</v>
      </c>
      <c r="G40" s="8">
        <f>+Données!J40</f>
        <v>2132.36</v>
      </c>
      <c r="H40" s="8">
        <f>Données!U40</f>
        <v>-7018.29</v>
      </c>
      <c r="I40" s="152">
        <f>Données!V40</f>
        <v>0</v>
      </c>
      <c r="J40" s="152">
        <f>Données!W40</f>
        <v>-610.25</v>
      </c>
      <c r="K40" s="8">
        <f>+Données!Q40</f>
        <v>0</v>
      </c>
      <c r="L40" s="343">
        <f t="shared" si="1"/>
        <v>1249776.56</v>
      </c>
      <c r="M40" s="8">
        <f>+Données!F40</f>
        <v>0</v>
      </c>
      <c r="N40" s="8">
        <f>+Données!K40</f>
        <v>2061.5</v>
      </c>
      <c r="O40" s="8">
        <f>(Données!L40/Données!Y40)*1</f>
        <v>117607.2</v>
      </c>
      <c r="P40" s="343">
        <f t="shared" si="2"/>
        <v>1369445.26</v>
      </c>
      <c r="Q40" s="173">
        <f>+Données!X40</f>
        <v>68</v>
      </c>
      <c r="R40" s="343">
        <f t="shared" si="3"/>
        <v>20138.90088235294</v>
      </c>
    </row>
    <row r="41" spans="1:18" x14ac:dyDescent="0.25">
      <c r="A41" s="7">
        <f>Données!A41</f>
        <v>5473</v>
      </c>
      <c r="B41" s="27" t="str">
        <f>Données!B41</f>
        <v>Boussens</v>
      </c>
      <c r="C41" s="8">
        <f>Données!C41+Données!D41</f>
        <v>2327699.1100000003</v>
      </c>
      <c r="D41" s="8">
        <f>+Données!G41+Données!H41+Données!S41</f>
        <v>48167.579999999994</v>
      </c>
      <c r="E41" s="8">
        <f>+Données!E41</f>
        <v>0</v>
      </c>
      <c r="F41" s="8">
        <f>+Données!I41</f>
        <v>0</v>
      </c>
      <c r="G41" s="8">
        <f>+Données!J41</f>
        <v>552.95000000000005</v>
      </c>
      <c r="H41" s="8">
        <f>Données!U41</f>
        <v>-33873.800000000003</v>
      </c>
      <c r="I41" s="152">
        <f>Données!V41</f>
        <v>0</v>
      </c>
      <c r="J41" s="152">
        <f>Données!W41</f>
        <v>-216.25</v>
      </c>
      <c r="K41" s="8">
        <f>+Données!Q41</f>
        <v>1304.58</v>
      </c>
      <c r="L41" s="343">
        <f t="shared" si="1"/>
        <v>2343634.1700000009</v>
      </c>
      <c r="M41" s="8">
        <f>+Données!F41</f>
        <v>0</v>
      </c>
      <c r="N41" s="8">
        <f>+Données!K41</f>
        <v>4960.5</v>
      </c>
      <c r="O41" s="8">
        <f>(Données!L41/Données!Y41)*1</f>
        <v>203078.9</v>
      </c>
      <c r="P41" s="343">
        <f t="shared" si="2"/>
        <v>2551673.5700000008</v>
      </c>
      <c r="Q41" s="173">
        <f>+Données!X41</f>
        <v>66</v>
      </c>
      <c r="R41" s="343">
        <f t="shared" si="3"/>
        <v>38661.720757575771</v>
      </c>
    </row>
    <row r="42" spans="1:18" x14ac:dyDescent="0.25">
      <c r="A42" s="7">
        <f>Données!A42</f>
        <v>5474</v>
      </c>
      <c r="B42" s="27" t="str">
        <f>Données!B42</f>
        <v>La Chaux (Cossonay)</v>
      </c>
      <c r="C42" s="8">
        <f>Données!C42+Données!D42</f>
        <v>1016838.1100000001</v>
      </c>
      <c r="D42" s="8">
        <f>+Données!G42+Données!H42+Données!S42</f>
        <v>18385.989999999998</v>
      </c>
      <c r="E42" s="8">
        <f>+Données!E42</f>
        <v>0</v>
      </c>
      <c r="F42" s="8">
        <f>+Données!I42</f>
        <v>0</v>
      </c>
      <c r="G42" s="8">
        <f>+Données!J42</f>
        <v>8614.16</v>
      </c>
      <c r="H42" s="8">
        <f>Données!U42</f>
        <v>-2363.13</v>
      </c>
      <c r="I42" s="152">
        <f>Données!V42</f>
        <v>0</v>
      </c>
      <c r="J42" s="152">
        <f>Données!W42</f>
        <v>-604.75</v>
      </c>
      <c r="K42" s="8">
        <f>+Données!Q42</f>
        <v>6344.85</v>
      </c>
      <c r="L42" s="343">
        <f t="shared" si="1"/>
        <v>1047215.2300000001</v>
      </c>
      <c r="M42" s="8">
        <f>+Données!F42</f>
        <v>0</v>
      </c>
      <c r="N42" s="8">
        <f>+Données!K42</f>
        <v>804</v>
      </c>
      <c r="O42" s="8">
        <f>(Données!L42/Données!Y42)*1</f>
        <v>75960.166666666672</v>
      </c>
      <c r="P42" s="343">
        <f t="shared" si="2"/>
        <v>1123979.3966666667</v>
      </c>
      <c r="Q42" s="173">
        <f>+Données!X42</f>
        <v>76</v>
      </c>
      <c r="R42" s="343">
        <f t="shared" si="3"/>
        <v>14789.202587719299</v>
      </c>
    </row>
    <row r="43" spans="1:18" x14ac:dyDescent="0.25">
      <c r="A43" s="7">
        <f>Données!A43</f>
        <v>5475</v>
      </c>
      <c r="B43" s="27" t="str">
        <f>Données!B43</f>
        <v>Chavannes-le-Veyron</v>
      </c>
      <c r="C43" s="8">
        <f>Données!C43+Données!D43</f>
        <v>316295.08</v>
      </c>
      <c r="D43" s="8">
        <f>+Données!G43+Données!H43+Données!S43</f>
        <v>489.53000000000003</v>
      </c>
      <c r="E43" s="8">
        <f>+Données!E43</f>
        <v>0</v>
      </c>
      <c r="F43" s="8">
        <f>+Données!I43</f>
        <v>0</v>
      </c>
      <c r="G43" s="8">
        <f>+Données!J43</f>
        <v>420.48</v>
      </c>
      <c r="H43" s="8">
        <f>Données!U43</f>
        <v>-41.19</v>
      </c>
      <c r="I43" s="152">
        <f>Données!V43</f>
        <v>0</v>
      </c>
      <c r="J43" s="152">
        <f>Données!W43</f>
        <v>0</v>
      </c>
      <c r="K43" s="8">
        <f>+Données!Q43</f>
        <v>0</v>
      </c>
      <c r="L43" s="343">
        <f t="shared" si="1"/>
        <v>317163.90000000002</v>
      </c>
      <c r="M43" s="8">
        <f>+Données!F43</f>
        <v>0</v>
      </c>
      <c r="N43" s="8">
        <f>+Données!K43</f>
        <v>0</v>
      </c>
      <c r="O43" s="8">
        <f>(Données!L43/Données!Y43)*1</f>
        <v>26530.3</v>
      </c>
      <c r="P43" s="343">
        <f t="shared" si="2"/>
        <v>343694.2</v>
      </c>
      <c r="Q43" s="173">
        <f>+Données!X43</f>
        <v>75</v>
      </c>
      <c r="R43" s="343">
        <f t="shared" si="3"/>
        <v>4582.5893333333333</v>
      </c>
    </row>
    <row r="44" spans="1:18" x14ac:dyDescent="0.25">
      <c r="A44" s="7">
        <f>Données!A44</f>
        <v>5476</v>
      </c>
      <c r="B44" s="27" t="str">
        <f>Données!B44</f>
        <v>Chevilly</v>
      </c>
      <c r="C44" s="8">
        <f>Données!C44+Données!D44</f>
        <v>895303.51</v>
      </c>
      <c r="D44" s="8">
        <f>+Données!G44+Données!H44+Données!S44</f>
        <v>6636.89</v>
      </c>
      <c r="E44" s="8">
        <f>+Données!E44</f>
        <v>0</v>
      </c>
      <c r="F44" s="8">
        <f>+Données!I44</f>
        <v>0</v>
      </c>
      <c r="G44" s="8">
        <f>+Données!J44</f>
        <v>-5527.84</v>
      </c>
      <c r="H44" s="8">
        <f>Données!U44</f>
        <v>-13260.01</v>
      </c>
      <c r="I44" s="152">
        <f>Données!V44</f>
        <v>0</v>
      </c>
      <c r="J44" s="152">
        <f>Données!W44</f>
        <v>-191.6</v>
      </c>
      <c r="K44" s="8">
        <f>+Données!Q44</f>
        <v>5155.8100000000004</v>
      </c>
      <c r="L44" s="343">
        <f t="shared" si="1"/>
        <v>888116.76000000013</v>
      </c>
      <c r="M44" s="8">
        <f>+Données!F44</f>
        <v>0</v>
      </c>
      <c r="N44" s="8">
        <f>+Données!K44</f>
        <v>0</v>
      </c>
      <c r="O44" s="8">
        <f>(Données!L44/Données!Y44)*1</f>
        <v>64309.05</v>
      </c>
      <c r="P44" s="343">
        <f t="shared" si="2"/>
        <v>952425.81000000017</v>
      </c>
      <c r="Q44" s="173">
        <f>+Données!X44</f>
        <v>71</v>
      </c>
      <c r="R44" s="343">
        <f t="shared" si="3"/>
        <v>13414.448028169016</v>
      </c>
    </row>
    <row r="45" spans="1:18" x14ac:dyDescent="0.25">
      <c r="A45" s="7">
        <f>Données!A45</f>
        <v>5477</v>
      </c>
      <c r="B45" s="27" t="str">
        <f>Données!B45</f>
        <v>Cossonay</v>
      </c>
      <c r="C45" s="8">
        <f>Données!C45+Données!D45</f>
        <v>9329840.6400000006</v>
      </c>
      <c r="D45" s="8">
        <f>+Données!G45+Données!H45+Données!S45</f>
        <v>434983.89999999997</v>
      </c>
      <c r="E45" s="8">
        <f>+Données!E45</f>
        <v>0</v>
      </c>
      <c r="F45" s="8">
        <f>+Données!I45</f>
        <v>0</v>
      </c>
      <c r="G45" s="8">
        <f>+Données!J45</f>
        <v>172383.5</v>
      </c>
      <c r="H45" s="8">
        <f>Données!U45</f>
        <v>-143875.84</v>
      </c>
      <c r="I45" s="152">
        <f>Données!V45</f>
        <v>0</v>
      </c>
      <c r="J45" s="152">
        <f>Données!W45</f>
        <v>-1556.25</v>
      </c>
      <c r="K45" s="8">
        <f>+Données!Q45</f>
        <v>19206.82</v>
      </c>
      <c r="L45" s="343">
        <f t="shared" si="1"/>
        <v>9810982.7700000014</v>
      </c>
      <c r="M45" s="8">
        <f>+Données!F45</f>
        <v>0</v>
      </c>
      <c r="N45" s="8">
        <f>+Données!K45</f>
        <v>55754.1</v>
      </c>
      <c r="O45" s="8">
        <f>(Données!L45/Données!Y45)*1</f>
        <v>810246.25</v>
      </c>
      <c r="P45" s="343">
        <f t="shared" si="2"/>
        <v>10676983.120000001</v>
      </c>
      <c r="Q45" s="173">
        <f>+Données!X45</f>
        <v>68</v>
      </c>
      <c r="R45" s="343">
        <f t="shared" si="3"/>
        <v>157014.45764705885</v>
      </c>
    </row>
    <row r="46" spans="1:18" x14ac:dyDescent="0.25">
      <c r="A46" s="7">
        <f>Données!A46</f>
        <v>5479</v>
      </c>
      <c r="B46" s="27" t="str">
        <f>Données!B46</f>
        <v>Cuarnens</v>
      </c>
      <c r="C46" s="8">
        <f>Données!C46+Données!D46</f>
        <v>1293773.81</v>
      </c>
      <c r="D46" s="8">
        <f>+Données!G46+Données!H46+Données!S46</f>
        <v>44362.54</v>
      </c>
      <c r="E46" s="8">
        <f>+Données!E46</f>
        <v>0</v>
      </c>
      <c r="F46" s="8">
        <f>+Données!I46</f>
        <v>0</v>
      </c>
      <c r="G46" s="8">
        <f>+Données!J46</f>
        <v>21821.88</v>
      </c>
      <c r="H46" s="8">
        <f>Données!U46</f>
        <v>-32730.05</v>
      </c>
      <c r="I46" s="152">
        <f>Données!V46</f>
        <v>0</v>
      </c>
      <c r="J46" s="152">
        <f>Données!W46</f>
        <v>-493.8</v>
      </c>
      <c r="K46" s="8">
        <f>+Données!Q46</f>
        <v>2314.04</v>
      </c>
      <c r="L46" s="343">
        <f t="shared" si="1"/>
        <v>1329048.42</v>
      </c>
      <c r="M46" s="8">
        <f>+Données!F46</f>
        <v>0</v>
      </c>
      <c r="N46" s="8">
        <f>+Données!K46</f>
        <v>1965.5</v>
      </c>
      <c r="O46" s="8">
        <f>(Données!L46/Données!Y46)*1</f>
        <v>99641.45</v>
      </c>
      <c r="P46" s="343">
        <f t="shared" si="2"/>
        <v>1430655.3699999999</v>
      </c>
      <c r="Q46" s="173">
        <f>+Données!X46</f>
        <v>76</v>
      </c>
      <c r="R46" s="343">
        <f t="shared" si="3"/>
        <v>18824.412763157892</v>
      </c>
    </row>
    <row r="47" spans="1:18" x14ac:dyDescent="0.25">
      <c r="A47" s="7">
        <f>Données!A47</f>
        <v>5480</v>
      </c>
      <c r="B47" s="27" t="str">
        <f>Données!B47</f>
        <v>Daillens</v>
      </c>
      <c r="C47" s="8">
        <f>Données!C47+Données!D47</f>
        <v>2684456.87</v>
      </c>
      <c r="D47" s="8">
        <f>+Données!G47+Données!H47+Données!S47</f>
        <v>251730.7</v>
      </c>
      <c r="E47" s="8">
        <f>+Données!E47</f>
        <v>0</v>
      </c>
      <c r="F47" s="8">
        <f>+Données!I47</f>
        <v>0</v>
      </c>
      <c r="G47" s="8">
        <f>+Données!J47</f>
        <v>48474.6</v>
      </c>
      <c r="H47" s="8">
        <f>Données!U47</f>
        <v>-88694.55</v>
      </c>
      <c r="I47" s="152">
        <f>Données!V47</f>
        <v>0</v>
      </c>
      <c r="J47" s="152">
        <f>Données!W47</f>
        <v>-1173.5</v>
      </c>
      <c r="K47" s="8">
        <f>+Données!Q47</f>
        <v>4565.8999999999996</v>
      </c>
      <c r="L47" s="343">
        <f t="shared" si="1"/>
        <v>2899360.0200000005</v>
      </c>
      <c r="M47" s="8">
        <f>+Données!F47</f>
        <v>0</v>
      </c>
      <c r="N47" s="8">
        <f>+Données!K47</f>
        <v>12791.2</v>
      </c>
      <c r="O47" s="8">
        <f>(Données!L47/Données!Y47)*1</f>
        <v>336109.25</v>
      </c>
      <c r="P47" s="343">
        <f t="shared" si="2"/>
        <v>3248260.4700000007</v>
      </c>
      <c r="Q47" s="173">
        <f>+Données!X47</f>
        <v>66</v>
      </c>
      <c r="R47" s="343">
        <f t="shared" si="3"/>
        <v>49216.067727272741</v>
      </c>
    </row>
    <row r="48" spans="1:18" x14ac:dyDescent="0.25">
      <c r="A48" s="7">
        <f>Données!A48</f>
        <v>5481</v>
      </c>
      <c r="B48" s="27" t="str">
        <f>Données!B48</f>
        <v>Dizy</v>
      </c>
      <c r="C48" s="8">
        <f>Données!C48+Données!D48</f>
        <v>559229.39</v>
      </c>
      <c r="D48" s="8">
        <f>+Données!G48+Données!H48+Données!S48</f>
        <v>68462.009999999995</v>
      </c>
      <c r="E48" s="8">
        <f>+Données!E48</f>
        <v>0</v>
      </c>
      <c r="F48" s="8">
        <f>+Données!I48</f>
        <v>0</v>
      </c>
      <c r="G48" s="8">
        <f>+Données!J48</f>
        <v>1600.53</v>
      </c>
      <c r="H48" s="8">
        <f>Données!U48</f>
        <v>-121.39</v>
      </c>
      <c r="I48" s="152">
        <f>Données!V48</f>
        <v>0</v>
      </c>
      <c r="J48" s="152">
        <f>Données!W48</f>
        <v>0</v>
      </c>
      <c r="K48" s="8">
        <f>+Données!Q48</f>
        <v>0</v>
      </c>
      <c r="L48" s="343">
        <f t="shared" si="1"/>
        <v>629170.54</v>
      </c>
      <c r="M48" s="8">
        <f>+Données!F48</f>
        <v>0</v>
      </c>
      <c r="N48" s="8">
        <f>+Données!K48</f>
        <v>0</v>
      </c>
      <c r="O48" s="8">
        <f>(Données!L48/Données!Y48)*1</f>
        <v>41600.15</v>
      </c>
      <c r="P48" s="343">
        <f t="shared" si="2"/>
        <v>670770.69000000006</v>
      </c>
      <c r="Q48" s="173">
        <f>+Données!X48</f>
        <v>75</v>
      </c>
      <c r="R48" s="343">
        <f t="shared" si="3"/>
        <v>8943.6092000000008</v>
      </c>
    </row>
    <row r="49" spans="1:18" x14ac:dyDescent="0.25">
      <c r="A49" s="7">
        <f>Données!A49</f>
        <v>5482</v>
      </c>
      <c r="B49" s="27" t="str">
        <f>Données!B49</f>
        <v>Eclépens</v>
      </c>
      <c r="C49" s="8">
        <f>Données!C49+Données!D49</f>
        <v>1627689.09</v>
      </c>
      <c r="D49" s="8">
        <f>+Données!G49+Données!H49+Données!S49</f>
        <v>560402.34000000008</v>
      </c>
      <c r="E49" s="8">
        <f>+Données!E49</f>
        <v>0</v>
      </c>
      <c r="F49" s="8">
        <f>+Données!I49</f>
        <v>0</v>
      </c>
      <c r="G49" s="8">
        <f>+Données!J49</f>
        <v>71185.31</v>
      </c>
      <c r="H49" s="8">
        <f>Données!U49</f>
        <v>-78209.27</v>
      </c>
      <c r="I49" s="152">
        <f>Données!V49</f>
        <v>0</v>
      </c>
      <c r="J49" s="152">
        <f>Données!W49</f>
        <v>-232.61</v>
      </c>
      <c r="K49" s="8">
        <f>+Données!Q49</f>
        <v>1200.33</v>
      </c>
      <c r="L49" s="343">
        <f t="shared" si="1"/>
        <v>2182035.1900000004</v>
      </c>
      <c r="M49" s="8">
        <f>+Données!F49</f>
        <v>0</v>
      </c>
      <c r="N49" s="8">
        <f>+Données!K49</f>
        <v>20132.7</v>
      </c>
      <c r="O49" s="8">
        <f>(Données!L49/Données!Y49)*1</f>
        <v>446526.25</v>
      </c>
      <c r="P49" s="343">
        <f t="shared" si="2"/>
        <v>2648694.1400000006</v>
      </c>
      <c r="Q49" s="173">
        <f>+Données!X49</f>
        <v>46</v>
      </c>
      <c r="R49" s="343">
        <f t="shared" si="3"/>
        <v>57580.307391304363</v>
      </c>
    </row>
    <row r="50" spans="1:18" x14ac:dyDescent="0.25">
      <c r="A50" s="7">
        <f>Données!A50</f>
        <v>5483</v>
      </c>
      <c r="B50" s="27" t="str">
        <f>Données!B50</f>
        <v>Ferreyres</v>
      </c>
      <c r="C50" s="8">
        <f>Données!C50+Données!D50</f>
        <v>838101.02999999991</v>
      </c>
      <c r="D50" s="8">
        <f>+Données!G50+Données!H50+Données!S50</f>
        <v>7117.88</v>
      </c>
      <c r="E50" s="8">
        <f>+Données!E50</f>
        <v>0</v>
      </c>
      <c r="F50" s="8">
        <f>+Données!I50</f>
        <v>0</v>
      </c>
      <c r="G50" s="8">
        <f>+Données!J50</f>
        <v>3698.76</v>
      </c>
      <c r="H50" s="8">
        <f>Données!U50</f>
        <v>-1374.61</v>
      </c>
      <c r="I50" s="152">
        <f>Données!V50</f>
        <v>0</v>
      </c>
      <c r="J50" s="152">
        <f>Données!W50</f>
        <v>-1189</v>
      </c>
      <c r="K50" s="8">
        <f>+Données!Q50</f>
        <v>0</v>
      </c>
      <c r="L50" s="343">
        <f t="shared" si="1"/>
        <v>846354.05999999994</v>
      </c>
      <c r="M50" s="8">
        <f>+Données!F50</f>
        <v>0</v>
      </c>
      <c r="N50" s="8">
        <f>+Données!K50</f>
        <v>175.5</v>
      </c>
      <c r="O50" s="8">
        <f>(Données!L50/Données!Y50)*1</f>
        <v>58531.4</v>
      </c>
      <c r="P50" s="343">
        <f t="shared" si="2"/>
        <v>905060.96</v>
      </c>
      <c r="Q50" s="173">
        <f>+Données!X50</f>
        <v>76</v>
      </c>
      <c r="R50" s="343">
        <f t="shared" si="3"/>
        <v>11908.696842105262</v>
      </c>
    </row>
    <row r="51" spans="1:18" x14ac:dyDescent="0.25">
      <c r="A51" s="7">
        <f>Données!A51</f>
        <v>5484</v>
      </c>
      <c r="B51" s="27" t="str">
        <f>Données!B51</f>
        <v>Gollion</v>
      </c>
      <c r="C51" s="8">
        <f>Données!C51+Données!D51</f>
        <v>2295967.33</v>
      </c>
      <c r="D51" s="8">
        <f>+Données!G51+Données!H51+Données!S51</f>
        <v>67998.91</v>
      </c>
      <c r="E51" s="8">
        <f>+Données!E51</f>
        <v>0</v>
      </c>
      <c r="F51" s="8">
        <f>+Données!I51</f>
        <v>0</v>
      </c>
      <c r="G51" s="8">
        <f>+Données!J51</f>
        <v>9013.6200000000008</v>
      </c>
      <c r="H51" s="8">
        <f>Données!U51</f>
        <v>-13949.72</v>
      </c>
      <c r="I51" s="152">
        <f>Données!V51</f>
        <v>0</v>
      </c>
      <c r="J51" s="152">
        <f>Données!W51</f>
        <v>-286.79000000000002</v>
      </c>
      <c r="K51" s="8">
        <f>+Données!Q51</f>
        <v>2942.83</v>
      </c>
      <c r="L51" s="343">
        <f t="shared" si="1"/>
        <v>2361686.1800000002</v>
      </c>
      <c r="M51" s="8">
        <f>+Données!F51</f>
        <v>0</v>
      </c>
      <c r="N51" s="8">
        <f>+Données!K51</f>
        <v>7445.15</v>
      </c>
      <c r="O51" s="8">
        <f>(Données!L51/Données!Y51)*1</f>
        <v>203760.4</v>
      </c>
      <c r="P51" s="343">
        <f t="shared" si="2"/>
        <v>2572891.73</v>
      </c>
      <c r="Q51" s="173">
        <f>+Données!X51</f>
        <v>74</v>
      </c>
      <c r="R51" s="343">
        <f t="shared" si="3"/>
        <v>34768.807162162164</v>
      </c>
    </row>
    <row r="52" spans="1:18" x14ac:dyDescent="0.25">
      <c r="A52" s="7">
        <f>Données!A52</f>
        <v>5485</v>
      </c>
      <c r="B52" s="27" t="str">
        <f>Données!B52</f>
        <v>Grancy</v>
      </c>
      <c r="C52" s="8">
        <f>Données!C52+Données!D52</f>
        <v>1892100.1400000001</v>
      </c>
      <c r="D52" s="8">
        <f>+Données!G52+Données!H52+Données!S52</f>
        <v>63708.11</v>
      </c>
      <c r="E52" s="8">
        <f>+Données!E52</f>
        <v>0</v>
      </c>
      <c r="F52" s="8">
        <f>+Données!I52</f>
        <v>0</v>
      </c>
      <c r="G52" s="8">
        <f>+Données!J52</f>
        <v>9150.94</v>
      </c>
      <c r="H52" s="8">
        <f>Données!U52</f>
        <v>-7122.31</v>
      </c>
      <c r="I52" s="152">
        <f>Données!V52</f>
        <v>0</v>
      </c>
      <c r="J52" s="152">
        <f>Données!W52</f>
        <v>-345.84</v>
      </c>
      <c r="K52" s="8">
        <f>+Données!Q52</f>
        <v>1101.7</v>
      </c>
      <c r="L52" s="343">
        <f t="shared" si="1"/>
        <v>1958592.74</v>
      </c>
      <c r="M52" s="8">
        <f>+Données!F52</f>
        <v>0</v>
      </c>
      <c r="N52" s="8">
        <f>+Données!K52</f>
        <v>3.75</v>
      </c>
      <c r="O52" s="8">
        <f>(Données!L52/Données!Y52)*1</f>
        <v>94509.15</v>
      </c>
      <c r="P52" s="343">
        <f t="shared" si="2"/>
        <v>2053105.64</v>
      </c>
      <c r="Q52" s="173">
        <f>+Données!X52</f>
        <v>70</v>
      </c>
      <c r="R52" s="343">
        <f t="shared" si="3"/>
        <v>29330.080571428571</v>
      </c>
    </row>
    <row r="53" spans="1:18" x14ac:dyDescent="0.25">
      <c r="A53" s="7">
        <f>Données!A53</f>
        <v>5486</v>
      </c>
      <c r="B53" s="27" t="str">
        <f>Données!B53</f>
        <v>L'Isle</v>
      </c>
      <c r="C53" s="8">
        <f>Données!C53+Données!D53</f>
        <v>2251924.85</v>
      </c>
      <c r="D53" s="8">
        <f>+Données!G53+Données!H53+Données!S53</f>
        <v>69995.320000000007</v>
      </c>
      <c r="E53" s="8">
        <f>+Données!E53</f>
        <v>0</v>
      </c>
      <c r="F53" s="8">
        <f>+Données!I53</f>
        <v>0</v>
      </c>
      <c r="G53" s="8">
        <f>+Données!J53</f>
        <v>22468.55</v>
      </c>
      <c r="H53" s="8">
        <f>Données!U53</f>
        <v>-15979.67</v>
      </c>
      <c r="I53" s="152">
        <f>Données!V53</f>
        <v>0</v>
      </c>
      <c r="J53" s="152">
        <f>Données!W53</f>
        <v>-1106.7</v>
      </c>
      <c r="K53" s="8">
        <f>+Données!Q53</f>
        <v>254.07</v>
      </c>
      <c r="L53" s="343">
        <f t="shared" si="1"/>
        <v>2327556.4199999995</v>
      </c>
      <c r="M53" s="8">
        <f>+Données!F53</f>
        <v>0</v>
      </c>
      <c r="N53" s="8">
        <f>+Données!K53</f>
        <v>5494.8</v>
      </c>
      <c r="O53" s="8">
        <f>(Données!L53/Données!Y53)*1</f>
        <v>210574.8</v>
      </c>
      <c r="P53" s="343">
        <f t="shared" si="2"/>
        <v>2543626.0199999991</v>
      </c>
      <c r="Q53" s="173">
        <f>+Données!X53</f>
        <v>75</v>
      </c>
      <c r="R53" s="343">
        <f t="shared" si="3"/>
        <v>33915.013599999991</v>
      </c>
    </row>
    <row r="54" spans="1:18" x14ac:dyDescent="0.25">
      <c r="A54" s="7">
        <f>Données!A54</f>
        <v>5487</v>
      </c>
      <c r="B54" s="27" t="str">
        <f>Données!B54</f>
        <v>Lussery-Villars</v>
      </c>
      <c r="C54" s="8">
        <f>Données!C54+Données!D54</f>
        <v>1025813.65</v>
      </c>
      <c r="D54" s="8">
        <f>+Données!G54+Données!H54+Données!S54</f>
        <v>2496.34</v>
      </c>
      <c r="E54" s="8">
        <f>+Données!E54</f>
        <v>0</v>
      </c>
      <c r="F54" s="8">
        <f>+Données!I54</f>
        <v>0</v>
      </c>
      <c r="G54" s="8">
        <f>+Données!J54</f>
        <v>11981.01</v>
      </c>
      <c r="H54" s="8">
        <f>Données!U54</f>
        <v>-5669.57</v>
      </c>
      <c r="I54" s="152">
        <f>Données!V54</f>
        <v>0</v>
      </c>
      <c r="J54" s="152">
        <f>Données!W54</f>
        <v>0</v>
      </c>
      <c r="K54" s="8">
        <f>+Données!Q54</f>
        <v>0</v>
      </c>
      <c r="L54" s="343">
        <f t="shared" si="1"/>
        <v>1034621.43</v>
      </c>
      <c r="M54" s="8">
        <f>+Données!F54</f>
        <v>0</v>
      </c>
      <c r="N54" s="8">
        <f>+Données!K54</f>
        <v>993.25</v>
      </c>
      <c r="O54" s="8">
        <f>(Données!L54/Données!Y54)*1</f>
        <v>84140.85</v>
      </c>
      <c r="P54" s="343">
        <f t="shared" si="2"/>
        <v>1119755.53</v>
      </c>
      <c r="Q54" s="173">
        <f>+Données!X54</f>
        <v>75</v>
      </c>
      <c r="R54" s="343">
        <f t="shared" si="3"/>
        <v>14930.073733333335</v>
      </c>
    </row>
    <row r="55" spans="1:18" x14ac:dyDescent="0.25">
      <c r="A55" s="7">
        <f>Données!A55</f>
        <v>5488</v>
      </c>
      <c r="B55" s="27" t="str">
        <f>Données!B55</f>
        <v>Mauraz</v>
      </c>
      <c r="C55" s="8">
        <f>Données!C55+Données!D55</f>
        <v>133457.72</v>
      </c>
      <c r="D55" s="8">
        <f>+Données!G55+Données!H55+Données!S55</f>
        <v>158.4</v>
      </c>
      <c r="E55" s="8">
        <f>+Données!E55</f>
        <v>0</v>
      </c>
      <c r="F55" s="8">
        <f>+Données!I55</f>
        <v>0</v>
      </c>
      <c r="G55" s="8">
        <f>+Données!J55</f>
        <v>413.96</v>
      </c>
      <c r="H55" s="8">
        <f>Données!U55</f>
        <v>-1547.97</v>
      </c>
      <c r="I55" s="152">
        <f>Données!V55</f>
        <v>0</v>
      </c>
      <c r="J55" s="152">
        <f>Données!W55</f>
        <v>0</v>
      </c>
      <c r="K55" s="8">
        <f>+Données!Q55</f>
        <v>0</v>
      </c>
      <c r="L55" s="343">
        <f t="shared" si="1"/>
        <v>132482.10999999999</v>
      </c>
      <c r="M55" s="8">
        <f>+Données!F55</f>
        <v>0</v>
      </c>
      <c r="N55" s="8">
        <f>+Données!K55</f>
        <v>0</v>
      </c>
      <c r="O55" s="8">
        <f>(Données!L55/Données!Y55)*1</f>
        <v>9620</v>
      </c>
      <c r="P55" s="343">
        <f t="shared" si="2"/>
        <v>142102.10999999999</v>
      </c>
      <c r="Q55" s="173">
        <f>+Données!X55</f>
        <v>77</v>
      </c>
      <c r="R55" s="343">
        <f t="shared" si="3"/>
        <v>1845.4819480519479</v>
      </c>
    </row>
    <row r="56" spans="1:18" x14ac:dyDescent="0.25">
      <c r="A56" s="7">
        <f>Données!A56</f>
        <v>5489</v>
      </c>
      <c r="B56" s="27" t="str">
        <f>Données!B56</f>
        <v>Mex</v>
      </c>
      <c r="C56" s="8">
        <f>Données!C56+Données!D56</f>
        <v>2639436.0099999998</v>
      </c>
      <c r="D56" s="8">
        <f>+Données!G56+Données!H56+Données!S56</f>
        <v>718093.04999999993</v>
      </c>
      <c r="E56" s="8">
        <f>+Données!E56</f>
        <v>0</v>
      </c>
      <c r="F56" s="8">
        <f>+Données!I56</f>
        <v>0</v>
      </c>
      <c r="G56" s="8">
        <f>+Données!J56</f>
        <v>24122.3</v>
      </c>
      <c r="H56" s="8">
        <f>Données!U56</f>
        <v>-32391.33</v>
      </c>
      <c r="I56" s="152">
        <f>Données!V56</f>
        <v>0</v>
      </c>
      <c r="J56" s="152">
        <f>Données!W56</f>
        <v>-2444.9499999999998</v>
      </c>
      <c r="K56" s="8">
        <f>+Données!Q56</f>
        <v>0</v>
      </c>
      <c r="L56" s="343">
        <f t="shared" si="1"/>
        <v>3346815.0799999991</v>
      </c>
      <c r="M56" s="8">
        <f>+Données!F56</f>
        <v>0</v>
      </c>
      <c r="N56" s="8">
        <f>+Données!K56</f>
        <v>6986.5</v>
      </c>
      <c r="O56" s="8">
        <f>(Données!L56/Données!Y56)*1</f>
        <v>310196.90000000002</v>
      </c>
      <c r="P56" s="343">
        <f t="shared" si="2"/>
        <v>3663998.4799999991</v>
      </c>
      <c r="Q56" s="173">
        <f>+Données!X56</f>
        <v>59.5</v>
      </c>
      <c r="R56" s="343">
        <f t="shared" si="3"/>
        <v>61579.806386554606</v>
      </c>
    </row>
    <row r="57" spans="1:18" x14ac:dyDescent="0.25">
      <c r="A57" s="7">
        <f>Données!A57</f>
        <v>5490</v>
      </c>
      <c r="B57" s="27" t="str">
        <f>Données!B57</f>
        <v>Moiry</v>
      </c>
      <c r="C57" s="8">
        <f>Données!C57+Données!D57</f>
        <v>645803.69999999995</v>
      </c>
      <c r="D57" s="8">
        <f>+Données!G57+Données!H57+Données!S57</f>
        <v>4075.9900000000002</v>
      </c>
      <c r="E57" s="8">
        <f>+Données!E57</f>
        <v>0</v>
      </c>
      <c r="F57" s="8">
        <f>+Données!I57</f>
        <v>0</v>
      </c>
      <c r="G57" s="8">
        <f>+Données!J57</f>
        <v>4522.59</v>
      </c>
      <c r="H57" s="8">
        <f>Données!U57</f>
        <v>-12272</v>
      </c>
      <c r="I57" s="152">
        <f>Données!V57</f>
        <v>0</v>
      </c>
      <c r="J57" s="152">
        <f>Données!W57</f>
        <v>0</v>
      </c>
      <c r="K57" s="8">
        <f>+Données!Q57</f>
        <v>4258.5</v>
      </c>
      <c r="L57" s="343">
        <f t="shared" si="1"/>
        <v>646388.77999999991</v>
      </c>
      <c r="M57" s="8">
        <f>+Données!F57</f>
        <v>0</v>
      </c>
      <c r="N57" s="8">
        <f>+Données!K57</f>
        <v>0</v>
      </c>
      <c r="O57" s="8">
        <f>(Données!L57/Données!Y57)*1</f>
        <v>48526</v>
      </c>
      <c r="P57" s="343">
        <f t="shared" si="2"/>
        <v>694914.77999999991</v>
      </c>
      <c r="Q57" s="173">
        <f>+Données!X57</f>
        <v>76</v>
      </c>
      <c r="R57" s="343">
        <f t="shared" si="3"/>
        <v>9143.6155263157889</v>
      </c>
    </row>
    <row r="58" spans="1:18" x14ac:dyDescent="0.25">
      <c r="A58" s="7">
        <f>Données!A58</f>
        <v>5491</v>
      </c>
      <c r="B58" s="27" t="str">
        <f>Données!B58</f>
        <v>Mont-la-Ville</v>
      </c>
      <c r="C58" s="8">
        <f>Données!C58+Données!D58</f>
        <v>965254.83</v>
      </c>
      <c r="D58" s="8">
        <f>+Données!G58+Données!H58+Données!S58</f>
        <v>25581.35</v>
      </c>
      <c r="E58" s="8">
        <f>+Données!E58</f>
        <v>0</v>
      </c>
      <c r="F58" s="8">
        <f>+Données!I58</f>
        <v>0</v>
      </c>
      <c r="G58" s="8">
        <f>+Données!J58</f>
        <v>10968.23</v>
      </c>
      <c r="H58" s="8">
        <f>Données!U58</f>
        <v>-5021.99</v>
      </c>
      <c r="I58" s="152">
        <f>Données!V58</f>
        <v>0</v>
      </c>
      <c r="J58" s="152">
        <f>Données!W58</f>
        <v>-356.05</v>
      </c>
      <c r="K58" s="8">
        <f>+Données!Q58</f>
        <v>6425</v>
      </c>
      <c r="L58" s="343">
        <f t="shared" si="1"/>
        <v>1002851.3699999999</v>
      </c>
      <c r="M58" s="8">
        <f>+Données!F58</f>
        <v>2760</v>
      </c>
      <c r="N58" s="8">
        <f>+Données!K58</f>
        <v>425</v>
      </c>
      <c r="O58" s="8">
        <f>(Données!L58/Données!Y58)*1</f>
        <v>94897.95</v>
      </c>
      <c r="P58" s="343">
        <f t="shared" si="2"/>
        <v>1100934.3199999998</v>
      </c>
      <c r="Q58" s="173">
        <f>+Données!X58</f>
        <v>76</v>
      </c>
      <c r="R58" s="343">
        <f t="shared" si="3"/>
        <v>14485.97789473684</v>
      </c>
    </row>
    <row r="59" spans="1:18" x14ac:dyDescent="0.25">
      <c r="A59" s="7">
        <f>Données!A59</f>
        <v>5492</v>
      </c>
      <c r="B59" s="27" t="str">
        <f>Données!B59</f>
        <v>Montricher</v>
      </c>
      <c r="C59" s="8">
        <f>Données!C59+Données!D59</f>
        <v>12157921.34</v>
      </c>
      <c r="D59" s="8">
        <f>+Données!G59+Données!H59+Données!S59</f>
        <v>123356.26000000001</v>
      </c>
      <c r="E59" s="8">
        <f>+Données!E59</f>
        <v>0</v>
      </c>
      <c r="F59" s="8">
        <f>+Données!I59</f>
        <v>0</v>
      </c>
      <c r="G59" s="8">
        <f>+Données!J59</f>
        <v>30303.62</v>
      </c>
      <c r="H59" s="8">
        <f>Données!U59</f>
        <v>-16033.74</v>
      </c>
      <c r="I59" s="152">
        <f>Données!V59</f>
        <v>0</v>
      </c>
      <c r="J59" s="152">
        <f>Données!W59</f>
        <v>-5275.15</v>
      </c>
      <c r="K59" s="8">
        <f>+Données!Q59</f>
        <v>1803.72</v>
      </c>
      <c r="L59" s="343">
        <f t="shared" si="1"/>
        <v>12292076.049999999</v>
      </c>
      <c r="M59" s="8">
        <f>+Données!F59</f>
        <v>0</v>
      </c>
      <c r="N59" s="8">
        <f>+Données!K59</f>
        <v>5630.95</v>
      </c>
      <c r="O59" s="8">
        <f>(Données!L59/Données!Y59)*1</f>
        <v>253685.5</v>
      </c>
      <c r="P59" s="343">
        <f t="shared" si="2"/>
        <v>12551392.499999998</v>
      </c>
      <c r="Q59" s="173">
        <f>+Données!X59</f>
        <v>64</v>
      </c>
      <c r="R59" s="343">
        <f t="shared" si="3"/>
        <v>196115.50781249997</v>
      </c>
    </row>
    <row r="60" spans="1:18" x14ac:dyDescent="0.25">
      <c r="A60" s="7">
        <f>Données!A60</f>
        <v>5493</v>
      </c>
      <c r="B60" s="27" t="str">
        <f>Données!B60</f>
        <v>Orny</v>
      </c>
      <c r="C60" s="8">
        <f>Données!C60+Données!D60</f>
        <v>989503.46</v>
      </c>
      <c r="D60" s="8">
        <f>+Données!G60+Données!H60+Données!S60</f>
        <v>22038.489999999998</v>
      </c>
      <c r="E60" s="8">
        <f>+Données!E60</f>
        <v>0</v>
      </c>
      <c r="F60" s="8">
        <f>+Données!I60</f>
        <v>0</v>
      </c>
      <c r="G60" s="8">
        <f>+Données!J60</f>
        <v>20533.810000000001</v>
      </c>
      <c r="H60" s="8">
        <f>Données!U60</f>
        <v>-12457.94</v>
      </c>
      <c r="I60" s="152">
        <f>Données!V60</f>
        <v>0</v>
      </c>
      <c r="J60" s="152">
        <f>Données!W60</f>
        <v>-6.8</v>
      </c>
      <c r="K60" s="8">
        <f>+Données!Q60</f>
        <v>578.27</v>
      </c>
      <c r="L60" s="343">
        <f t="shared" si="1"/>
        <v>1020189.29</v>
      </c>
      <c r="M60" s="8">
        <f>+Données!F60</f>
        <v>0</v>
      </c>
      <c r="N60" s="8">
        <f>+Données!K60</f>
        <v>4026.15</v>
      </c>
      <c r="O60" s="8">
        <f>(Données!L60/Données!Y60)*1</f>
        <v>82418.076923076922</v>
      </c>
      <c r="P60" s="343">
        <f t="shared" si="2"/>
        <v>1106633.5169230769</v>
      </c>
      <c r="Q60" s="173">
        <f>+Données!X60</f>
        <v>73</v>
      </c>
      <c r="R60" s="343">
        <f t="shared" si="3"/>
        <v>15159.363245521601</v>
      </c>
    </row>
    <row r="61" spans="1:18" x14ac:dyDescent="0.25">
      <c r="A61" s="7">
        <f>Données!A61</f>
        <v>5495</v>
      </c>
      <c r="B61" s="27" t="str">
        <f>Données!B61</f>
        <v>Penthalaz</v>
      </c>
      <c r="C61" s="8">
        <f>Données!C61+Données!D61</f>
        <v>6003048.4299999997</v>
      </c>
      <c r="D61" s="8">
        <f>+Données!G61+Données!H61+Données!S61</f>
        <v>169800.9</v>
      </c>
      <c r="E61" s="8">
        <f>+Données!E61</f>
        <v>0</v>
      </c>
      <c r="F61" s="8">
        <f>+Données!I61</f>
        <v>78439.5</v>
      </c>
      <c r="G61" s="8">
        <f>+Données!J61</f>
        <v>210900.47</v>
      </c>
      <c r="H61" s="8">
        <f>Données!U61</f>
        <v>-136114.14000000001</v>
      </c>
      <c r="I61" s="152">
        <f>Données!V61</f>
        <v>0</v>
      </c>
      <c r="J61" s="152">
        <f>Données!W61</f>
        <v>-866.3</v>
      </c>
      <c r="K61" s="8">
        <f>+Données!Q61</f>
        <v>42437.29</v>
      </c>
      <c r="L61" s="343">
        <f t="shared" si="1"/>
        <v>6367646.1500000004</v>
      </c>
      <c r="M61" s="8">
        <f>+Données!F61</f>
        <v>0</v>
      </c>
      <c r="N61" s="8">
        <f>+Données!K61</f>
        <v>42156.15</v>
      </c>
      <c r="O61" s="8">
        <f>(Données!L61/Données!Y61)*1</f>
        <v>539256.9</v>
      </c>
      <c r="P61" s="343">
        <f t="shared" si="2"/>
        <v>6949059.2000000011</v>
      </c>
      <c r="Q61" s="173">
        <f>+Données!X61</f>
        <v>72.5</v>
      </c>
      <c r="R61" s="343">
        <f t="shared" si="3"/>
        <v>95849.092413793114</v>
      </c>
    </row>
    <row r="62" spans="1:18" x14ac:dyDescent="0.25">
      <c r="A62" s="7">
        <f>Données!A62</f>
        <v>5496</v>
      </c>
      <c r="B62" s="27" t="str">
        <f>Données!B62</f>
        <v>Penthaz</v>
      </c>
      <c r="C62" s="8">
        <f>Données!C62+Données!D62</f>
        <v>4020851.11</v>
      </c>
      <c r="D62" s="8">
        <f>+Données!G62+Données!H62+Données!S62</f>
        <v>146322.16</v>
      </c>
      <c r="E62" s="8">
        <f>+Données!E62</f>
        <v>0</v>
      </c>
      <c r="F62" s="8">
        <f>+Données!I62</f>
        <v>0</v>
      </c>
      <c r="G62" s="8">
        <f>+Données!J62</f>
        <v>114540.28</v>
      </c>
      <c r="H62" s="8">
        <f>Données!U62</f>
        <v>-32473.759999999998</v>
      </c>
      <c r="I62" s="152">
        <f>Données!V62</f>
        <v>0</v>
      </c>
      <c r="J62" s="152">
        <f>Données!W62</f>
        <v>-316.45</v>
      </c>
      <c r="K62" s="8">
        <f>+Données!Q62</f>
        <v>12060.85</v>
      </c>
      <c r="L62" s="343">
        <f t="shared" si="1"/>
        <v>4260984.1899999995</v>
      </c>
      <c r="M62" s="8">
        <f>+Données!F62</f>
        <v>0</v>
      </c>
      <c r="N62" s="8">
        <f>+Données!K62</f>
        <v>24346.1</v>
      </c>
      <c r="O62" s="8">
        <f>(Données!L62/Données!Y62)*1</f>
        <v>377255.5</v>
      </c>
      <c r="P62" s="343">
        <f t="shared" si="2"/>
        <v>4662585.7899999991</v>
      </c>
      <c r="Q62" s="173">
        <f>+Données!X62</f>
        <v>69.5</v>
      </c>
      <c r="R62" s="343">
        <f t="shared" si="3"/>
        <v>67087.565323741001</v>
      </c>
    </row>
    <row r="63" spans="1:18" x14ac:dyDescent="0.25">
      <c r="A63" s="7">
        <f>Données!A63</f>
        <v>5497</v>
      </c>
      <c r="B63" s="27" t="str">
        <f>Données!B63</f>
        <v>Pompaples</v>
      </c>
      <c r="C63" s="8">
        <f>Données!C63+Données!D63</f>
        <v>1340608.06</v>
      </c>
      <c r="D63" s="8">
        <f>+Données!G63+Données!H63+Données!S63</f>
        <v>114567.2</v>
      </c>
      <c r="E63" s="8">
        <f>+Données!E63</f>
        <v>0</v>
      </c>
      <c r="F63" s="8">
        <f>+Données!I63</f>
        <v>0</v>
      </c>
      <c r="G63" s="8">
        <f>+Données!J63</f>
        <v>107953.32</v>
      </c>
      <c r="H63" s="8">
        <f>Données!U63</f>
        <v>-25502.19</v>
      </c>
      <c r="I63" s="152">
        <f>Données!V63</f>
        <v>0</v>
      </c>
      <c r="J63" s="152">
        <f>Données!W63</f>
        <v>-270.95</v>
      </c>
      <c r="K63" s="8">
        <f>+Données!Q63</f>
        <v>359.33</v>
      </c>
      <c r="L63" s="343">
        <f t="shared" si="1"/>
        <v>1537714.7700000003</v>
      </c>
      <c r="M63" s="8">
        <f>+Données!F63</f>
        <v>0</v>
      </c>
      <c r="N63" s="8">
        <f>+Données!K63</f>
        <v>4223.6000000000004</v>
      </c>
      <c r="O63" s="8">
        <f>(Données!L63/Données!Y63)*1</f>
        <v>141654.39999999999</v>
      </c>
      <c r="P63" s="343">
        <f t="shared" si="2"/>
        <v>1683592.7700000003</v>
      </c>
      <c r="Q63" s="173">
        <f>+Données!X63</f>
        <v>66</v>
      </c>
      <c r="R63" s="343">
        <f t="shared" si="3"/>
        <v>25508.981363636369</v>
      </c>
    </row>
    <row r="64" spans="1:18" x14ac:dyDescent="0.25">
      <c r="A64" s="7">
        <f>Données!A64</f>
        <v>5498</v>
      </c>
      <c r="B64" s="27" t="str">
        <f>Données!B64</f>
        <v>La Sarraz</v>
      </c>
      <c r="C64" s="8">
        <f>Données!C64+Données!D64</f>
        <v>4566702.0800000001</v>
      </c>
      <c r="D64" s="8">
        <f>+Données!G64+Données!H64+Données!S64</f>
        <v>140404.99</v>
      </c>
      <c r="E64" s="8">
        <f>+Données!E64</f>
        <v>0</v>
      </c>
      <c r="F64" s="8">
        <f>+Données!I64</f>
        <v>0</v>
      </c>
      <c r="G64" s="8">
        <f>+Données!J64</f>
        <v>91369</v>
      </c>
      <c r="H64" s="8">
        <f>Données!U64</f>
        <v>-106828.35</v>
      </c>
      <c r="I64" s="152">
        <f>Données!V64</f>
        <v>0</v>
      </c>
      <c r="J64" s="152">
        <f>Données!W64</f>
        <v>-613.45000000000005</v>
      </c>
      <c r="K64" s="8">
        <f>+Données!Q64</f>
        <v>17360.28</v>
      </c>
      <c r="L64" s="343">
        <f t="shared" si="1"/>
        <v>4708394.5500000007</v>
      </c>
      <c r="M64" s="8">
        <f>+Données!F64</f>
        <v>0</v>
      </c>
      <c r="N64" s="8">
        <f>+Données!K64</f>
        <v>28080.25</v>
      </c>
      <c r="O64" s="8">
        <f>(Données!L64/Données!Y64)*1</f>
        <v>422001.7</v>
      </c>
      <c r="P64" s="343">
        <f t="shared" si="2"/>
        <v>5158476.5000000009</v>
      </c>
      <c r="Q64" s="173">
        <f>+Données!X64</f>
        <v>66</v>
      </c>
      <c r="R64" s="343">
        <f t="shared" si="3"/>
        <v>78158.734848484863</v>
      </c>
    </row>
    <row r="65" spans="1:18" x14ac:dyDescent="0.25">
      <c r="A65" s="7">
        <f>Données!A65</f>
        <v>5499</v>
      </c>
      <c r="B65" s="27" t="str">
        <f>Données!B65</f>
        <v>Senarclens</v>
      </c>
      <c r="C65" s="8">
        <f>Données!C65+Données!D65</f>
        <v>1603357.5399999998</v>
      </c>
      <c r="D65" s="8">
        <f>+Données!G65+Données!H65+Données!S65</f>
        <v>24012.959999999999</v>
      </c>
      <c r="E65" s="8">
        <f>+Données!E65</f>
        <v>0</v>
      </c>
      <c r="F65" s="8">
        <f>+Données!I65</f>
        <v>0</v>
      </c>
      <c r="G65" s="8">
        <f>+Données!J65</f>
        <v>24742.55</v>
      </c>
      <c r="H65" s="8">
        <f>Données!U65</f>
        <v>-4573.7</v>
      </c>
      <c r="I65" s="152">
        <f>Données!V65</f>
        <v>0</v>
      </c>
      <c r="J65" s="152">
        <f>Données!W65</f>
        <v>-532.4</v>
      </c>
      <c r="K65" s="8">
        <f>+Données!Q65</f>
        <v>0</v>
      </c>
      <c r="L65" s="343">
        <f t="shared" si="1"/>
        <v>1647006.95</v>
      </c>
      <c r="M65" s="8">
        <f>+Données!F65</f>
        <v>0</v>
      </c>
      <c r="N65" s="8">
        <f>+Données!K65</f>
        <v>0</v>
      </c>
      <c r="O65" s="8">
        <f>(Données!L65/Données!Y65)*1</f>
        <v>108507.4</v>
      </c>
      <c r="P65" s="343">
        <f t="shared" si="2"/>
        <v>1755514.3499999999</v>
      </c>
      <c r="Q65" s="173">
        <f>+Données!X65</f>
        <v>68.5</v>
      </c>
      <c r="R65" s="343">
        <f t="shared" si="3"/>
        <v>25627.946715328464</v>
      </c>
    </row>
    <row r="66" spans="1:18" x14ac:dyDescent="0.25">
      <c r="A66" s="7">
        <f>Données!A66</f>
        <v>5501</v>
      </c>
      <c r="B66" s="27" t="str">
        <f>Données!B66</f>
        <v>Sullens</v>
      </c>
      <c r="C66" s="8">
        <f>Données!C66+Données!D66</f>
        <v>3076380.45</v>
      </c>
      <c r="D66" s="8">
        <f>+Données!G66+Données!H66+Données!S66</f>
        <v>123064.15000000001</v>
      </c>
      <c r="E66" s="8">
        <f>+Données!E66</f>
        <v>0</v>
      </c>
      <c r="F66" s="8">
        <f>+Données!I66</f>
        <v>0</v>
      </c>
      <c r="G66" s="8">
        <f>+Données!J66</f>
        <v>18394.740000000002</v>
      </c>
      <c r="H66" s="8">
        <f>Données!U66</f>
        <v>-11022.52</v>
      </c>
      <c r="I66" s="152">
        <f>Données!V66</f>
        <v>0</v>
      </c>
      <c r="J66" s="152">
        <f>Données!W66</f>
        <v>-2021.15</v>
      </c>
      <c r="K66" s="8">
        <f>+Données!Q66</f>
        <v>0</v>
      </c>
      <c r="L66" s="343">
        <f t="shared" si="1"/>
        <v>3204795.6700000004</v>
      </c>
      <c r="M66" s="8">
        <f>+Données!F66</f>
        <v>0</v>
      </c>
      <c r="N66" s="8">
        <f>+Données!K66</f>
        <v>0</v>
      </c>
      <c r="O66" s="8">
        <f>(Données!L66/Données!Y66)*1</f>
        <v>264398.84999999998</v>
      </c>
      <c r="P66" s="343">
        <f t="shared" si="2"/>
        <v>3469194.5200000005</v>
      </c>
      <c r="Q66" s="173">
        <f>+Données!X66</f>
        <v>64</v>
      </c>
      <c r="R66" s="343">
        <f t="shared" si="3"/>
        <v>54206.164375000008</v>
      </c>
    </row>
    <row r="67" spans="1:18" x14ac:dyDescent="0.25">
      <c r="A67" s="7">
        <f>Données!A67</f>
        <v>5503</v>
      </c>
      <c r="B67" s="27" t="str">
        <f>Données!B67</f>
        <v>Vufflens-la-Ville</v>
      </c>
      <c r="C67" s="8">
        <f>Données!C67+Données!D67</f>
        <v>3805103.77</v>
      </c>
      <c r="D67" s="8">
        <f>+Données!G67+Données!H67+Données!S67</f>
        <v>809989.58</v>
      </c>
      <c r="E67" s="8">
        <f>+Données!E67</f>
        <v>0</v>
      </c>
      <c r="F67" s="8">
        <f>+Données!I67</f>
        <v>0</v>
      </c>
      <c r="G67" s="8">
        <f>+Données!J67</f>
        <v>45661.66</v>
      </c>
      <c r="H67" s="8">
        <f>Données!U67</f>
        <v>-33958.550000000003</v>
      </c>
      <c r="I67" s="152">
        <f>Données!V67</f>
        <v>0</v>
      </c>
      <c r="J67" s="152">
        <f>Données!W67</f>
        <v>-3731.94</v>
      </c>
      <c r="K67" s="8">
        <f>+Données!Q67</f>
        <v>32373.1</v>
      </c>
      <c r="L67" s="343">
        <f t="shared" si="1"/>
        <v>4655437.6199999992</v>
      </c>
      <c r="M67" s="8">
        <f>+Données!F67</f>
        <v>0</v>
      </c>
      <c r="N67" s="8">
        <f>+Données!K67</f>
        <v>65974.850000000006</v>
      </c>
      <c r="O67" s="8">
        <f>(Données!L67/Données!Y67)*1</f>
        <v>465711.875</v>
      </c>
      <c r="P67" s="343">
        <f t="shared" si="2"/>
        <v>5187124.3449999988</v>
      </c>
      <c r="Q67" s="173">
        <f>+Données!X67</f>
        <v>67</v>
      </c>
      <c r="R67" s="343">
        <f t="shared" si="3"/>
        <v>77419.766343283569</v>
      </c>
    </row>
    <row r="68" spans="1:18" x14ac:dyDescent="0.25">
      <c r="A68" s="7">
        <f>Données!A68</f>
        <v>5511</v>
      </c>
      <c r="B68" s="27" t="str">
        <f>Données!B68</f>
        <v>Assens</v>
      </c>
      <c r="C68" s="8">
        <f>Données!C68+Données!D68</f>
        <v>4302485.7</v>
      </c>
      <c r="D68" s="8">
        <f>+Données!G68+Données!H68+Données!S68</f>
        <v>477798.13999999996</v>
      </c>
      <c r="E68" s="8">
        <f>+Données!E68</f>
        <v>0</v>
      </c>
      <c r="F68" s="8">
        <f>+Données!I68</f>
        <v>0</v>
      </c>
      <c r="G68" s="8">
        <f>+Données!J68</f>
        <v>66196.55</v>
      </c>
      <c r="H68" s="8">
        <f>Données!U68</f>
        <v>-40739.519999999997</v>
      </c>
      <c r="I68" s="152">
        <f>Données!V68</f>
        <v>0</v>
      </c>
      <c r="J68" s="152">
        <f>Données!W68</f>
        <v>-187.25</v>
      </c>
      <c r="K68" s="8">
        <f>+Données!Q68</f>
        <v>687.16</v>
      </c>
      <c r="L68" s="343">
        <f t="shared" si="1"/>
        <v>4806240.78</v>
      </c>
      <c r="M68" s="8">
        <f>+Données!F68</f>
        <v>0</v>
      </c>
      <c r="N68" s="8">
        <f>+Données!K68</f>
        <v>20256.05</v>
      </c>
      <c r="O68" s="8">
        <f>(Données!L68/Données!Y68)*1</f>
        <v>410206.45</v>
      </c>
      <c r="P68" s="343">
        <f t="shared" si="2"/>
        <v>5236703.28</v>
      </c>
      <c r="Q68" s="173">
        <f>+Données!X68</f>
        <v>70</v>
      </c>
      <c r="R68" s="343">
        <f t="shared" si="3"/>
        <v>74810.046857142865</v>
      </c>
    </row>
    <row r="69" spans="1:18" x14ac:dyDescent="0.25">
      <c r="A69" s="7">
        <f>Données!A69</f>
        <v>5512</v>
      </c>
      <c r="B69" s="27" t="str">
        <f>Données!B69</f>
        <v>Bercher</v>
      </c>
      <c r="C69" s="8">
        <f>Données!C69+Données!D69</f>
        <v>2990579.83</v>
      </c>
      <c r="D69" s="8">
        <f>+Données!G69+Données!H69+Données!S69</f>
        <v>69604.990000000005</v>
      </c>
      <c r="E69" s="8">
        <f>+Données!E69</f>
        <v>0</v>
      </c>
      <c r="F69" s="8">
        <f>+Données!I69</f>
        <v>0</v>
      </c>
      <c r="G69" s="8">
        <f>+Données!J69</f>
        <v>61577.94</v>
      </c>
      <c r="H69" s="8">
        <f>Données!U69</f>
        <v>-105926.65</v>
      </c>
      <c r="I69" s="152">
        <f>Données!V69</f>
        <v>0</v>
      </c>
      <c r="J69" s="152">
        <f>Données!W69</f>
        <v>-492.08</v>
      </c>
      <c r="K69" s="8">
        <f>+Données!Q69</f>
        <v>30223.71</v>
      </c>
      <c r="L69" s="343">
        <f t="shared" si="1"/>
        <v>3045567.74</v>
      </c>
      <c r="M69" s="8">
        <f>+Données!F69</f>
        <v>0</v>
      </c>
      <c r="N69" s="8">
        <f>+Données!K69</f>
        <v>12382.4</v>
      </c>
      <c r="O69" s="8">
        <f>(Données!L69/Données!Y69)*1</f>
        <v>283897.7</v>
      </c>
      <c r="P69" s="343">
        <f t="shared" si="2"/>
        <v>3341847.8400000003</v>
      </c>
      <c r="Q69" s="173">
        <f>+Données!X69</f>
        <v>79</v>
      </c>
      <c r="R69" s="343">
        <f t="shared" si="3"/>
        <v>42301.871392405068</v>
      </c>
    </row>
    <row r="70" spans="1:18" x14ac:dyDescent="0.25">
      <c r="A70" s="7">
        <f>Données!A70</f>
        <v>5514</v>
      </c>
      <c r="B70" s="27" t="str">
        <f>Données!B70</f>
        <v>Bottens</v>
      </c>
      <c r="C70" s="8">
        <f>Données!C70+Données!D70</f>
        <v>2922971.3200000003</v>
      </c>
      <c r="D70" s="8">
        <f>+Données!G70+Données!H70+Données!S70</f>
        <v>37479.22</v>
      </c>
      <c r="E70" s="8">
        <f>+Données!E70</f>
        <v>0</v>
      </c>
      <c r="F70" s="8">
        <f>+Données!I70</f>
        <v>41836.5</v>
      </c>
      <c r="G70" s="8">
        <f>+Données!J70</f>
        <v>74533.95</v>
      </c>
      <c r="H70" s="8">
        <f>Données!U70</f>
        <v>-76029.78</v>
      </c>
      <c r="I70" s="152">
        <f>Données!V70</f>
        <v>0</v>
      </c>
      <c r="J70" s="152">
        <f>Données!W70</f>
        <v>-1531</v>
      </c>
      <c r="K70" s="8">
        <f>+Données!Q70</f>
        <v>5988.37</v>
      </c>
      <c r="L70" s="343">
        <f t="shared" si="1"/>
        <v>3005248.580000001</v>
      </c>
      <c r="M70" s="8">
        <f>+Données!F70</f>
        <v>0</v>
      </c>
      <c r="N70" s="8">
        <f>+Données!K70</f>
        <v>10410</v>
      </c>
      <c r="O70" s="8">
        <f>(Données!L70/Données!Y70)*1</f>
        <v>250438.8</v>
      </c>
      <c r="P70" s="343">
        <f t="shared" si="2"/>
        <v>3266097.3800000008</v>
      </c>
      <c r="Q70" s="173">
        <f>+Données!X70</f>
        <v>72.5</v>
      </c>
      <c r="R70" s="343">
        <f t="shared" si="3"/>
        <v>45049.61903448277</v>
      </c>
    </row>
    <row r="71" spans="1:18" x14ac:dyDescent="0.25">
      <c r="A71" s="7">
        <f>Données!A71</f>
        <v>5515</v>
      </c>
      <c r="B71" s="27" t="str">
        <f>Données!B71</f>
        <v>Bretigny-sur-Morrens</v>
      </c>
      <c r="C71" s="8">
        <f>Données!C71+Données!D71</f>
        <v>2235246.04</v>
      </c>
      <c r="D71" s="8">
        <f>+Données!G71+Données!H71+Données!S71</f>
        <v>80884.150000000009</v>
      </c>
      <c r="E71" s="8">
        <f>+Données!E71</f>
        <v>0</v>
      </c>
      <c r="F71" s="8">
        <f>+Données!I71</f>
        <v>0</v>
      </c>
      <c r="G71" s="8">
        <f>+Données!J71</f>
        <v>19958.88</v>
      </c>
      <c r="H71" s="8">
        <f>Données!U71</f>
        <v>-39875.519999999997</v>
      </c>
      <c r="I71" s="152">
        <f>Données!V71</f>
        <v>0</v>
      </c>
      <c r="J71" s="152">
        <f>Données!W71</f>
        <v>-1317.45</v>
      </c>
      <c r="K71" s="8">
        <f>+Données!Q71</f>
        <v>11084.02</v>
      </c>
      <c r="L71" s="343">
        <f t="shared" ref="L71:L134" si="4">SUM(C71:K71)</f>
        <v>2305980.1199999996</v>
      </c>
      <c r="M71" s="8">
        <f>+Données!F71</f>
        <v>0</v>
      </c>
      <c r="N71" s="8">
        <f>+Données!K71</f>
        <v>18320.55</v>
      </c>
      <c r="O71" s="8">
        <f>(Données!L71/Données!Y71)*1</f>
        <v>192070.15</v>
      </c>
      <c r="P71" s="343">
        <f t="shared" ref="P71:P134" si="5">SUM(L71:O71)</f>
        <v>2516370.8199999994</v>
      </c>
      <c r="Q71" s="173">
        <f>+Données!X71</f>
        <v>78</v>
      </c>
      <c r="R71" s="343">
        <f t="shared" ref="R71:R134" si="6">P71/Q71</f>
        <v>32261.164358974351</v>
      </c>
    </row>
    <row r="72" spans="1:18" x14ac:dyDescent="0.25">
      <c r="A72" s="7">
        <f>Données!A72</f>
        <v>5516</v>
      </c>
      <c r="B72" s="27" t="str">
        <f>Données!B72</f>
        <v>Cugy</v>
      </c>
      <c r="C72" s="8">
        <f>Données!C72+Données!D72</f>
        <v>7549954.8499999996</v>
      </c>
      <c r="D72" s="8">
        <f>+Données!G72+Données!H72+Données!S72</f>
        <v>458352.66000000003</v>
      </c>
      <c r="E72" s="8">
        <f>+Données!E72</f>
        <v>0</v>
      </c>
      <c r="F72" s="8">
        <f>+Données!I72</f>
        <v>66276.75</v>
      </c>
      <c r="G72" s="8">
        <f>+Données!J72</f>
        <v>94910.9</v>
      </c>
      <c r="H72" s="8">
        <f>Données!U72</f>
        <v>-159327.66</v>
      </c>
      <c r="I72" s="152">
        <f>Données!V72</f>
        <v>0</v>
      </c>
      <c r="J72" s="152">
        <f>Données!W72</f>
        <v>-3481.75</v>
      </c>
      <c r="K72" s="8">
        <f>+Données!Q72</f>
        <v>13342.3</v>
      </c>
      <c r="L72" s="343">
        <f t="shared" si="4"/>
        <v>8020028.0499999998</v>
      </c>
      <c r="M72" s="8">
        <f>+Données!F72</f>
        <v>0</v>
      </c>
      <c r="N72" s="8">
        <f>+Données!K72</f>
        <v>44520.5</v>
      </c>
      <c r="O72" s="8">
        <f>(Données!L72/Données!Y72)*1</f>
        <v>607027.875</v>
      </c>
      <c r="P72" s="343">
        <f t="shared" si="5"/>
        <v>8671576.4250000007</v>
      </c>
      <c r="Q72" s="173">
        <f>+Données!X72</f>
        <v>76</v>
      </c>
      <c r="R72" s="343">
        <f t="shared" si="6"/>
        <v>114099.68980263159</v>
      </c>
    </row>
    <row r="73" spans="1:18" x14ac:dyDescent="0.25">
      <c r="A73" s="7">
        <f>Données!A73</f>
        <v>5518</v>
      </c>
      <c r="B73" s="27" t="str">
        <f>Données!B73</f>
        <v>Echallens</v>
      </c>
      <c r="C73" s="8">
        <f>Données!C73+Données!D73</f>
        <v>12557202.209999999</v>
      </c>
      <c r="D73" s="8">
        <f>+Données!G73+Données!H73+Données!S73</f>
        <v>714865.42999999993</v>
      </c>
      <c r="E73" s="8">
        <f>+Données!E73</f>
        <v>0</v>
      </c>
      <c r="F73" s="8">
        <f>+Données!I73</f>
        <v>0</v>
      </c>
      <c r="G73" s="8">
        <f>+Données!J73</f>
        <v>266279.03000000003</v>
      </c>
      <c r="H73" s="8">
        <f>Données!U73</f>
        <v>-394503.98</v>
      </c>
      <c r="I73" s="152">
        <f>Données!V73</f>
        <v>0</v>
      </c>
      <c r="J73" s="152">
        <f>Données!W73</f>
        <v>-1655.78</v>
      </c>
      <c r="K73" s="8">
        <f>+Données!Q73</f>
        <v>217456.85</v>
      </c>
      <c r="L73" s="343">
        <f t="shared" si="4"/>
        <v>13359643.759999998</v>
      </c>
      <c r="M73" s="8">
        <f>+Données!F73</f>
        <v>0</v>
      </c>
      <c r="N73" s="8">
        <f>+Données!K73</f>
        <v>109496.45</v>
      </c>
      <c r="O73" s="8">
        <f>(Données!L73/Données!Y73)*1</f>
        <v>1159166.95</v>
      </c>
      <c r="P73" s="343">
        <f t="shared" si="5"/>
        <v>14628307.159999996</v>
      </c>
      <c r="Q73" s="173">
        <f>+Données!X73</f>
        <v>72.5</v>
      </c>
      <c r="R73" s="343">
        <f t="shared" si="6"/>
        <v>201769.75393103444</v>
      </c>
    </row>
    <row r="74" spans="1:18" x14ac:dyDescent="0.25">
      <c r="A74" s="7">
        <f>Données!A74</f>
        <v>5520</v>
      </c>
      <c r="B74" s="27" t="str">
        <f>Données!B74</f>
        <v>Essertines-sur-Yverdon</v>
      </c>
      <c r="C74" s="8">
        <f>Données!C74+Données!D74</f>
        <v>2154727.09</v>
      </c>
      <c r="D74" s="8">
        <f>+Données!G74+Données!H74+Données!S74</f>
        <v>32085.660000000003</v>
      </c>
      <c r="E74" s="8">
        <f>+Données!E74</f>
        <v>0</v>
      </c>
      <c r="F74" s="8">
        <f>+Données!I74</f>
        <v>0</v>
      </c>
      <c r="G74" s="8">
        <f>+Données!J74</f>
        <v>25723.25</v>
      </c>
      <c r="H74" s="8">
        <f>Données!U74</f>
        <v>-16643.5</v>
      </c>
      <c r="I74" s="152">
        <f>Données!V74</f>
        <v>0</v>
      </c>
      <c r="J74" s="152">
        <f>Données!W74</f>
        <v>0</v>
      </c>
      <c r="K74" s="8">
        <f>+Données!Q74</f>
        <v>394.59</v>
      </c>
      <c r="L74" s="343">
        <f t="shared" si="4"/>
        <v>2196287.09</v>
      </c>
      <c r="M74" s="8">
        <f>+Données!F74</f>
        <v>0</v>
      </c>
      <c r="N74" s="8">
        <f>+Données!K74</f>
        <v>7152.2</v>
      </c>
      <c r="O74" s="8">
        <f>(Données!L74/Données!Y74)*1</f>
        <v>208977.8</v>
      </c>
      <c r="P74" s="343">
        <f t="shared" si="5"/>
        <v>2412417.09</v>
      </c>
      <c r="Q74" s="173">
        <f>+Données!X74</f>
        <v>74</v>
      </c>
      <c r="R74" s="343">
        <f t="shared" si="6"/>
        <v>32600.230945945943</v>
      </c>
    </row>
    <row r="75" spans="1:18" x14ac:dyDescent="0.25">
      <c r="A75" s="7">
        <f>Données!A75</f>
        <v>5521</v>
      </c>
      <c r="B75" s="27" t="str">
        <f>Données!B75</f>
        <v>Etagnières</v>
      </c>
      <c r="C75" s="8">
        <f>Données!C75+Données!D75</f>
        <v>2767185.44</v>
      </c>
      <c r="D75" s="8">
        <f>+Données!G75+Données!H75+Données!S75</f>
        <v>183174.85</v>
      </c>
      <c r="E75" s="8">
        <f>+Données!E75</f>
        <v>0</v>
      </c>
      <c r="F75" s="8">
        <f>+Données!I75</f>
        <v>0</v>
      </c>
      <c r="G75" s="8">
        <f>+Données!J75</f>
        <v>82564.160000000003</v>
      </c>
      <c r="H75" s="8">
        <f>Données!U75</f>
        <v>-35567.06</v>
      </c>
      <c r="I75" s="152">
        <f>Données!V75</f>
        <v>0</v>
      </c>
      <c r="J75" s="152">
        <f>Données!W75</f>
        <v>-15874.8</v>
      </c>
      <c r="K75" s="8">
        <f>+Données!Q75</f>
        <v>1233.4000000000001</v>
      </c>
      <c r="L75" s="343">
        <f t="shared" si="4"/>
        <v>2982715.99</v>
      </c>
      <c r="M75" s="8">
        <f>+Données!F75</f>
        <v>0</v>
      </c>
      <c r="N75" s="8">
        <f>+Données!K75</f>
        <v>23106</v>
      </c>
      <c r="O75" s="8">
        <f>(Données!L75/Données!Y75)*1</f>
        <v>284236.34999999998</v>
      </c>
      <c r="P75" s="343">
        <f t="shared" si="5"/>
        <v>3290058.3400000003</v>
      </c>
      <c r="Q75" s="173">
        <f>+Données!X75</f>
        <v>73</v>
      </c>
      <c r="R75" s="343">
        <f t="shared" si="6"/>
        <v>45069.292328767129</v>
      </c>
    </row>
    <row r="76" spans="1:18" x14ac:dyDescent="0.25">
      <c r="A76" s="7">
        <f>Données!A76</f>
        <v>5522</v>
      </c>
      <c r="B76" s="27" t="str">
        <f>Données!B76</f>
        <v>Fey</v>
      </c>
      <c r="C76" s="8">
        <f>Données!C76+Données!D76</f>
        <v>1555633.21</v>
      </c>
      <c r="D76" s="8">
        <f>+Données!G76+Données!H76+Données!S76</f>
        <v>25386.13</v>
      </c>
      <c r="E76" s="8">
        <f>+Données!E76</f>
        <v>0</v>
      </c>
      <c r="F76" s="8">
        <f>+Données!I76</f>
        <v>0</v>
      </c>
      <c r="G76" s="8">
        <f>+Données!J76</f>
        <v>11607.11</v>
      </c>
      <c r="H76" s="8">
        <f>Données!U76</f>
        <v>-22746.61</v>
      </c>
      <c r="I76" s="152">
        <f>Données!V76</f>
        <v>0</v>
      </c>
      <c r="J76" s="152">
        <f>Données!W76</f>
        <v>-25.15</v>
      </c>
      <c r="K76" s="8">
        <f>+Données!Q76</f>
        <v>3431.41</v>
      </c>
      <c r="L76" s="343">
        <f t="shared" si="4"/>
        <v>1573286.0999999999</v>
      </c>
      <c r="M76" s="8">
        <f>+Données!F76</f>
        <v>0</v>
      </c>
      <c r="N76" s="8">
        <f>+Données!K76</f>
        <v>1943.55</v>
      </c>
      <c r="O76" s="8">
        <f>(Données!L76/Données!Y76)*1</f>
        <v>145565.9</v>
      </c>
      <c r="P76" s="343">
        <f t="shared" si="5"/>
        <v>1720795.5499999998</v>
      </c>
      <c r="Q76" s="173">
        <f>+Données!X76</f>
        <v>75</v>
      </c>
      <c r="R76" s="343">
        <f t="shared" si="6"/>
        <v>22943.940666666665</v>
      </c>
    </row>
    <row r="77" spans="1:18" x14ac:dyDescent="0.25">
      <c r="A77" s="7">
        <f>Données!A77</f>
        <v>5523</v>
      </c>
      <c r="B77" s="27" t="str">
        <f>Données!B77</f>
        <v>Froideville</v>
      </c>
      <c r="C77" s="8">
        <f>Données!C77+Données!D77</f>
        <v>6025198.4900000002</v>
      </c>
      <c r="D77" s="8">
        <f>+Données!G77+Données!H77+Données!S77</f>
        <v>20682.509999999998</v>
      </c>
      <c r="E77" s="8">
        <f>+Données!E77</f>
        <v>0</v>
      </c>
      <c r="F77" s="8">
        <f>+Données!I77</f>
        <v>0</v>
      </c>
      <c r="G77" s="8">
        <f>+Données!J77</f>
        <v>44533.34</v>
      </c>
      <c r="H77" s="8">
        <f>Données!U77</f>
        <v>-50790.39</v>
      </c>
      <c r="I77" s="152">
        <f>Données!V77</f>
        <v>0</v>
      </c>
      <c r="J77" s="152">
        <f>Données!W77</f>
        <v>-1116.6500000000001</v>
      </c>
      <c r="K77" s="8">
        <f>+Données!Q77</f>
        <v>40439.339999999997</v>
      </c>
      <c r="L77" s="343">
        <f t="shared" si="4"/>
        <v>6078946.6399999997</v>
      </c>
      <c r="M77" s="8">
        <f>+Données!F77</f>
        <v>15000</v>
      </c>
      <c r="N77" s="8">
        <f>+Données!K77</f>
        <v>23605</v>
      </c>
      <c r="O77" s="8">
        <f>(Données!L77/Données!Y77)*1</f>
        <v>548701.04</v>
      </c>
      <c r="P77" s="343">
        <f t="shared" si="5"/>
        <v>6666252.6799999997</v>
      </c>
      <c r="Q77" s="173">
        <f>+Données!X77</f>
        <v>72</v>
      </c>
      <c r="R77" s="343">
        <f t="shared" si="6"/>
        <v>92586.842777777769</v>
      </c>
    </row>
    <row r="78" spans="1:18" x14ac:dyDescent="0.25">
      <c r="A78" s="7">
        <f>Données!A78</f>
        <v>5527</v>
      </c>
      <c r="B78" s="27" t="str">
        <f>Données!B78</f>
        <v>Morrens</v>
      </c>
      <c r="C78" s="8">
        <f>Données!C78+Données!D78</f>
        <v>2899346</v>
      </c>
      <c r="D78" s="8">
        <f>+Données!G78+Données!H78+Données!S78</f>
        <v>18549.7</v>
      </c>
      <c r="E78" s="8">
        <f>+Données!E78</f>
        <v>0</v>
      </c>
      <c r="F78" s="8">
        <f>+Données!I78</f>
        <v>0</v>
      </c>
      <c r="G78" s="8">
        <f>+Données!J78</f>
        <v>21559.57</v>
      </c>
      <c r="H78" s="8">
        <f>Données!U78</f>
        <v>-25705.41</v>
      </c>
      <c r="I78" s="152">
        <f>Données!V78</f>
        <v>0</v>
      </c>
      <c r="J78" s="152">
        <f>Données!W78</f>
        <v>-326.39999999999998</v>
      </c>
      <c r="K78" s="8">
        <f>+Données!Q78</f>
        <v>1421.99</v>
      </c>
      <c r="L78" s="343">
        <f t="shared" si="4"/>
        <v>2914845.45</v>
      </c>
      <c r="M78" s="8">
        <f>+Données!F78</f>
        <v>0</v>
      </c>
      <c r="N78" s="8">
        <f>+Données!K78</f>
        <v>6427.75</v>
      </c>
      <c r="O78" s="8">
        <f>(Données!L78/Données!Y78)*1</f>
        <v>253987.05</v>
      </c>
      <c r="P78" s="343">
        <f t="shared" si="5"/>
        <v>3175260.25</v>
      </c>
      <c r="Q78" s="173">
        <f>+Données!X78</f>
        <v>74</v>
      </c>
      <c r="R78" s="343">
        <f t="shared" si="6"/>
        <v>42908.9222972973</v>
      </c>
    </row>
    <row r="79" spans="1:18" x14ac:dyDescent="0.25">
      <c r="A79" s="7">
        <f>Données!A79</f>
        <v>5529</v>
      </c>
      <c r="B79" s="27" t="str">
        <f>Données!B79</f>
        <v>Oulens-sous-Echallens</v>
      </c>
      <c r="C79" s="8">
        <f>Données!C79+Données!D79</f>
        <v>1438320.99</v>
      </c>
      <c r="D79" s="8">
        <f>+Données!G79+Données!H79+Données!S79</f>
        <v>43345.729999999996</v>
      </c>
      <c r="E79" s="8">
        <f>+Données!E79</f>
        <v>0</v>
      </c>
      <c r="F79" s="8">
        <f>+Données!I79</f>
        <v>0</v>
      </c>
      <c r="G79" s="8">
        <f>+Données!J79</f>
        <v>21038.83</v>
      </c>
      <c r="H79" s="8">
        <f>Données!U79</f>
        <v>-11052.97</v>
      </c>
      <c r="I79" s="152">
        <f>Données!V79</f>
        <v>0</v>
      </c>
      <c r="J79" s="152">
        <f>Données!W79</f>
        <v>-23.8</v>
      </c>
      <c r="K79" s="8">
        <f>+Données!Q79</f>
        <v>0</v>
      </c>
      <c r="L79" s="343">
        <f t="shared" si="4"/>
        <v>1491628.78</v>
      </c>
      <c r="M79" s="8">
        <f>+Données!F79</f>
        <v>0</v>
      </c>
      <c r="N79" s="8">
        <f>+Données!K79</f>
        <v>2861.05</v>
      </c>
      <c r="O79" s="8">
        <f>(Données!L79/Données!Y79)*1</f>
        <v>134861.79999999999</v>
      </c>
      <c r="P79" s="343">
        <f t="shared" si="5"/>
        <v>1629351.6300000001</v>
      </c>
      <c r="Q79" s="173">
        <f>+Données!X79</f>
        <v>71</v>
      </c>
      <c r="R79" s="343">
        <f t="shared" si="6"/>
        <v>22948.614507042254</v>
      </c>
    </row>
    <row r="80" spans="1:18" x14ac:dyDescent="0.25">
      <c r="A80" s="7">
        <f>Données!A80</f>
        <v>5530</v>
      </c>
      <c r="B80" s="27" t="str">
        <f>Données!B80</f>
        <v>Pailly</v>
      </c>
      <c r="C80" s="8">
        <f>Données!C80+Données!D80</f>
        <v>1376383.26</v>
      </c>
      <c r="D80" s="8">
        <f>+Données!G80+Données!H80+Données!S80</f>
        <v>78908.320000000007</v>
      </c>
      <c r="E80" s="8">
        <f>+Données!E80</f>
        <v>0</v>
      </c>
      <c r="F80" s="8">
        <f>+Données!I80</f>
        <v>0</v>
      </c>
      <c r="G80" s="8">
        <f>+Données!J80</f>
        <v>-83.23</v>
      </c>
      <c r="H80" s="8">
        <f>Données!U80</f>
        <v>-6467.47</v>
      </c>
      <c r="I80" s="152">
        <f>Données!V80</f>
        <v>0</v>
      </c>
      <c r="J80" s="152">
        <f>Données!W80</f>
        <v>-96.55</v>
      </c>
      <c r="K80" s="8">
        <f>+Données!Q80</f>
        <v>0</v>
      </c>
      <c r="L80" s="343">
        <f t="shared" si="4"/>
        <v>1448644.33</v>
      </c>
      <c r="M80" s="8">
        <f>+Données!F80</f>
        <v>0</v>
      </c>
      <c r="N80" s="8">
        <f>+Données!K80</f>
        <v>1400</v>
      </c>
      <c r="O80" s="8">
        <f>(Données!L80/Données!Y80)*1</f>
        <v>111266.62500000001</v>
      </c>
      <c r="P80" s="343">
        <f t="shared" si="5"/>
        <v>1561310.9550000001</v>
      </c>
      <c r="Q80" s="173">
        <f>+Données!X80</f>
        <v>76</v>
      </c>
      <c r="R80" s="343">
        <f t="shared" si="6"/>
        <v>20543.565197368422</v>
      </c>
    </row>
    <row r="81" spans="1:18" x14ac:dyDescent="0.25">
      <c r="A81" s="7">
        <f>Données!A81</f>
        <v>5531</v>
      </c>
      <c r="B81" s="27" t="str">
        <f>Données!B81</f>
        <v>Penthéréaz</v>
      </c>
      <c r="C81" s="8">
        <f>Données!C81+Données!D81</f>
        <v>1148934.76</v>
      </c>
      <c r="D81" s="8">
        <f>+Données!G81+Données!H81+Données!S81</f>
        <v>10892.67</v>
      </c>
      <c r="E81" s="8">
        <f>+Données!E81</f>
        <v>0</v>
      </c>
      <c r="F81" s="8">
        <f>+Données!I81</f>
        <v>0</v>
      </c>
      <c r="G81" s="8">
        <f>+Données!J81</f>
        <v>9461.85</v>
      </c>
      <c r="H81" s="8">
        <f>Données!U81</f>
        <v>-535.28</v>
      </c>
      <c r="I81" s="152">
        <f>Données!V81</f>
        <v>0</v>
      </c>
      <c r="J81" s="152">
        <f>Données!W81</f>
        <v>-422.15</v>
      </c>
      <c r="K81" s="8">
        <f>+Données!Q81</f>
        <v>14571.13</v>
      </c>
      <c r="L81" s="343">
        <f t="shared" si="4"/>
        <v>1182902.98</v>
      </c>
      <c r="M81" s="8">
        <f>+Données!F81</f>
        <v>0</v>
      </c>
      <c r="N81" s="8">
        <f>+Données!K81</f>
        <v>1380.3</v>
      </c>
      <c r="O81" s="8">
        <f>(Données!L81/Données!Y81)*1</f>
        <v>85464.85</v>
      </c>
      <c r="P81" s="343">
        <f t="shared" si="5"/>
        <v>1269748.1300000001</v>
      </c>
      <c r="Q81" s="173">
        <f>+Données!X81</f>
        <v>74</v>
      </c>
      <c r="R81" s="343">
        <f t="shared" si="6"/>
        <v>17158.758513513516</v>
      </c>
    </row>
    <row r="82" spans="1:18" x14ac:dyDescent="0.25">
      <c r="A82" s="7">
        <f>Données!A82</f>
        <v>5533</v>
      </c>
      <c r="B82" s="27" t="str">
        <f>Données!B82</f>
        <v>Poliez-Pittet</v>
      </c>
      <c r="C82" s="8">
        <f>Données!C82+Données!D82</f>
        <v>1687911.92</v>
      </c>
      <c r="D82" s="8">
        <f>+Données!G82+Données!H82+Données!S82</f>
        <v>115935.71</v>
      </c>
      <c r="E82" s="8">
        <f>+Données!E82</f>
        <v>0</v>
      </c>
      <c r="F82" s="8">
        <f>+Données!I82</f>
        <v>0</v>
      </c>
      <c r="G82" s="8">
        <f>+Données!J82</f>
        <v>13069.23</v>
      </c>
      <c r="H82" s="8">
        <f>Données!U82</f>
        <v>-6901.24</v>
      </c>
      <c r="I82" s="152">
        <f>Données!V82</f>
        <v>0</v>
      </c>
      <c r="J82" s="152">
        <f>Données!W82</f>
        <v>-233.95</v>
      </c>
      <c r="K82" s="8">
        <f>+Données!Q82</f>
        <v>1733.2</v>
      </c>
      <c r="L82" s="343">
        <f t="shared" si="4"/>
        <v>1811514.8699999999</v>
      </c>
      <c r="M82" s="8">
        <f>+Données!F82</f>
        <v>0</v>
      </c>
      <c r="N82" s="8">
        <f>+Données!K82</f>
        <v>11535.85</v>
      </c>
      <c r="O82" s="8">
        <f>(Données!L82/Données!Y82)*1</f>
        <v>160709.20000000001</v>
      </c>
      <c r="P82" s="343">
        <f t="shared" si="5"/>
        <v>1983759.92</v>
      </c>
      <c r="Q82" s="173">
        <f>+Données!X82</f>
        <v>73</v>
      </c>
      <c r="R82" s="343">
        <f t="shared" si="6"/>
        <v>27174.793424657531</v>
      </c>
    </row>
    <row r="83" spans="1:18" x14ac:dyDescent="0.25">
      <c r="A83" s="7">
        <f>Données!A83</f>
        <v>5534</v>
      </c>
      <c r="B83" s="27" t="str">
        <f>Données!B83</f>
        <v>Rueyres</v>
      </c>
      <c r="C83" s="8">
        <f>Données!C83+Données!D83</f>
        <v>743698.91</v>
      </c>
      <c r="D83" s="8">
        <f>+Données!G83+Données!H83+Données!S83</f>
        <v>320440.23</v>
      </c>
      <c r="E83" s="8">
        <f>+Données!E83</f>
        <v>0</v>
      </c>
      <c r="F83" s="8">
        <f>+Données!I83</f>
        <v>0</v>
      </c>
      <c r="G83" s="8">
        <f>+Données!J83</f>
        <v>7924.77</v>
      </c>
      <c r="H83" s="8">
        <f>Données!U83</f>
        <v>-10297.52</v>
      </c>
      <c r="I83" s="152">
        <f>Données!V83</f>
        <v>0</v>
      </c>
      <c r="J83" s="152">
        <f>Données!W83</f>
        <v>-0.45</v>
      </c>
      <c r="K83" s="8">
        <f>+Données!Q83</f>
        <v>10368.120000000001</v>
      </c>
      <c r="L83" s="343">
        <f t="shared" si="4"/>
        <v>1072134.0600000003</v>
      </c>
      <c r="M83" s="8">
        <f>+Données!F83</f>
        <v>0</v>
      </c>
      <c r="N83" s="8">
        <f>+Données!K83</f>
        <v>1149</v>
      </c>
      <c r="O83" s="8">
        <f>(Données!L83/Données!Y83)*1</f>
        <v>85978.583333333343</v>
      </c>
      <c r="P83" s="343">
        <f t="shared" si="5"/>
        <v>1159261.6433333335</v>
      </c>
      <c r="Q83" s="173">
        <f>+Données!X83</f>
        <v>73</v>
      </c>
      <c r="R83" s="343">
        <f t="shared" si="6"/>
        <v>15880.296484018269</v>
      </c>
    </row>
    <row r="84" spans="1:18" x14ac:dyDescent="0.25">
      <c r="A84" s="7">
        <f>Données!A84</f>
        <v>5535</v>
      </c>
      <c r="B84" s="27" t="str">
        <f>Données!B84</f>
        <v>Saint-Barthélemy</v>
      </c>
      <c r="C84" s="8">
        <f>Données!C84+Données!D84</f>
        <v>1816856.14</v>
      </c>
      <c r="D84" s="8">
        <f>+Données!G84+Données!H84+Données!S84</f>
        <v>59748.659999999996</v>
      </c>
      <c r="E84" s="8">
        <f>+Données!E84</f>
        <v>0</v>
      </c>
      <c r="F84" s="8">
        <f>+Données!I84</f>
        <v>0</v>
      </c>
      <c r="G84" s="8">
        <f>+Données!J84</f>
        <v>9831.6299999999992</v>
      </c>
      <c r="H84" s="8">
        <f>Données!U84</f>
        <v>-6569.19</v>
      </c>
      <c r="I84" s="152">
        <f>Données!V84</f>
        <v>0</v>
      </c>
      <c r="J84" s="152">
        <f>Données!W84</f>
        <v>-30.55</v>
      </c>
      <c r="K84" s="8">
        <f>+Données!Q84</f>
        <v>4056.64</v>
      </c>
      <c r="L84" s="343">
        <f t="shared" si="4"/>
        <v>1883893.3299999996</v>
      </c>
      <c r="M84" s="8">
        <f>+Données!F84</f>
        <v>0</v>
      </c>
      <c r="N84" s="8">
        <f>+Données!K84</f>
        <v>1739.3</v>
      </c>
      <c r="O84" s="8">
        <f>(Données!L84/Données!Y84)*1</f>
        <v>153284.75</v>
      </c>
      <c r="P84" s="343">
        <f t="shared" si="5"/>
        <v>2038917.3799999997</v>
      </c>
      <c r="Q84" s="173">
        <f>+Données!X84</f>
        <v>75</v>
      </c>
      <c r="R84" s="343">
        <f t="shared" si="6"/>
        <v>27185.565066666662</v>
      </c>
    </row>
    <row r="85" spans="1:18" x14ac:dyDescent="0.25">
      <c r="A85" s="7">
        <f>Données!A85</f>
        <v>5537</v>
      </c>
      <c r="B85" s="27" t="str">
        <f>Données!B85</f>
        <v>Villars-le-Terroir</v>
      </c>
      <c r="C85" s="8">
        <f>Données!C85+Données!D85</f>
        <v>2502379.61</v>
      </c>
      <c r="D85" s="8">
        <f>+Données!G85+Données!H85+Données!S85</f>
        <v>35565.32</v>
      </c>
      <c r="E85" s="8">
        <f>+Données!E85</f>
        <v>0</v>
      </c>
      <c r="F85" s="8">
        <f>+Données!I85</f>
        <v>0</v>
      </c>
      <c r="G85" s="8">
        <f>+Données!J85</f>
        <v>35803.42</v>
      </c>
      <c r="H85" s="8">
        <f>Données!U85</f>
        <v>-30618.43</v>
      </c>
      <c r="I85" s="152">
        <f>Données!V85</f>
        <v>0</v>
      </c>
      <c r="J85" s="152">
        <f>Données!W85</f>
        <v>-58.75</v>
      </c>
      <c r="K85" s="8">
        <f>+Données!Q85</f>
        <v>2677.94</v>
      </c>
      <c r="L85" s="343">
        <f t="shared" si="4"/>
        <v>2545749.1099999994</v>
      </c>
      <c r="M85" s="8">
        <f>+Données!F85</f>
        <v>7740</v>
      </c>
      <c r="N85" s="8">
        <f>+Données!K85</f>
        <v>7012.25</v>
      </c>
      <c r="O85" s="8">
        <f>(Données!L85/Données!Y85)*1</f>
        <v>256241</v>
      </c>
      <c r="P85" s="343">
        <f t="shared" si="5"/>
        <v>2816742.3599999994</v>
      </c>
      <c r="Q85" s="173">
        <f>+Données!X85</f>
        <v>76</v>
      </c>
      <c r="R85" s="343">
        <f t="shared" si="6"/>
        <v>37062.3994736842</v>
      </c>
    </row>
    <row r="86" spans="1:18" x14ac:dyDescent="0.25">
      <c r="A86" s="7">
        <f>Données!A86</f>
        <v>5539</v>
      </c>
      <c r="B86" s="27" t="str">
        <f>Données!B86</f>
        <v>Vuarrens</v>
      </c>
      <c r="C86" s="8">
        <f>Données!C86+Données!D86</f>
        <v>2194812.9700000002</v>
      </c>
      <c r="D86" s="8">
        <f>+Données!G86+Données!H86+Données!S86</f>
        <v>30228.11</v>
      </c>
      <c r="E86" s="8">
        <f>+Données!E86</f>
        <v>0</v>
      </c>
      <c r="F86" s="8">
        <f>+Données!I86</f>
        <v>0</v>
      </c>
      <c r="G86" s="8">
        <f>+Données!J86</f>
        <v>21532.65</v>
      </c>
      <c r="H86" s="8">
        <f>Données!U86</f>
        <v>-20417.830000000002</v>
      </c>
      <c r="I86" s="152">
        <f>Données!V86</f>
        <v>0</v>
      </c>
      <c r="J86" s="152">
        <f>Données!W86</f>
        <v>0</v>
      </c>
      <c r="K86" s="8">
        <f>+Données!Q86</f>
        <v>3973.35</v>
      </c>
      <c r="L86" s="343">
        <f t="shared" si="4"/>
        <v>2230129.25</v>
      </c>
      <c r="M86" s="8">
        <f>+Données!F86</f>
        <v>0</v>
      </c>
      <c r="N86" s="8">
        <f>+Données!K86</f>
        <v>924.7</v>
      </c>
      <c r="O86" s="8">
        <f>(Données!L86/Données!Y86)*1</f>
        <v>212468.25</v>
      </c>
      <c r="P86" s="343">
        <f t="shared" si="5"/>
        <v>2443522.2000000002</v>
      </c>
      <c r="Q86" s="173">
        <f>+Données!X86</f>
        <v>73.5</v>
      </c>
      <c r="R86" s="343">
        <f t="shared" si="6"/>
        <v>33245.200000000004</v>
      </c>
    </row>
    <row r="87" spans="1:18" x14ac:dyDescent="0.25">
      <c r="A87" s="7">
        <f>Données!A87</f>
        <v>5540</v>
      </c>
      <c r="B87" s="27" t="str">
        <f>Données!B87</f>
        <v>Montilliez</v>
      </c>
      <c r="C87" s="8">
        <f>Données!C87+Données!D87</f>
        <v>4930285.76</v>
      </c>
      <c r="D87" s="8">
        <f>+Données!G87+Données!H87+Données!S87</f>
        <v>67706.459999999992</v>
      </c>
      <c r="E87" s="8">
        <f>+Données!E87</f>
        <v>0</v>
      </c>
      <c r="F87" s="8">
        <f>+Données!I87</f>
        <v>0</v>
      </c>
      <c r="G87" s="8">
        <f>+Données!J87</f>
        <v>44265.13</v>
      </c>
      <c r="H87" s="8">
        <f>Données!U87</f>
        <v>-74450.25</v>
      </c>
      <c r="I87" s="152">
        <f>Données!V87</f>
        <v>0</v>
      </c>
      <c r="J87" s="152">
        <f>Données!W87</f>
        <v>-768.9</v>
      </c>
      <c r="K87" s="8">
        <f>+Données!Q87</f>
        <v>15712.16</v>
      </c>
      <c r="L87" s="343">
        <f t="shared" si="4"/>
        <v>4982750.3599999994</v>
      </c>
      <c r="M87" s="8">
        <f>+Données!F87</f>
        <v>0</v>
      </c>
      <c r="N87" s="8">
        <f>+Données!K87</f>
        <v>14178</v>
      </c>
      <c r="O87" s="8">
        <f>(Données!L87/Données!Y87)*1</f>
        <v>362997.62499999994</v>
      </c>
      <c r="P87" s="343">
        <f t="shared" si="5"/>
        <v>5359925.9849999994</v>
      </c>
      <c r="Q87" s="173">
        <f>+Données!X87</f>
        <v>72.5</v>
      </c>
      <c r="R87" s="343">
        <f t="shared" si="6"/>
        <v>73930.013586206886</v>
      </c>
    </row>
    <row r="88" spans="1:18" x14ac:dyDescent="0.25">
      <c r="A88" s="7">
        <f>Données!A88</f>
        <v>5541</v>
      </c>
      <c r="B88" s="27" t="str">
        <f>Données!B88</f>
        <v>Goumoëns</v>
      </c>
      <c r="C88" s="8">
        <f>Données!C88+Données!D88</f>
        <v>2748737.66</v>
      </c>
      <c r="D88" s="8">
        <f>+Données!G88+Données!H88+Données!S88</f>
        <v>229244.64</v>
      </c>
      <c r="E88" s="8">
        <f>+Données!E88</f>
        <v>0</v>
      </c>
      <c r="F88" s="8">
        <f>+Données!I88</f>
        <v>0</v>
      </c>
      <c r="G88" s="8">
        <f>+Données!J88</f>
        <v>21271.82</v>
      </c>
      <c r="H88" s="8">
        <f>Données!U88</f>
        <v>-19551.080000000002</v>
      </c>
      <c r="I88" s="152">
        <f>Données!V88</f>
        <v>0</v>
      </c>
      <c r="J88" s="152">
        <f>Données!W88</f>
        <v>-8386.1</v>
      </c>
      <c r="K88" s="8">
        <f>+Données!Q88</f>
        <v>1229.79</v>
      </c>
      <c r="L88" s="343">
        <f t="shared" si="4"/>
        <v>2972546.73</v>
      </c>
      <c r="M88" s="8">
        <f>+Données!F88</f>
        <v>0</v>
      </c>
      <c r="N88" s="8">
        <f>+Données!K88</f>
        <v>3855.5</v>
      </c>
      <c r="O88" s="8">
        <f>(Données!L88/Données!Y88)*1</f>
        <v>231924.85</v>
      </c>
      <c r="P88" s="343">
        <f t="shared" si="5"/>
        <v>3208327.08</v>
      </c>
      <c r="Q88" s="173">
        <f>+Données!X88</f>
        <v>75.5</v>
      </c>
      <c r="R88" s="343">
        <f t="shared" si="6"/>
        <v>42494.398410596026</v>
      </c>
    </row>
    <row r="89" spans="1:18" x14ac:dyDescent="0.25">
      <c r="A89" s="7">
        <f>Données!A89</f>
        <v>5551</v>
      </c>
      <c r="B89" s="27" t="str">
        <f>Données!B89</f>
        <v>Bonvillars</v>
      </c>
      <c r="C89" s="8">
        <f>Données!C89+Données!D89</f>
        <v>935184.56</v>
      </c>
      <c r="D89" s="8">
        <f>+Données!G89+Données!H89+Données!S89</f>
        <v>15840.359999999999</v>
      </c>
      <c r="E89" s="8">
        <f>+Données!E89</f>
        <v>0</v>
      </c>
      <c r="F89" s="8">
        <f>+Données!I89</f>
        <v>0</v>
      </c>
      <c r="G89" s="8">
        <f>+Données!J89</f>
        <v>3530.46</v>
      </c>
      <c r="H89" s="8">
        <f>Données!U89</f>
        <v>-4279.08</v>
      </c>
      <c r="I89" s="152">
        <f>Données!V89</f>
        <v>0</v>
      </c>
      <c r="J89" s="152">
        <f>Données!W89</f>
        <v>-118.66</v>
      </c>
      <c r="K89" s="8">
        <f>+Données!Q89</f>
        <v>0</v>
      </c>
      <c r="L89" s="343">
        <f t="shared" si="4"/>
        <v>950157.64</v>
      </c>
      <c r="M89" s="8">
        <f>+Données!F89</f>
        <v>0</v>
      </c>
      <c r="N89" s="8">
        <f>+Données!K89</f>
        <v>12264.75</v>
      </c>
      <c r="O89" s="8">
        <f>(Données!L89/Données!Y89)*1</f>
        <v>120460.6</v>
      </c>
      <c r="P89" s="343">
        <f t="shared" si="5"/>
        <v>1082882.99</v>
      </c>
      <c r="Q89" s="173">
        <f>+Données!X89</f>
        <v>57</v>
      </c>
      <c r="R89" s="343">
        <f t="shared" si="6"/>
        <v>18997.947192982458</v>
      </c>
    </row>
    <row r="90" spans="1:18" x14ac:dyDescent="0.25">
      <c r="A90" s="7">
        <f>Données!A90</f>
        <v>5552</v>
      </c>
      <c r="B90" s="27" t="str">
        <f>Données!B90</f>
        <v>Bullet</v>
      </c>
      <c r="C90" s="8">
        <f>Données!C90+Données!D90</f>
        <v>1264699.3699999999</v>
      </c>
      <c r="D90" s="8">
        <f>+Données!G90+Données!H90+Données!S90</f>
        <v>28859.66</v>
      </c>
      <c r="E90" s="8">
        <f>+Données!E90</f>
        <v>0</v>
      </c>
      <c r="F90" s="8">
        <f>+Données!I90</f>
        <v>0</v>
      </c>
      <c r="G90" s="8">
        <f>+Données!J90</f>
        <v>9460.83</v>
      </c>
      <c r="H90" s="8">
        <f>Données!U90</f>
        <v>-15186.07</v>
      </c>
      <c r="I90" s="152">
        <f>Données!V90</f>
        <v>0</v>
      </c>
      <c r="J90" s="152">
        <f>Données!W90</f>
        <v>0</v>
      </c>
      <c r="K90" s="8">
        <f>+Données!Q90</f>
        <v>2479.15</v>
      </c>
      <c r="L90" s="343">
        <f t="shared" si="4"/>
        <v>1290312.9399999997</v>
      </c>
      <c r="M90" s="8">
        <f>+Données!F90</f>
        <v>0</v>
      </c>
      <c r="N90" s="8">
        <f>+Données!K90</f>
        <v>135.1</v>
      </c>
      <c r="O90" s="8">
        <f>(Données!L90/Données!Y90)*1</f>
        <v>139285.5</v>
      </c>
      <c r="P90" s="343">
        <f t="shared" si="5"/>
        <v>1429733.5399999998</v>
      </c>
      <c r="Q90" s="173">
        <f>+Données!X90</f>
        <v>70</v>
      </c>
      <c r="R90" s="343">
        <f t="shared" si="6"/>
        <v>20424.764857142854</v>
      </c>
    </row>
    <row r="91" spans="1:18" x14ac:dyDescent="0.25">
      <c r="A91" s="7">
        <f>Données!A91</f>
        <v>5553</v>
      </c>
      <c r="B91" s="27" t="str">
        <f>Données!B91</f>
        <v>Champagne</v>
      </c>
      <c r="C91" s="8">
        <f>Données!C91+Données!D91</f>
        <v>1879354.83</v>
      </c>
      <c r="D91" s="8">
        <f>+Données!G91+Données!H91+Données!S91</f>
        <v>179460.25000000003</v>
      </c>
      <c r="E91" s="8">
        <f>+Données!E91</f>
        <v>0</v>
      </c>
      <c r="F91" s="8">
        <f>+Données!I91</f>
        <v>0</v>
      </c>
      <c r="G91" s="8">
        <f>+Données!J91</f>
        <v>34948.81</v>
      </c>
      <c r="H91" s="8">
        <f>Données!U91</f>
        <v>-48028.58</v>
      </c>
      <c r="I91" s="152">
        <f>Données!V91</f>
        <v>0</v>
      </c>
      <c r="J91" s="152">
        <f>Données!W91</f>
        <v>-1361.25</v>
      </c>
      <c r="K91" s="8">
        <f>+Données!Q91</f>
        <v>24233.33</v>
      </c>
      <c r="L91" s="343">
        <f t="shared" si="4"/>
        <v>2068607.3900000001</v>
      </c>
      <c r="M91" s="8">
        <f>+Données!F91</f>
        <v>0</v>
      </c>
      <c r="N91" s="8">
        <f>+Données!K91</f>
        <v>33468.1</v>
      </c>
      <c r="O91" s="8">
        <f>(Données!L91/Données!Y91)*1</f>
        <v>249332.85</v>
      </c>
      <c r="P91" s="343">
        <f t="shared" si="5"/>
        <v>2351408.3400000003</v>
      </c>
      <c r="Q91" s="173">
        <f>+Données!X91</f>
        <v>65</v>
      </c>
      <c r="R91" s="343">
        <f t="shared" si="6"/>
        <v>36175.512923076931</v>
      </c>
    </row>
    <row r="92" spans="1:18" x14ac:dyDescent="0.25">
      <c r="A92" s="7">
        <f>Données!A92</f>
        <v>5554</v>
      </c>
      <c r="B92" s="27" t="str">
        <f>Données!B92</f>
        <v>Concise</v>
      </c>
      <c r="C92" s="8">
        <f>Données!C92+Données!D92</f>
        <v>2262900.9700000002</v>
      </c>
      <c r="D92" s="8">
        <f>+Données!G92+Données!H92+Données!S92</f>
        <v>17186.38</v>
      </c>
      <c r="E92" s="8">
        <f>+Données!E92</f>
        <v>0</v>
      </c>
      <c r="F92" s="8">
        <f>+Données!I92</f>
        <v>0</v>
      </c>
      <c r="G92" s="8">
        <f>+Données!J92</f>
        <v>13793.33</v>
      </c>
      <c r="H92" s="8">
        <f>Données!U92</f>
        <v>-32123.17</v>
      </c>
      <c r="I92" s="152">
        <f>Données!V92</f>
        <v>0</v>
      </c>
      <c r="J92" s="152">
        <f>Données!W92</f>
        <v>-764.26</v>
      </c>
      <c r="K92" s="8">
        <f>+Données!Q92</f>
        <v>8399.59</v>
      </c>
      <c r="L92" s="343">
        <f t="shared" si="4"/>
        <v>2269392.8400000003</v>
      </c>
      <c r="M92" s="8">
        <f>+Données!F92</f>
        <v>0</v>
      </c>
      <c r="N92" s="8">
        <f>+Données!K92</f>
        <v>4485.25</v>
      </c>
      <c r="O92" s="8">
        <f>(Données!L92/Données!Y92)*1</f>
        <v>196342.75</v>
      </c>
      <c r="P92" s="343">
        <f t="shared" si="5"/>
        <v>2470220.8400000003</v>
      </c>
      <c r="Q92" s="173">
        <f>+Données!X92</f>
        <v>72</v>
      </c>
      <c r="R92" s="343">
        <f t="shared" si="6"/>
        <v>34308.622777777782</v>
      </c>
    </row>
    <row r="93" spans="1:18" x14ac:dyDescent="0.25">
      <c r="A93" s="7">
        <f>Données!A93</f>
        <v>5555</v>
      </c>
      <c r="B93" s="27" t="str">
        <f>Données!B93</f>
        <v>Corcelles-près-Concise</v>
      </c>
      <c r="C93" s="8">
        <f>Données!C93+Données!D93</f>
        <v>845483.78999999992</v>
      </c>
      <c r="D93" s="8">
        <f>+Données!G93+Données!H93+Données!S93</f>
        <v>7732.76</v>
      </c>
      <c r="E93" s="8">
        <f>+Données!E93</f>
        <v>0</v>
      </c>
      <c r="F93" s="8">
        <f>+Données!I93</f>
        <v>0</v>
      </c>
      <c r="G93" s="8">
        <f>+Données!J93</f>
        <v>-12796.46</v>
      </c>
      <c r="H93" s="8">
        <f>Données!U93</f>
        <v>-3892.23</v>
      </c>
      <c r="I93" s="152">
        <f>Données!V93</f>
        <v>0</v>
      </c>
      <c r="J93" s="152">
        <f>Données!W93</f>
        <v>-689.85</v>
      </c>
      <c r="K93" s="8">
        <f>+Données!Q93</f>
        <v>2955.26</v>
      </c>
      <c r="L93" s="343">
        <f t="shared" si="4"/>
        <v>838793.27</v>
      </c>
      <c r="M93" s="8">
        <f>+Données!F93</f>
        <v>0</v>
      </c>
      <c r="N93" s="8">
        <f>+Données!K93</f>
        <v>2116.5</v>
      </c>
      <c r="O93" s="8">
        <f>(Données!L93/Données!Y93)*1</f>
        <v>100248.15</v>
      </c>
      <c r="P93" s="343">
        <f t="shared" si="5"/>
        <v>941157.92</v>
      </c>
      <c r="Q93" s="173">
        <f>+Données!X93</f>
        <v>69</v>
      </c>
      <c r="R93" s="343">
        <f t="shared" si="6"/>
        <v>13639.969855072464</v>
      </c>
    </row>
    <row r="94" spans="1:18" x14ac:dyDescent="0.25">
      <c r="A94" s="7">
        <f>Données!A94</f>
        <v>5556</v>
      </c>
      <c r="B94" s="27" t="str">
        <f>Données!B94</f>
        <v>Fiez</v>
      </c>
      <c r="C94" s="8">
        <f>Données!C94+Données!D94</f>
        <v>809999.28</v>
      </c>
      <c r="D94" s="8">
        <f>+Données!G94+Données!H94+Données!S94</f>
        <v>-2229.66</v>
      </c>
      <c r="E94" s="8">
        <f>+Données!E94</f>
        <v>0</v>
      </c>
      <c r="F94" s="8">
        <f>+Données!I94</f>
        <v>0</v>
      </c>
      <c r="G94" s="8">
        <f>+Données!J94</f>
        <v>1973.2</v>
      </c>
      <c r="H94" s="8">
        <f>Données!U94</f>
        <v>-1539.69</v>
      </c>
      <c r="I94" s="152">
        <f>Données!V94</f>
        <v>0</v>
      </c>
      <c r="J94" s="152">
        <f>Données!W94</f>
        <v>0</v>
      </c>
      <c r="K94" s="8">
        <f>+Données!Q94</f>
        <v>3151.83</v>
      </c>
      <c r="L94" s="343">
        <f t="shared" si="4"/>
        <v>811354.96</v>
      </c>
      <c r="M94" s="8">
        <f>+Données!F94</f>
        <v>2630</v>
      </c>
      <c r="N94" s="8">
        <f>+Données!K94</f>
        <v>1835.65</v>
      </c>
      <c r="O94" s="8">
        <f>(Données!L94/Données!Y94)*1</f>
        <v>76445.833333333343</v>
      </c>
      <c r="P94" s="343">
        <f t="shared" si="5"/>
        <v>892266.44333333336</v>
      </c>
      <c r="Q94" s="173">
        <f>+Données!X94</f>
        <v>69</v>
      </c>
      <c r="R94" s="343">
        <f t="shared" si="6"/>
        <v>12931.397729468599</v>
      </c>
    </row>
    <row r="95" spans="1:18" x14ac:dyDescent="0.25">
      <c r="A95" s="7">
        <f>Données!A95</f>
        <v>5557</v>
      </c>
      <c r="B95" s="27" t="str">
        <f>Données!B95</f>
        <v>Fontaines-sur-Grandson</v>
      </c>
      <c r="C95" s="8">
        <f>Données!C95+Données!D95</f>
        <v>287820.40999999997</v>
      </c>
      <c r="D95" s="8">
        <f>+Données!G95+Données!H95+Données!S95</f>
        <v>-1282.01</v>
      </c>
      <c r="E95" s="8">
        <f>+Données!E95</f>
        <v>0</v>
      </c>
      <c r="F95" s="8">
        <f>+Données!I95</f>
        <v>0</v>
      </c>
      <c r="G95" s="8">
        <f>+Données!J95</f>
        <v>816.58</v>
      </c>
      <c r="H95" s="8">
        <f>Données!U95</f>
        <v>-4292.57</v>
      </c>
      <c r="I95" s="152">
        <f>Données!V95</f>
        <v>0</v>
      </c>
      <c r="J95" s="152">
        <f>Données!W95</f>
        <v>0</v>
      </c>
      <c r="K95" s="8">
        <f>+Données!Q95</f>
        <v>1573.51</v>
      </c>
      <c r="L95" s="343">
        <f t="shared" si="4"/>
        <v>284635.92</v>
      </c>
      <c r="M95" s="8">
        <f>+Données!F95</f>
        <v>1006.6</v>
      </c>
      <c r="N95" s="8">
        <f>+Données!K95</f>
        <v>936.95</v>
      </c>
      <c r="O95" s="8">
        <f>(Données!L95/Données!Y95)*1</f>
        <v>37745.699999999997</v>
      </c>
      <c r="P95" s="343">
        <f t="shared" si="5"/>
        <v>324325.17</v>
      </c>
      <c r="Q95" s="173">
        <f>+Données!X95</f>
        <v>69</v>
      </c>
      <c r="R95" s="343">
        <f t="shared" si="6"/>
        <v>4700.3647826086954</v>
      </c>
    </row>
    <row r="96" spans="1:18" x14ac:dyDescent="0.25">
      <c r="A96" s="7">
        <f>Données!A96</f>
        <v>5559</v>
      </c>
      <c r="B96" s="27" t="str">
        <f>Données!B96</f>
        <v>Giez</v>
      </c>
      <c r="C96" s="8">
        <f>Données!C96+Données!D96</f>
        <v>1166943.08</v>
      </c>
      <c r="D96" s="8">
        <f>+Données!G96+Données!H96+Données!S96</f>
        <v>38977.789999999994</v>
      </c>
      <c r="E96" s="8">
        <f>+Données!E96</f>
        <v>0</v>
      </c>
      <c r="F96" s="8">
        <f>+Données!I96</f>
        <v>0</v>
      </c>
      <c r="G96" s="8">
        <f>+Données!J96</f>
        <v>6415.18</v>
      </c>
      <c r="H96" s="8">
        <f>Données!U96</f>
        <v>-2238.5</v>
      </c>
      <c r="I96" s="152">
        <f>Données!V96</f>
        <v>0</v>
      </c>
      <c r="J96" s="152">
        <f>Données!W96</f>
        <v>-1068.0999999999999</v>
      </c>
      <c r="K96" s="8">
        <f>+Données!Q96</f>
        <v>272.25</v>
      </c>
      <c r="L96" s="343">
        <f t="shared" si="4"/>
        <v>1209301.7</v>
      </c>
      <c r="M96" s="8">
        <f>+Données!F96</f>
        <v>0</v>
      </c>
      <c r="N96" s="8">
        <f>+Données!K96</f>
        <v>-3022</v>
      </c>
      <c r="O96" s="8">
        <f>(Données!L96/Données!Y96)*1</f>
        <v>97936.35</v>
      </c>
      <c r="P96" s="343">
        <f t="shared" si="5"/>
        <v>1304216.05</v>
      </c>
      <c r="Q96" s="173">
        <f>+Données!X96</f>
        <v>66</v>
      </c>
      <c r="R96" s="343">
        <f t="shared" si="6"/>
        <v>19760.849242424243</v>
      </c>
    </row>
    <row r="97" spans="1:18" x14ac:dyDescent="0.25">
      <c r="A97" s="7">
        <f>Données!A97</f>
        <v>5560</v>
      </c>
      <c r="B97" s="27" t="str">
        <f>Données!B97</f>
        <v>Grandevent</v>
      </c>
      <c r="C97" s="8">
        <f>Données!C97+Données!D97</f>
        <v>527481.83000000007</v>
      </c>
      <c r="D97" s="8">
        <f>+Données!G97+Données!H97+Données!S97</f>
        <v>2374.81</v>
      </c>
      <c r="E97" s="8">
        <f>+Données!E97</f>
        <v>0</v>
      </c>
      <c r="F97" s="8">
        <f>+Données!I97</f>
        <v>0</v>
      </c>
      <c r="G97" s="8">
        <f>+Données!J97</f>
        <v>-2510.0700000000002</v>
      </c>
      <c r="H97" s="8">
        <f>Données!U97</f>
        <v>-9657.3700000000008</v>
      </c>
      <c r="I97" s="152">
        <f>Données!V97</f>
        <v>0</v>
      </c>
      <c r="J97" s="152">
        <f>Données!W97</f>
        <v>0</v>
      </c>
      <c r="K97" s="8">
        <f>+Données!Q97</f>
        <v>13.33</v>
      </c>
      <c r="L97" s="343">
        <f t="shared" si="4"/>
        <v>517702.5300000002</v>
      </c>
      <c r="M97" s="8">
        <f>+Données!F97</f>
        <v>0</v>
      </c>
      <c r="N97" s="8">
        <f>+Données!K97</f>
        <v>0</v>
      </c>
      <c r="O97" s="8">
        <f>(Données!L97/Données!Y97)*1</f>
        <v>45699.35</v>
      </c>
      <c r="P97" s="343">
        <f t="shared" si="5"/>
        <v>563401.88000000024</v>
      </c>
      <c r="Q97" s="173">
        <f>+Données!X97</f>
        <v>70</v>
      </c>
      <c r="R97" s="343">
        <f t="shared" si="6"/>
        <v>8048.598285714289</v>
      </c>
    </row>
    <row r="98" spans="1:18" x14ac:dyDescent="0.25">
      <c r="A98" s="7">
        <f>Données!A98</f>
        <v>5561</v>
      </c>
      <c r="B98" s="27" t="str">
        <f>Données!B98</f>
        <v>Grandson</v>
      </c>
      <c r="C98" s="8">
        <f>Données!C98+Données!D98</f>
        <v>11266221.16</v>
      </c>
      <c r="D98" s="8">
        <f>+Données!G98+Données!H98+Données!S98</f>
        <v>416280.45</v>
      </c>
      <c r="E98" s="8">
        <f>+Données!E98</f>
        <v>0</v>
      </c>
      <c r="F98" s="8">
        <f>+Données!I98</f>
        <v>0</v>
      </c>
      <c r="G98" s="8">
        <f>+Données!J98</f>
        <v>102156.73</v>
      </c>
      <c r="H98" s="8">
        <f>Données!U98</f>
        <v>-108409.74</v>
      </c>
      <c r="I98" s="152">
        <f>Données!V98</f>
        <v>0</v>
      </c>
      <c r="J98" s="152">
        <f>Données!W98</f>
        <v>-30613.200000000001</v>
      </c>
      <c r="K98" s="8">
        <f>+Données!Q98</f>
        <v>21206.959999999999</v>
      </c>
      <c r="L98" s="343">
        <f t="shared" si="4"/>
        <v>11666842.360000001</v>
      </c>
      <c r="M98" s="8">
        <f>+Données!F98</f>
        <v>0</v>
      </c>
      <c r="N98" s="8">
        <f>+Données!K98</f>
        <v>31478.35</v>
      </c>
      <c r="O98" s="8">
        <f>(Données!L98/Données!Y98)*1</f>
        <v>676517.45</v>
      </c>
      <c r="P98" s="343">
        <f t="shared" si="5"/>
        <v>12374838.16</v>
      </c>
      <c r="Q98" s="173">
        <f>+Données!X98</f>
        <v>69</v>
      </c>
      <c r="R98" s="343">
        <f t="shared" si="6"/>
        <v>179345.48057971016</v>
      </c>
    </row>
    <row r="99" spans="1:18" x14ac:dyDescent="0.25">
      <c r="A99" s="7">
        <f>Données!A99</f>
        <v>5562</v>
      </c>
      <c r="B99" s="27" t="str">
        <f>Données!B99</f>
        <v>Mauborget</v>
      </c>
      <c r="C99" s="8">
        <f>Données!C99+Données!D99</f>
        <v>295615.15999999997</v>
      </c>
      <c r="D99" s="8">
        <f>+Données!G99+Données!H99+Données!S99</f>
        <v>11786.039999999999</v>
      </c>
      <c r="E99" s="8">
        <f>+Données!E99</f>
        <v>0</v>
      </c>
      <c r="F99" s="8">
        <f>+Données!I99</f>
        <v>0</v>
      </c>
      <c r="G99" s="8">
        <f>+Données!J99</f>
        <v>3256.09</v>
      </c>
      <c r="H99" s="8">
        <f>Données!U99</f>
        <v>-1531.71</v>
      </c>
      <c r="I99" s="152">
        <f>Données!V99</f>
        <v>0</v>
      </c>
      <c r="J99" s="152">
        <f>Données!W99</f>
        <v>0</v>
      </c>
      <c r="K99" s="8">
        <f>+Données!Q99</f>
        <v>2221.9299999999998</v>
      </c>
      <c r="L99" s="343">
        <f t="shared" si="4"/>
        <v>311347.50999999995</v>
      </c>
      <c r="M99" s="8">
        <f>+Données!F99</f>
        <v>880</v>
      </c>
      <c r="N99" s="8">
        <f>+Données!K99</f>
        <v>1837</v>
      </c>
      <c r="O99" s="8">
        <f>(Données!L99/Données!Y99)*1</f>
        <v>32553.708333333332</v>
      </c>
      <c r="P99" s="343">
        <f t="shared" si="5"/>
        <v>346618.21833333327</v>
      </c>
      <c r="Q99" s="173">
        <f>+Données!X99</f>
        <v>70</v>
      </c>
      <c r="R99" s="343">
        <f t="shared" si="6"/>
        <v>4951.6888333333327</v>
      </c>
    </row>
    <row r="100" spans="1:18" x14ac:dyDescent="0.25">
      <c r="A100" s="7">
        <f>Données!A100</f>
        <v>5563</v>
      </c>
      <c r="B100" s="27" t="str">
        <f>Données!B100</f>
        <v>Mutrux</v>
      </c>
      <c r="C100" s="8">
        <f>Données!C100+Données!D100</f>
        <v>201624.75999999998</v>
      </c>
      <c r="D100" s="8">
        <f>+Données!G100+Données!H100+Données!S100</f>
        <v>1987.55</v>
      </c>
      <c r="E100" s="8">
        <f>+Données!E100</f>
        <v>0</v>
      </c>
      <c r="F100" s="8">
        <f>+Données!I100</f>
        <v>0</v>
      </c>
      <c r="G100" s="8">
        <f>+Données!J100</f>
        <v>6530.68</v>
      </c>
      <c r="H100" s="8">
        <f>Données!U100</f>
        <v>-1110.71</v>
      </c>
      <c r="I100" s="152">
        <f>Données!V100</f>
        <v>0</v>
      </c>
      <c r="J100" s="152">
        <f>Données!W100</f>
        <v>-39.35</v>
      </c>
      <c r="K100" s="8">
        <f>+Données!Q100</f>
        <v>0</v>
      </c>
      <c r="L100" s="343">
        <f t="shared" si="4"/>
        <v>208992.92999999996</v>
      </c>
      <c r="M100" s="8">
        <f>+Données!F100</f>
        <v>528</v>
      </c>
      <c r="N100" s="8">
        <f>+Données!K100</f>
        <v>0</v>
      </c>
      <c r="O100" s="8">
        <f>(Données!L100/Données!Y100)*1</f>
        <v>23378.25</v>
      </c>
      <c r="P100" s="343">
        <f t="shared" si="5"/>
        <v>232899.17999999996</v>
      </c>
      <c r="Q100" s="173">
        <f>+Données!X100</f>
        <v>80</v>
      </c>
      <c r="R100" s="343">
        <f t="shared" si="6"/>
        <v>2911.2397499999997</v>
      </c>
    </row>
    <row r="101" spans="1:18" x14ac:dyDescent="0.25">
      <c r="A101" s="7">
        <f>Données!A101</f>
        <v>5564</v>
      </c>
      <c r="B101" s="27" t="str">
        <f>Données!B101</f>
        <v>Novalles</v>
      </c>
      <c r="C101" s="8">
        <f>Données!C101+Données!D101</f>
        <v>159491.27000000002</v>
      </c>
      <c r="D101" s="8">
        <f>+Données!G101+Données!H101+Données!S101</f>
        <v>64.13</v>
      </c>
      <c r="E101" s="8">
        <f>+Données!E101</f>
        <v>0</v>
      </c>
      <c r="F101" s="8">
        <f>+Données!I101</f>
        <v>0</v>
      </c>
      <c r="G101" s="8">
        <f>+Données!J101</f>
        <v>0</v>
      </c>
      <c r="H101" s="8">
        <f>Données!U101</f>
        <v>-959.19</v>
      </c>
      <c r="I101" s="152">
        <f>Données!V101</f>
        <v>0</v>
      </c>
      <c r="J101" s="152">
        <f>Données!W101</f>
        <v>0</v>
      </c>
      <c r="K101" s="8">
        <f>+Données!Q101</f>
        <v>0</v>
      </c>
      <c r="L101" s="343">
        <f t="shared" si="4"/>
        <v>158596.21000000002</v>
      </c>
      <c r="M101" s="8">
        <f>+Données!F101</f>
        <v>0</v>
      </c>
      <c r="N101" s="8">
        <f>+Données!K101</f>
        <v>0</v>
      </c>
      <c r="O101" s="8">
        <f>(Données!L101/Données!Y101)*1</f>
        <v>14546.0625</v>
      </c>
      <c r="P101" s="343">
        <f t="shared" si="5"/>
        <v>173142.27250000002</v>
      </c>
      <c r="Q101" s="173">
        <f>+Données!X101</f>
        <v>76</v>
      </c>
      <c r="R101" s="343">
        <f t="shared" si="6"/>
        <v>2278.1877960526317</v>
      </c>
    </row>
    <row r="102" spans="1:18" x14ac:dyDescent="0.25">
      <c r="A102" s="7">
        <f>Données!A102</f>
        <v>5565</v>
      </c>
      <c r="B102" s="27" t="str">
        <f>Données!B102</f>
        <v>Onnens</v>
      </c>
      <c r="C102" s="8">
        <f>Données!C102+Données!D102</f>
        <v>892397.27</v>
      </c>
      <c r="D102" s="8">
        <f>+Données!G102+Données!H102+Données!S102</f>
        <v>309346.59999999998</v>
      </c>
      <c r="E102" s="8">
        <f>+Données!E102</f>
        <v>0</v>
      </c>
      <c r="F102" s="8">
        <f>+Données!I102</f>
        <v>0</v>
      </c>
      <c r="G102" s="8">
        <f>+Données!J102</f>
        <v>8085.24</v>
      </c>
      <c r="H102" s="8">
        <f>Données!U102</f>
        <v>-8525.65</v>
      </c>
      <c r="I102" s="152">
        <f>Données!V102</f>
        <v>0</v>
      </c>
      <c r="J102" s="152">
        <f>Données!W102</f>
        <v>0</v>
      </c>
      <c r="K102" s="8">
        <f>+Données!Q102</f>
        <v>6031.64</v>
      </c>
      <c r="L102" s="343">
        <f t="shared" si="4"/>
        <v>1207335.1000000001</v>
      </c>
      <c r="M102" s="8">
        <f>+Données!F102</f>
        <v>0</v>
      </c>
      <c r="N102" s="8">
        <f>+Données!K102</f>
        <v>24297.35</v>
      </c>
      <c r="O102" s="8">
        <f>(Données!L102/Données!Y102)*1</f>
        <v>133104.95000000001</v>
      </c>
      <c r="P102" s="343">
        <f t="shared" si="5"/>
        <v>1364737.4000000001</v>
      </c>
      <c r="Q102" s="173">
        <f>+Données!X102</f>
        <v>63.5</v>
      </c>
      <c r="R102" s="343">
        <f t="shared" si="6"/>
        <v>21491.927559055119</v>
      </c>
    </row>
    <row r="103" spans="1:18" x14ac:dyDescent="0.25">
      <c r="A103" s="7">
        <f>Données!A103</f>
        <v>5566</v>
      </c>
      <c r="B103" s="27" t="str">
        <f>Données!B103</f>
        <v>Provence</v>
      </c>
      <c r="C103" s="8">
        <f>Données!C103+Données!D103</f>
        <v>690112.71</v>
      </c>
      <c r="D103" s="8">
        <f>+Données!G103+Données!H103+Données!S103</f>
        <v>13122.210000000001</v>
      </c>
      <c r="E103" s="8">
        <f>+Données!E103</f>
        <v>0</v>
      </c>
      <c r="F103" s="8">
        <f>+Données!I103</f>
        <v>0</v>
      </c>
      <c r="G103" s="8">
        <f>+Données!J103</f>
        <v>16478.22</v>
      </c>
      <c r="H103" s="8">
        <f>Données!U103</f>
        <v>-1957.21</v>
      </c>
      <c r="I103" s="152">
        <f>Données!V103</f>
        <v>0</v>
      </c>
      <c r="J103" s="152">
        <f>Données!W103</f>
        <v>0</v>
      </c>
      <c r="K103" s="8">
        <f>+Données!Q103</f>
        <v>1084.58</v>
      </c>
      <c r="L103" s="343">
        <f t="shared" si="4"/>
        <v>718840.50999999989</v>
      </c>
      <c r="M103" s="8">
        <f>+Données!F103</f>
        <v>2710</v>
      </c>
      <c r="N103" s="8">
        <f>+Données!K103</f>
        <v>2971.7</v>
      </c>
      <c r="O103" s="8">
        <f>(Données!L103/Données!Y103)*1</f>
        <v>58660.4</v>
      </c>
      <c r="P103" s="343">
        <f t="shared" si="5"/>
        <v>783182.60999999987</v>
      </c>
      <c r="Q103" s="173">
        <f>+Données!X103</f>
        <v>81</v>
      </c>
      <c r="R103" s="343">
        <f t="shared" si="6"/>
        <v>9668.921111111109</v>
      </c>
    </row>
    <row r="104" spans="1:18" x14ac:dyDescent="0.25">
      <c r="A104" s="7">
        <f>Données!A104</f>
        <v>5568</v>
      </c>
      <c r="B104" s="27" t="str">
        <f>Données!B104</f>
        <v>Sainte-Croix</v>
      </c>
      <c r="C104" s="8">
        <f>Données!C104+Données!D104</f>
        <v>6659269.54</v>
      </c>
      <c r="D104" s="8">
        <f>+Données!G104+Données!H104+Données!S104</f>
        <v>305542.81</v>
      </c>
      <c r="E104" s="8">
        <f>+Données!E104</f>
        <v>0</v>
      </c>
      <c r="F104" s="8">
        <f>+Données!I104</f>
        <v>-76631.100000000006</v>
      </c>
      <c r="G104" s="8">
        <f>+Données!J104</f>
        <v>130143.15</v>
      </c>
      <c r="H104" s="8">
        <f>Données!U104</f>
        <v>-187398.59</v>
      </c>
      <c r="I104" s="152">
        <f>Données!V104</f>
        <v>0</v>
      </c>
      <c r="J104" s="152">
        <f>Données!W104</f>
        <v>-981.35</v>
      </c>
      <c r="K104" s="8">
        <f>+Données!Q104</f>
        <v>37357.18</v>
      </c>
      <c r="L104" s="343">
        <f t="shared" si="4"/>
        <v>6867301.6400000006</v>
      </c>
      <c r="M104" s="8">
        <f>+Données!F104</f>
        <v>0</v>
      </c>
      <c r="N104" s="8">
        <f>+Données!K104</f>
        <v>58462.05</v>
      </c>
      <c r="O104" s="8">
        <f>(Données!L104/Données!Y104)*1</f>
        <v>681790.85</v>
      </c>
      <c r="P104" s="343">
        <f t="shared" si="5"/>
        <v>7607554.54</v>
      </c>
      <c r="Q104" s="173">
        <f>+Données!X104</f>
        <v>70</v>
      </c>
      <c r="R104" s="343">
        <f t="shared" si="6"/>
        <v>108679.35057142857</v>
      </c>
    </row>
    <row r="105" spans="1:18" x14ac:dyDescent="0.25">
      <c r="A105" s="7">
        <f>Données!A105</f>
        <v>5571</v>
      </c>
      <c r="B105" s="27" t="str">
        <f>Données!B105</f>
        <v>Tévenon</v>
      </c>
      <c r="C105" s="8">
        <f>Données!C105+Données!D105</f>
        <v>1682582.4000000001</v>
      </c>
      <c r="D105" s="8">
        <f>+Données!G105+Données!H105+Données!S105</f>
        <v>1151.1300000000001</v>
      </c>
      <c r="E105" s="8">
        <f>+Données!E105</f>
        <v>0</v>
      </c>
      <c r="F105" s="8">
        <f>+Données!I105</f>
        <v>0</v>
      </c>
      <c r="G105" s="8">
        <f>+Données!J105</f>
        <v>3925.56</v>
      </c>
      <c r="H105" s="8">
        <f>Données!U105</f>
        <v>-13682.47</v>
      </c>
      <c r="I105" s="152">
        <f>Données!V105</f>
        <v>0</v>
      </c>
      <c r="J105" s="152">
        <f>Données!W105</f>
        <v>-24.05</v>
      </c>
      <c r="K105" s="8">
        <f>+Données!Q105</f>
        <v>566.16999999999996</v>
      </c>
      <c r="L105" s="343">
        <f t="shared" si="4"/>
        <v>1674518.74</v>
      </c>
      <c r="M105" s="8">
        <f>+Données!F105</f>
        <v>0</v>
      </c>
      <c r="N105" s="8">
        <f>+Données!K105</f>
        <v>9101.2000000000007</v>
      </c>
      <c r="O105" s="8">
        <f>(Données!L105/Données!Y105)*1</f>
        <v>171860.08333333334</v>
      </c>
      <c r="P105" s="343">
        <f t="shared" si="5"/>
        <v>1855480.0233333332</v>
      </c>
      <c r="Q105" s="173">
        <f>+Données!X105</f>
        <v>71.5</v>
      </c>
      <c r="R105" s="343">
        <f t="shared" si="6"/>
        <v>25950.769557109554</v>
      </c>
    </row>
    <row r="106" spans="1:18" x14ac:dyDescent="0.25">
      <c r="A106" s="7">
        <f>Données!A106</f>
        <v>5581</v>
      </c>
      <c r="B106" s="27" t="str">
        <f>Données!B106</f>
        <v>Belmont-sur-Lausanne</v>
      </c>
      <c r="C106" s="8">
        <f>Données!C106+Données!D106</f>
        <v>14083488.780000001</v>
      </c>
      <c r="D106" s="8">
        <f>+Données!G106+Données!H106+Données!S106</f>
        <v>449893.79</v>
      </c>
      <c r="E106" s="8">
        <f>+Données!E106</f>
        <v>0</v>
      </c>
      <c r="F106" s="8">
        <f>+Données!I106</f>
        <v>844.17</v>
      </c>
      <c r="G106" s="8">
        <f>+Données!J106</f>
        <v>89351.05</v>
      </c>
      <c r="H106" s="8">
        <f>Données!U106</f>
        <v>-54414.71</v>
      </c>
      <c r="I106" s="152">
        <f>Données!V106</f>
        <v>0</v>
      </c>
      <c r="J106" s="152">
        <f>Données!W106</f>
        <v>-13468.27</v>
      </c>
      <c r="K106" s="8">
        <f>+Données!Q106</f>
        <v>1148.98</v>
      </c>
      <c r="L106" s="343">
        <f t="shared" si="4"/>
        <v>14556843.790000001</v>
      </c>
      <c r="M106" s="8">
        <f>+Données!F106</f>
        <v>0</v>
      </c>
      <c r="N106" s="8">
        <f>+Données!K106</f>
        <v>43911.3</v>
      </c>
      <c r="O106" s="8">
        <f>(Données!L106/Données!Y106)*1</f>
        <v>1007845.3666666667</v>
      </c>
      <c r="P106" s="343">
        <f t="shared" si="5"/>
        <v>15608600.456666669</v>
      </c>
      <c r="Q106" s="173">
        <f>+Données!X106</f>
        <v>72</v>
      </c>
      <c r="R106" s="343">
        <f t="shared" si="6"/>
        <v>216786.11745370374</v>
      </c>
    </row>
    <row r="107" spans="1:18" x14ac:dyDescent="0.25">
      <c r="A107" s="7">
        <f>Données!A107</f>
        <v>5582</v>
      </c>
      <c r="B107" s="27" t="str">
        <f>Données!B107</f>
        <v>Cheseaux-sur-Lausanne</v>
      </c>
      <c r="C107" s="8">
        <f>Données!C107+Données!D107</f>
        <v>11130890.809999999</v>
      </c>
      <c r="D107" s="8">
        <f>+Données!G107+Données!H107+Données!S107</f>
        <v>567656.35</v>
      </c>
      <c r="E107" s="8">
        <f>+Données!E107</f>
        <v>0</v>
      </c>
      <c r="F107" s="8">
        <f>+Données!I107</f>
        <v>74875.25</v>
      </c>
      <c r="G107" s="8">
        <f>+Données!J107</f>
        <v>283581.8</v>
      </c>
      <c r="H107" s="8">
        <f>Données!U107</f>
        <v>-96355.06</v>
      </c>
      <c r="I107" s="152">
        <f>Données!V107</f>
        <v>0</v>
      </c>
      <c r="J107" s="152">
        <f>Données!W107</f>
        <v>-1676.85</v>
      </c>
      <c r="K107" s="8">
        <f>+Données!Q107</f>
        <v>46511.49</v>
      </c>
      <c r="L107" s="343">
        <f t="shared" si="4"/>
        <v>12005483.789999999</v>
      </c>
      <c r="M107" s="8">
        <f>+Données!F107</f>
        <v>0</v>
      </c>
      <c r="N107" s="8">
        <f>+Données!K107</f>
        <v>87239.65</v>
      </c>
      <c r="O107" s="8">
        <f>(Données!L107/Données!Y107)*1</f>
        <v>1007288.35</v>
      </c>
      <c r="P107" s="343">
        <f t="shared" si="5"/>
        <v>13100011.789999999</v>
      </c>
      <c r="Q107" s="173">
        <f>+Données!X107</f>
        <v>73</v>
      </c>
      <c r="R107" s="343">
        <f t="shared" si="6"/>
        <v>179452.21630136986</v>
      </c>
    </row>
    <row r="108" spans="1:18" x14ac:dyDescent="0.25">
      <c r="A108" s="7">
        <f>Données!A108</f>
        <v>5583</v>
      </c>
      <c r="B108" s="27" t="str">
        <f>Données!B108</f>
        <v>Crissier</v>
      </c>
      <c r="C108" s="8">
        <f>Données!C108+Données!D108</f>
        <v>14518348.91</v>
      </c>
      <c r="D108" s="8">
        <f>+Données!G108+Données!H108+Données!S108</f>
        <v>4653046.0500000007</v>
      </c>
      <c r="E108" s="8">
        <f>+Données!E108</f>
        <v>0</v>
      </c>
      <c r="F108" s="8">
        <f>+Données!I108</f>
        <v>0</v>
      </c>
      <c r="G108" s="8">
        <f>+Données!J108</f>
        <v>988484.17</v>
      </c>
      <c r="H108" s="8">
        <f>Données!U108</f>
        <v>-274418.74</v>
      </c>
      <c r="I108" s="152">
        <f>Données!V108</f>
        <v>0</v>
      </c>
      <c r="J108" s="152">
        <f>Données!W108</f>
        <v>-6411.42</v>
      </c>
      <c r="K108" s="8">
        <f>+Données!Q108</f>
        <v>79838.33</v>
      </c>
      <c r="L108" s="343">
        <f t="shared" si="4"/>
        <v>19958887.300000001</v>
      </c>
      <c r="M108" s="8">
        <f>+Données!F108</f>
        <v>0</v>
      </c>
      <c r="N108" s="8">
        <f>+Données!K108</f>
        <v>362541.35</v>
      </c>
      <c r="O108" s="8">
        <f>(Données!L108/Données!Y108)*1</f>
        <v>3288126.1</v>
      </c>
      <c r="P108" s="343">
        <f t="shared" si="5"/>
        <v>23609554.750000004</v>
      </c>
      <c r="Q108" s="173">
        <f>+Données!X108</f>
        <v>63.5</v>
      </c>
      <c r="R108" s="343">
        <f t="shared" si="6"/>
        <v>371804.01181102369</v>
      </c>
    </row>
    <row r="109" spans="1:18" x14ac:dyDescent="0.25">
      <c r="A109" s="7">
        <f>Données!A109</f>
        <v>5584</v>
      </c>
      <c r="B109" s="27" t="str">
        <f>Données!B109</f>
        <v>Epalinges</v>
      </c>
      <c r="C109" s="8">
        <f>Données!C109+Données!D109</f>
        <v>27946708.129999999</v>
      </c>
      <c r="D109" s="8">
        <f>+Données!G109+Données!H109+Données!S109</f>
        <v>1533965.99</v>
      </c>
      <c r="E109" s="8">
        <f>+Données!E109</f>
        <v>0</v>
      </c>
      <c r="F109" s="8">
        <f>+Données!I109</f>
        <v>475572.67</v>
      </c>
      <c r="G109" s="8">
        <f>+Données!J109</f>
        <v>445564.76</v>
      </c>
      <c r="H109" s="8">
        <f>Données!U109</f>
        <v>-113106.02</v>
      </c>
      <c r="I109" s="152">
        <f>Données!V109</f>
        <v>0</v>
      </c>
      <c r="J109" s="152">
        <f>Données!W109</f>
        <v>-65853.75</v>
      </c>
      <c r="K109" s="8">
        <f>+Données!Q109</f>
        <v>155599.62</v>
      </c>
      <c r="L109" s="343">
        <f t="shared" si="4"/>
        <v>30378451.400000002</v>
      </c>
      <c r="M109" s="8">
        <f>+Données!F109</f>
        <v>0</v>
      </c>
      <c r="N109" s="8">
        <f>+Données!K109</f>
        <v>343799.25</v>
      </c>
      <c r="O109" s="8">
        <f>(Données!L109/Données!Y109)*1</f>
        <v>2608250.75</v>
      </c>
      <c r="P109" s="343">
        <f t="shared" si="5"/>
        <v>33330501.400000002</v>
      </c>
      <c r="Q109" s="173">
        <f>+Données!X109</f>
        <v>64.5</v>
      </c>
      <c r="R109" s="343">
        <f t="shared" si="6"/>
        <v>516751.95968992251</v>
      </c>
    </row>
    <row r="110" spans="1:18" x14ac:dyDescent="0.25">
      <c r="A110" s="7">
        <f>Données!A110</f>
        <v>5585</v>
      </c>
      <c r="B110" s="27" t="str">
        <f>Données!B110</f>
        <v>Jouxtens-Mézery</v>
      </c>
      <c r="C110" s="8">
        <f>Données!C110+Données!D110</f>
        <v>13855168.73</v>
      </c>
      <c r="D110" s="8">
        <f>+Données!G110+Données!H110+Données!S110</f>
        <v>93355.650000000009</v>
      </c>
      <c r="E110" s="8">
        <f>+Données!E110</f>
        <v>0</v>
      </c>
      <c r="F110" s="8">
        <f>+Données!I110</f>
        <v>446383.87</v>
      </c>
      <c r="G110" s="8">
        <f>+Données!J110</f>
        <v>-23392.42</v>
      </c>
      <c r="H110" s="8">
        <f>Données!U110</f>
        <v>-38656.949999999997</v>
      </c>
      <c r="I110" s="152">
        <f>Données!V110</f>
        <v>0</v>
      </c>
      <c r="J110" s="152">
        <f>Données!W110</f>
        <v>-96612.98</v>
      </c>
      <c r="K110" s="8">
        <f>+Données!Q110</f>
        <v>32.26</v>
      </c>
      <c r="L110" s="343">
        <f t="shared" si="4"/>
        <v>14236278.16</v>
      </c>
      <c r="M110" s="8">
        <f>+Données!F110</f>
        <v>0</v>
      </c>
      <c r="N110" s="8">
        <f>+Données!K110</f>
        <v>13177.5</v>
      </c>
      <c r="O110" s="8">
        <f>(Données!L110/Données!Y110)*1</f>
        <v>599332.24</v>
      </c>
      <c r="P110" s="343">
        <f t="shared" si="5"/>
        <v>14848787.9</v>
      </c>
      <c r="Q110" s="173">
        <f>+Données!X110</f>
        <v>59</v>
      </c>
      <c r="R110" s="343">
        <f t="shared" si="6"/>
        <v>251674.37118644069</v>
      </c>
    </row>
    <row r="111" spans="1:18" x14ac:dyDescent="0.25">
      <c r="A111" s="7">
        <f>Données!A111</f>
        <v>5586</v>
      </c>
      <c r="B111" s="27" t="str">
        <f>Données!B111</f>
        <v>Lausanne</v>
      </c>
      <c r="C111" s="8">
        <f>Données!C111+Données!D111</f>
        <v>364618175.73000002</v>
      </c>
      <c r="D111" s="8">
        <f>+Données!G111+Données!H111+Données!S111</f>
        <v>118530172.96000001</v>
      </c>
      <c r="E111" s="8">
        <f>+Données!E111</f>
        <v>0</v>
      </c>
      <c r="F111" s="8">
        <f>+Données!I111</f>
        <v>5151386.58</v>
      </c>
      <c r="G111" s="8">
        <f>+Données!J111</f>
        <v>23601773.73</v>
      </c>
      <c r="H111" s="8">
        <f>Données!U111</f>
        <v>-6500421.8200000003</v>
      </c>
      <c r="I111" s="152">
        <f>Données!V111</f>
        <v>0</v>
      </c>
      <c r="J111" s="152">
        <f>Données!W111</f>
        <v>-2033938.45</v>
      </c>
      <c r="K111" s="8">
        <f>+Données!Q111</f>
        <v>1965143.05</v>
      </c>
      <c r="L111" s="343">
        <f t="shared" si="4"/>
        <v>505332291.78000009</v>
      </c>
      <c r="M111" s="8">
        <f>+Données!F111</f>
        <v>0</v>
      </c>
      <c r="N111" s="8">
        <f>+Données!K111</f>
        <v>6920743.0999999996</v>
      </c>
      <c r="O111" s="8">
        <f>(Données!L111/Données!Y111)*1</f>
        <v>30600656.533333331</v>
      </c>
      <c r="P111" s="343">
        <f t="shared" si="5"/>
        <v>542853691.41333342</v>
      </c>
      <c r="Q111" s="173">
        <f>+Données!X111</f>
        <v>78.5</v>
      </c>
      <c r="R111" s="343">
        <f t="shared" si="6"/>
        <v>6915333.6485774955</v>
      </c>
    </row>
    <row r="112" spans="1:18" x14ac:dyDescent="0.25">
      <c r="A112" s="7">
        <f>Données!A112</f>
        <v>5587</v>
      </c>
      <c r="B112" s="27" t="str">
        <f>Données!B112</f>
        <v>Le Mont-sur-Lausanne</v>
      </c>
      <c r="C112" s="8">
        <f>Données!C112+Données!D112</f>
        <v>29255990.100000001</v>
      </c>
      <c r="D112" s="8">
        <f>+Données!G112+Données!H112+Données!S112</f>
        <v>3167242.1199999996</v>
      </c>
      <c r="E112" s="8">
        <f>+Données!E112</f>
        <v>0</v>
      </c>
      <c r="F112" s="8">
        <f>+Données!I112</f>
        <v>264034.8</v>
      </c>
      <c r="G112" s="8">
        <f>+Données!J112</f>
        <v>417556.47999999998</v>
      </c>
      <c r="H112" s="8">
        <f>Données!U112</f>
        <v>-506346.92</v>
      </c>
      <c r="I112" s="152">
        <f>Données!V112</f>
        <v>0</v>
      </c>
      <c r="J112" s="152">
        <f>Données!W112</f>
        <v>-67379.3</v>
      </c>
      <c r="K112" s="8">
        <f>+Données!Q112</f>
        <v>382598.33</v>
      </c>
      <c r="L112" s="343">
        <f t="shared" si="4"/>
        <v>32913695.609999999</v>
      </c>
      <c r="M112" s="8">
        <f>+Données!F112</f>
        <v>0</v>
      </c>
      <c r="N112" s="8">
        <f>+Données!K112</f>
        <v>401064.95</v>
      </c>
      <c r="O112" s="8">
        <f>(Données!L112/Données!Y112)*1</f>
        <v>2743817.375</v>
      </c>
      <c r="P112" s="343">
        <f t="shared" si="5"/>
        <v>36058577.935000002</v>
      </c>
      <c r="Q112" s="173">
        <f>+Données!X112</f>
        <v>73.5</v>
      </c>
      <c r="R112" s="343">
        <f t="shared" si="6"/>
        <v>490592.89707482996</v>
      </c>
    </row>
    <row r="113" spans="1:18" x14ac:dyDescent="0.25">
      <c r="A113" s="7">
        <f>Données!A113</f>
        <v>5588</v>
      </c>
      <c r="B113" s="27" t="str">
        <f>Données!B113</f>
        <v>Paudex</v>
      </c>
      <c r="C113" s="8">
        <f>Données!C113+Données!D113</f>
        <v>5745349.6099999994</v>
      </c>
      <c r="D113" s="8">
        <f>+Données!G113+Données!H113+Données!S113</f>
        <v>884603.02000000014</v>
      </c>
      <c r="E113" s="8">
        <f>+Données!E113</f>
        <v>0</v>
      </c>
      <c r="F113" s="8">
        <f>+Données!I113</f>
        <v>482104.17</v>
      </c>
      <c r="G113" s="8">
        <f>+Données!J113</f>
        <v>532266.81000000006</v>
      </c>
      <c r="H113" s="8">
        <f>Données!U113</f>
        <v>-26440.61</v>
      </c>
      <c r="I113" s="152">
        <f>Données!V113</f>
        <v>0</v>
      </c>
      <c r="J113" s="152">
        <f>Données!W113</f>
        <v>-21580.19</v>
      </c>
      <c r="K113" s="8">
        <f>+Données!Q113</f>
        <v>4235.54</v>
      </c>
      <c r="L113" s="343">
        <f t="shared" si="4"/>
        <v>7600538.3499999987</v>
      </c>
      <c r="M113" s="8">
        <f>+Données!F113</f>
        <v>0</v>
      </c>
      <c r="N113" s="8">
        <f>+Données!K113</f>
        <v>45110.45</v>
      </c>
      <c r="O113" s="8">
        <f>(Données!L113/Données!Y113)*1</f>
        <v>562688.71428571432</v>
      </c>
      <c r="P113" s="343">
        <f t="shared" si="5"/>
        <v>8208337.5142857134</v>
      </c>
      <c r="Q113" s="173">
        <f>+Données!X113</f>
        <v>66.5</v>
      </c>
      <c r="R113" s="343">
        <f t="shared" si="6"/>
        <v>123433.64683136411</v>
      </c>
    </row>
    <row r="114" spans="1:18" x14ac:dyDescent="0.25">
      <c r="A114" s="7">
        <f>Données!A114</f>
        <v>5589</v>
      </c>
      <c r="B114" s="27" t="str">
        <f>Données!B114</f>
        <v>Prilly</v>
      </c>
      <c r="C114" s="8">
        <f>Données!C114+Données!D114</f>
        <v>22244294.200000003</v>
      </c>
      <c r="D114" s="8">
        <f>+Données!G114+Données!H114+Données!S114</f>
        <v>6093269.7699999996</v>
      </c>
      <c r="E114" s="8">
        <f>+Données!E114</f>
        <v>0</v>
      </c>
      <c r="F114" s="8">
        <f>+Données!I114</f>
        <v>93420.75</v>
      </c>
      <c r="G114" s="8">
        <f>+Données!J114</f>
        <v>1595548.79</v>
      </c>
      <c r="H114" s="8">
        <f>Données!U114</f>
        <v>-278698.36</v>
      </c>
      <c r="I114" s="152">
        <f>Données!V114</f>
        <v>0</v>
      </c>
      <c r="J114" s="152">
        <f>Données!W114</f>
        <v>-10902.52</v>
      </c>
      <c r="K114" s="8">
        <f>+Données!Q114</f>
        <v>132294.89000000001</v>
      </c>
      <c r="L114" s="343">
        <f t="shared" si="4"/>
        <v>29869227.520000003</v>
      </c>
      <c r="M114" s="8">
        <f>+Données!F114</f>
        <v>0</v>
      </c>
      <c r="N114" s="8">
        <f>+Données!K114</f>
        <v>410387.75</v>
      </c>
      <c r="O114" s="8">
        <f>(Données!L114/Données!Y114)*1</f>
        <v>2365580.3846153845</v>
      </c>
      <c r="P114" s="343">
        <f t="shared" si="5"/>
        <v>32645195.654615387</v>
      </c>
      <c r="Q114" s="173">
        <f>+Données!X114</f>
        <v>72.5</v>
      </c>
      <c r="R114" s="343">
        <f t="shared" si="6"/>
        <v>450278.56075331569</v>
      </c>
    </row>
    <row r="115" spans="1:18" x14ac:dyDescent="0.25">
      <c r="A115" s="7">
        <f>Données!A115</f>
        <v>5590</v>
      </c>
      <c r="B115" s="27" t="str">
        <f>Données!B115</f>
        <v>Pully</v>
      </c>
      <c r="C115" s="8">
        <f>Données!C115+Données!D115</f>
        <v>76201643.5</v>
      </c>
      <c r="D115" s="8">
        <f>+Données!G115+Données!H115+Données!S115</f>
        <v>12965124.74</v>
      </c>
      <c r="E115" s="8">
        <f>+Données!E115</f>
        <v>0</v>
      </c>
      <c r="F115" s="8">
        <f>+Données!I115</f>
        <v>3146844.32</v>
      </c>
      <c r="G115" s="8">
        <f>+Données!J115</f>
        <v>843176.92</v>
      </c>
      <c r="H115" s="8">
        <f>Données!U115</f>
        <v>-412092.12</v>
      </c>
      <c r="I115" s="152">
        <f>Données!V115</f>
        <v>0</v>
      </c>
      <c r="J115" s="152">
        <f>Données!W115</f>
        <v>-1222768.8400000001</v>
      </c>
      <c r="K115" s="8">
        <f>+Données!Q115</f>
        <v>128321.58</v>
      </c>
      <c r="L115" s="343">
        <f t="shared" si="4"/>
        <v>91650250.099999979</v>
      </c>
      <c r="M115" s="8">
        <f>+Données!F115</f>
        <v>0</v>
      </c>
      <c r="N115" s="8">
        <f>+Données!K115</f>
        <v>569851.19999999995</v>
      </c>
      <c r="O115" s="8">
        <f>(Données!L115/Données!Y115)*1</f>
        <v>5713296.2857142864</v>
      </c>
      <c r="P115" s="343">
        <f t="shared" si="5"/>
        <v>97933397.585714266</v>
      </c>
      <c r="Q115" s="173">
        <f>+Données!X115</f>
        <v>61</v>
      </c>
      <c r="R115" s="343">
        <f t="shared" si="6"/>
        <v>1605465.5341920371</v>
      </c>
    </row>
    <row r="116" spans="1:18" x14ac:dyDescent="0.25">
      <c r="A116" s="7">
        <f>Données!A116</f>
        <v>5591</v>
      </c>
      <c r="B116" s="27" t="str">
        <f>Données!B116</f>
        <v>Renens</v>
      </c>
      <c r="C116" s="8">
        <f>Données!C116+Données!D116</f>
        <v>33194299.689999998</v>
      </c>
      <c r="D116" s="8">
        <f>+Données!G116+Données!H116+Données!S116</f>
        <v>9158278.790000001</v>
      </c>
      <c r="E116" s="8">
        <f>+Données!E116</f>
        <v>0</v>
      </c>
      <c r="F116" s="8">
        <f>+Données!I116</f>
        <v>0</v>
      </c>
      <c r="G116" s="8">
        <f>+Données!J116</f>
        <v>2798282.34</v>
      </c>
      <c r="H116" s="8">
        <f>Données!U116</f>
        <v>-1000061.92</v>
      </c>
      <c r="I116" s="152">
        <f>Données!V116</f>
        <v>0</v>
      </c>
      <c r="J116" s="152">
        <f>Données!W116</f>
        <v>-3440.69</v>
      </c>
      <c r="K116" s="8">
        <f>+Données!Q116</f>
        <v>238519.38</v>
      </c>
      <c r="L116" s="343">
        <f t="shared" si="4"/>
        <v>44385877.589999996</v>
      </c>
      <c r="M116" s="8">
        <f>+Données!F116</f>
        <v>0</v>
      </c>
      <c r="N116" s="8">
        <f>+Données!K116</f>
        <v>952349</v>
      </c>
      <c r="O116" s="8">
        <f>(Données!L116/Données!Y116)*1</f>
        <v>3987175.0714285714</v>
      </c>
      <c r="P116" s="343">
        <f t="shared" si="5"/>
        <v>49325401.661428571</v>
      </c>
      <c r="Q116" s="173">
        <f>+Données!X116</f>
        <v>77</v>
      </c>
      <c r="R116" s="343">
        <f t="shared" si="6"/>
        <v>640589.63196660485</v>
      </c>
    </row>
    <row r="117" spans="1:18" x14ac:dyDescent="0.25">
      <c r="A117" s="7">
        <f>Données!A117</f>
        <v>5592</v>
      </c>
      <c r="B117" s="27" t="str">
        <f>Données!B117</f>
        <v>Romanel-sur-Lausanne</v>
      </c>
      <c r="C117" s="8">
        <f>Données!C117+Données!D117</f>
        <v>7571441.4500000002</v>
      </c>
      <c r="D117" s="8">
        <f>+Données!G117+Données!H117+Données!S117</f>
        <v>975631.13000000012</v>
      </c>
      <c r="E117" s="8">
        <f>+Données!E117</f>
        <v>0</v>
      </c>
      <c r="F117" s="8">
        <f>+Données!I117</f>
        <v>0</v>
      </c>
      <c r="G117" s="8">
        <f>+Données!J117</f>
        <v>275419.84999999998</v>
      </c>
      <c r="H117" s="8">
        <f>Données!U117</f>
        <v>-178172.66</v>
      </c>
      <c r="I117" s="152">
        <f>Données!V117</f>
        <v>0</v>
      </c>
      <c r="J117" s="152">
        <f>Données!W117</f>
        <v>-5166.05</v>
      </c>
      <c r="K117" s="8">
        <f>+Données!Q117</f>
        <v>24896.83</v>
      </c>
      <c r="L117" s="343">
        <f t="shared" si="4"/>
        <v>8664050.5499999989</v>
      </c>
      <c r="M117" s="8">
        <f>+Données!F117</f>
        <v>0</v>
      </c>
      <c r="N117" s="8">
        <f>+Données!K117</f>
        <v>125910.1</v>
      </c>
      <c r="O117" s="8">
        <f>(Données!L117/Données!Y117)*1</f>
        <v>797539.96</v>
      </c>
      <c r="P117" s="343">
        <f t="shared" si="5"/>
        <v>9587500.6099999994</v>
      </c>
      <c r="Q117" s="173">
        <f>+Données!X117</f>
        <v>70.5</v>
      </c>
      <c r="R117" s="343">
        <f t="shared" si="6"/>
        <v>135992.91645390069</v>
      </c>
    </row>
    <row r="118" spans="1:18" x14ac:dyDescent="0.25">
      <c r="A118" s="7">
        <f>Données!A118</f>
        <v>5601</v>
      </c>
      <c r="B118" s="27" t="str">
        <f>Données!B118</f>
        <v>Chexbres</v>
      </c>
      <c r="C118" s="8">
        <f>Données!C118+Données!D118</f>
        <v>6218107.7199999997</v>
      </c>
      <c r="D118" s="8">
        <f>+Données!G118+Données!H118+Données!S118</f>
        <v>134282.62999999998</v>
      </c>
      <c r="E118" s="8">
        <f>+Données!E118</f>
        <v>0</v>
      </c>
      <c r="F118" s="8">
        <f>+Données!I118</f>
        <v>-68579.350000000006</v>
      </c>
      <c r="G118" s="8">
        <f>+Données!J118</f>
        <v>77122.63</v>
      </c>
      <c r="H118" s="8">
        <f>Données!U118</f>
        <v>-22511.03</v>
      </c>
      <c r="I118" s="152">
        <f>Données!V118</f>
        <v>0</v>
      </c>
      <c r="J118" s="152">
        <f>Données!W118</f>
        <v>-8062.39</v>
      </c>
      <c r="K118" s="8">
        <f>+Données!Q118</f>
        <v>2301</v>
      </c>
      <c r="L118" s="343">
        <f t="shared" si="4"/>
        <v>6332661.21</v>
      </c>
      <c r="M118" s="8">
        <f>+Données!F118</f>
        <v>0</v>
      </c>
      <c r="N118" s="8">
        <f>+Données!K118</f>
        <v>29634.95</v>
      </c>
      <c r="O118" s="8">
        <f>(Données!L118/Données!Y118)*1</f>
        <v>524168.8</v>
      </c>
      <c r="P118" s="343">
        <f t="shared" si="5"/>
        <v>6886464.96</v>
      </c>
      <c r="Q118" s="173">
        <f>+Données!X118</f>
        <v>67.5</v>
      </c>
      <c r="R118" s="343">
        <f t="shared" si="6"/>
        <v>102021.70311111111</v>
      </c>
    </row>
    <row r="119" spans="1:18" x14ac:dyDescent="0.25">
      <c r="A119" s="7">
        <f>Données!A119</f>
        <v>5604</v>
      </c>
      <c r="B119" s="27" t="str">
        <f>Données!B119</f>
        <v>Forel (Lavaux)</v>
      </c>
      <c r="C119" s="8">
        <f>Données!C119+Données!D119</f>
        <v>4488600.34</v>
      </c>
      <c r="D119" s="8">
        <f>+Données!G119+Données!H119+Données!S119</f>
        <v>243098.38</v>
      </c>
      <c r="E119" s="8">
        <f>+Données!E119</f>
        <v>0</v>
      </c>
      <c r="F119" s="8">
        <f>+Données!I119</f>
        <v>0</v>
      </c>
      <c r="G119" s="8">
        <f>+Données!J119</f>
        <v>75666.44</v>
      </c>
      <c r="H119" s="8">
        <f>Données!U119</f>
        <v>-64137.120000000003</v>
      </c>
      <c r="I119" s="152">
        <f>Données!V119</f>
        <v>0</v>
      </c>
      <c r="J119" s="152">
        <f>Données!W119</f>
        <v>-2371.85</v>
      </c>
      <c r="K119" s="8">
        <f>+Données!Q119</f>
        <v>18677.52</v>
      </c>
      <c r="L119" s="343">
        <f t="shared" si="4"/>
        <v>4759533.71</v>
      </c>
      <c r="M119" s="8">
        <f>+Données!F119</f>
        <v>0</v>
      </c>
      <c r="N119" s="8">
        <f>+Données!K119</f>
        <v>32919.65</v>
      </c>
      <c r="O119" s="8">
        <f>(Données!L119/Données!Y119)*1</f>
        <v>431001.15</v>
      </c>
      <c r="P119" s="343">
        <f t="shared" si="5"/>
        <v>5223454.5100000007</v>
      </c>
      <c r="Q119" s="173">
        <f>+Données!X119</f>
        <v>69</v>
      </c>
      <c r="R119" s="343">
        <f t="shared" si="6"/>
        <v>75702.239275362328</v>
      </c>
    </row>
    <row r="120" spans="1:18" x14ac:dyDescent="0.25">
      <c r="A120" s="7">
        <f>Données!A120</f>
        <v>5606</v>
      </c>
      <c r="B120" s="27" t="str">
        <f>Données!B120</f>
        <v>Lutry</v>
      </c>
      <c r="C120" s="8">
        <f>Données!C120+Données!D120</f>
        <v>44559589.629999995</v>
      </c>
      <c r="D120" s="8">
        <f>+Données!G120+Données!H120+Données!S120</f>
        <v>4820755.01</v>
      </c>
      <c r="E120" s="8">
        <f>+Données!E120</f>
        <v>0</v>
      </c>
      <c r="F120" s="8">
        <f>+Données!I120</f>
        <v>1157579.3400000001</v>
      </c>
      <c r="G120" s="8">
        <f>+Données!J120</f>
        <v>161565.45000000001</v>
      </c>
      <c r="H120" s="8">
        <f>Données!U120</f>
        <v>-233483.2</v>
      </c>
      <c r="I120" s="152">
        <f>Données!V120</f>
        <v>0</v>
      </c>
      <c r="J120" s="152">
        <f>Données!W120</f>
        <v>-417653.11</v>
      </c>
      <c r="K120" s="8">
        <f>+Données!Q120</f>
        <v>48994.89</v>
      </c>
      <c r="L120" s="343">
        <f t="shared" si="4"/>
        <v>50097348.009999998</v>
      </c>
      <c r="M120" s="8">
        <f>+Données!F120</f>
        <v>0</v>
      </c>
      <c r="N120" s="8">
        <f>+Données!K120</f>
        <v>208963</v>
      </c>
      <c r="O120" s="8">
        <f>(Données!L120/Données!Y120)*1</f>
        <v>3547465.4285714286</v>
      </c>
      <c r="P120" s="343">
        <f t="shared" si="5"/>
        <v>53853776.438571423</v>
      </c>
      <c r="Q120" s="173">
        <f>+Données!X120</f>
        <v>54</v>
      </c>
      <c r="R120" s="343">
        <f t="shared" si="6"/>
        <v>997292.15626984113</v>
      </c>
    </row>
    <row r="121" spans="1:18" x14ac:dyDescent="0.25">
      <c r="A121" s="7">
        <f>Données!A121</f>
        <v>5607</v>
      </c>
      <c r="B121" s="27" t="str">
        <f>Données!B121</f>
        <v>Puidoux</v>
      </c>
      <c r="C121" s="8">
        <f>Données!C121+Données!D121</f>
        <v>6982764.7999999998</v>
      </c>
      <c r="D121" s="8">
        <f>+Données!G121+Données!H121+Données!S121</f>
        <v>1125577.1300000001</v>
      </c>
      <c r="E121" s="8">
        <f>+Données!E121</f>
        <v>0</v>
      </c>
      <c r="F121" s="8">
        <f>+Données!I121</f>
        <v>11.45</v>
      </c>
      <c r="G121" s="8">
        <f>+Données!J121</f>
        <v>263748.02</v>
      </c>
      <c r="H121" s="8">
        <f>Données!U121</f>
        <v>-81954.31</v>
      </c>
      <c r="I121" s="152">
        <f>Données!V121</f>
        <v>0</v>
      </c>
      <c r="J121" s="152">
        <f>Données!W121</f>
        <v>-3346.3</v>
      </c>
      <c r="K121" s="8">
        <f>+Données!Q121</f>
        <v>3238.17</v>
      </c>
      <c r="L121" s="343">
        <f t="shared" si="4"/>
        <v>8290038.9600000009</v>
      </c>
      <c r="M121" s="8">
        <f>+Données!F121</f>
        <v>0</v>
      </c>
      <c r="N121" s="8">
        <f>+Données!K121</f>
        <v>113200.45</v>
      </c>
      <c r="O121" s="8">
        <f>(Données!L121/Données!Y121)*1</f>
        <v>820883.43478260876</v>
      </c>
      <c r="P121" s="343">
        <f t="shared" si="5"/>
        <v>9224122.8447826095</v>
      </c>
      <c r="Q121" s="173">
        <f>+Données!X121</f>
        <v>68.5</v>
      </c>
      <c r="R121" s="343">
        <f t="shared" si="6"/>
        <v>134658.72766105999</v>
      </c>
    </row>
    <row r="122" spans="1:18" x14ac:dyDescent="0.25">
      <c r="A122" s="7">
        <f>Données!A122</f>
        <v>5609</v>
      </c>
      <c r="B122" s="27" t="str">
        <f>Données!B122</f>
        <v>Rivaz</v>
      </c>
      <c r="C122" s="8">
        <f>Données!C122+Données!D122</f>
        <v>778376.57</v>
      </c>
      <c r="D122" s="8">
        <f>+Données!G122+Données!H122+Données!S122</f>
        <v>5817.81</v>
      </c>
      <c r="E122" s="8">
        <f>+Données!E122</f>
        <v>0</v>
      </c>
      <c r="F122" s="8">
        <f>+Données!I122</f>
        <v>0</v>
      </c>
      <c r="G122" s="8">
        <f>+Données!J122</f>
        <v>22720.53</v>
      </c>
      <c r="H122" s="8">
        <f>Données!U122</f>
        <v>-7134.72</v>
      </c>
      <c r="I122" s="152">
        <f>Données!V122</f>
        <v>0</v>
      </c>
      <c r="J122" s="152">
        <f>Données!W122</f>
        <v>-386.9</v>
      </c>
      <c r="K122" s="8">
        <f>+Données!Q122</f>
        <v>0</v>
      </c>
      <c r="L122" s="343">
        <f t="shared" si="4"/>
        <v>799393.29</v>
      </c>
      <c r="M122" s="8">
        <f>+Données!F122</f>
        <v>0</v>
      </c>
      <c r="N122" s="8">
        <f>+Données!K122</f>
        <v>1397.9</v>
      </c>
      <c r="O122" s="8">
        <f>(Données!L122/Données!Y122)*1</f>
        <v>65962.149999999994</v>
      </c>
      <c r="P122" s="343">
        <f t="shared" si="5"/>
        <v>866753.34000000008</v>
      </c>
      <c r="Q122" s="173">
        <f>+Données!X122</f>
        <v>62</v>
      </c>
      <c r="R122" s="343">
        <f t="shared" si="6"/>
        <v>13979.892580645163</v>
      </c>
    </row>
    <row r="123" spans="1:18" x14ac:dyDescent="0.25">
      <c r="A123" s="7">
        <f>Données!A123</f>
        <v>5610</v>
      </c>
      <c r="B123" s="27" t="str">
        <f>Données!B123</f>
        <v>St-Saphorin (Lavaux)</v>
      </c>
      <c r="C123" s="8">
        <f>Données!C123+Données!D123</f>
        <v>1260071.8399999999</v>
      </c>
      <c r="D123" s="8">
        <f>+Données!G123+Données!H123+Données!S123</f>
        <v>14411.61</v>
      </c>
      <c r="E123" s="8">
        <f>+Données!E123</f>
        <v>0</v>
      </c>
      <c r="F123" s="8">
        <f>+Données!I123</f>
        <v>701.95</v>
      </c>
      <c r="G123" s="8">
        <f>+Données!J123</f>
        <v>2721.32</v>
      </c>
      <c r="H123" s="8">
        <f>Données!U123</f>
        <v>-7396.19</v>
      </c>
      <c r="I123" s="152">
        <f>Données!V123</f>
        <v>0</v>
      </c>
      <c r="J123" s="152">
        <f>Données!W123</f>
        <v>-3733.36</v>
      </c>
      <c r="K123" s="8">
        <f>+Données!Q123</f>
        <v>1886.67</v>
      </c>
      <c r="L123" s="343">
        <f t="shared" si="4"/>
        <v>1268663.8399999999</v>
      </c>
      <c r="M123" s="8">
        <f>+Données!F123</f>
        <v>0</v>
      </c>
      <c r="N123" s="8">
        <f>+Données!K123</f>
        <v>6811.15</v>
      </c>
      <c r="O123" s="8">
        <f>(Données!L123/Données!Y123)*1</f>
        <v>113171.54166666667</v>
      </c>
      <c r="P123" s="343">
        <f t="shared" si="5"/>
        <v>1388646.5316666665</v>
      </c>
      <c r="Q123" s="173">
        <f>+Données!X123</f>
        <v>72</v>
      </c>
      <c r="R123" s="343">
        <f t="shared" si="6"/>
        <v>19286.757384259257</v>
      </c>
    </row>
    <row r="124" spans="1:18" x14ac:dyDescent="0.25">
      <c r="A124" s="7">
        <f>Données!A124</f>
        <v>5611</v>
      </c>
      <c r="B124" s="27" t="str">
        <f>Données!B124</f>
        <v>Savigny</v>
      </c>
      <c r="C124" s="8">
        <f>Données!C124+Données!D124</f>
        <v>8639550.7599999998</v>
      </c>
      <c r="D124" s="8">
        <f>+Données!G124+Données!H124+Données!S124</f>
        <v>391722.26</v>
      </c>
      <c r="E124" s="8">
        <f>+Données!E124</f>
        <v>0</v>
      </c>
      <c r="F124" s="8">
        <f>+Données!I124</f>
        <v>120612.73</v>
      </c>
      <c r="G124" s="8">
        <f>+Données!J124</f>
        <v>92950.86</v>
      </c>
      <c r="H124" s="8">
        <f>Données!U124</f>
        <v>-60652.71</v>
      </c>
      <c r="I124" s="152">
        <f>Données!V124</f>
        <v>0</v>
      </c>
      <c r="J124" s="152">
        <f>Données!W124</f>
        <v>-10289.61</v>
      </c>
      <c r="K124" s="8">
        <f>+Données!Q124</f>
        <v>10803.51</v>
      </c>
      <c r="L124" s="343">
        <f t="shared" si="4"/>
        <v>9184697.7999999989</v>
      </c>
      <c r="M124" s="8">
        <f>+Données!F124</f>
        <v>0</v>
      </c>
      <c r="N124" s="8">
        <f>+Données!K124</f>
        <v>26490.85</v>
      </c>
      <c r="O124" s="8">
        <f>(Données!L124/Données!Y124)*1</f>
        <v>718115.29166666663</v>
      </c>
      <c r="P124" s="343">
        <f t="shared" si="5"/>
        <v>9929303.9416666646</v>
      </c>
      <c r="Q124" s="173">
        <f>+Données!X124</f>
        <v>69</v>
      </c>
      <c r="R124" s="343">
        <f t="shared" si="6"/>
        <v>143902.95567632848</v>
      </c>
    </row>
    <row r="125" spans="1:18" x14ac:dyDescent="0.25">
      <c r="A125" s="7">
        <f>Données!A125</f>
        <v>5613</v>
      </c>
      <c r="B125" s="27" t="str">
        <f>Données!B125</f>
        <v>Bourg-en-Lavaux</v>
      </c>
      <c r="C125" s="8">
        <f>Données!C125+Données!D125</f>
        <v>20531308.170000002</v>
      </c>
      <c r="D125" s="8">
        <f>+Données!G125+Données!H125+Données!S125</f>
        <v>284252.32</v>
      </c>
      <c r="E125" s="8">
        <f>+Données!E125</f>
        <v>0</v>
      </c>
      <c r="F125" s="8">
        <f>+Données!I125</f>
        <v>20990.15</v>
      </c>
      <c r="G125" s="8">
        <f>+Données!J125</f>
        <v>420595.92</v>
      </c>
      <c r="H125" s="8">
        <f>Données!U125</f>
        <v>-160073.73000000001</v>
      </c>
      <c r="I125" s="152">
        <f>Données!V125</f>
        <v>0</v>
      </c>
      <c r="J125" s="152">
        <f>Données!W125</f>
        <v>-62761.26</v>
      </c>
      <c r="K125" s="8">
        <f>+Données!Q125</f>
        <v>33134.18</v>
      </c>
      <c r="L125" s="343">
        <f t="shared" si="4"/>
        <v>21067445.75</v>
      </c>
      <c r="M125" s="8">
        <f>+Données!F125</f>
        <v>0</v>
      </c>
      <c r="N125" s="8">
        <f>+Données!K125</f>
        <v>46058.25</v>
      </c>
      <c r="O125" s="8">
        <f>(Données!L125/Données!Y125)*1</f>
        <v>1626094</v>
      </c>
      <c r="P125" s="343">
        <f t="shared" si="5"/>
        <v>22739598</v>
      </c>
      <c r="Q125" s="173">
        <f>+Données!X125</f>
        <v>62.5</v>
      </c>
      <c r="R125" s="343">
        <f t="shared" si="6"/>
        <v>363833.56800000003</v>
      </c>
    </row>
    <row r="126" spans="1:18" x14ac:dyDescent="0.25">
      <c r="A126" s="7">
        <f>Données!A126</f>
        <v>5621</v>
      </c>
      <c r="B126" s="27" t="str">
        <f>Données!B126</f>
        <v>Aclens</v>
      </c>
      <c r="C126" s="8">
        <f>Données!C126+Données!D126</f>
        <v>1390760.18</v>
      </c>
      <c r="D126" s="8">
        <f>+Données!G126+Données!H126+Données!S126</f>
        <v>271233.07999999996</v>
      </c>
      <c r="E126" s="8">
        <f>+Données!E126</f>
        <v>0</v>
      </c>
      <c r="F126" s="8">
        <f>+Données!I126</f>
        <v>0</v>
      </c>
      <c r="G126" s="8">
        <f>+Données!J126</f>
        <v>94589.08</v>
      </c>
      <c r="H126" s="8">
        <f>Données!U126</f>
        <v>-7774.95</v>
      </c>
      <c r="I126" s="152">
        <f>Données!V126</f>
        <v>0</v>
      </c>
      <c r="J126" s="152">
        <f>Données!W126</f>
        <v>-22.65</v>
      </c>
      <c r="K126" s="8">
        <f>+Données!Q126</f>
        <v>0</v>
      </c>
      <c r="L126" s="343">
        <f t="shared" si="4"/>
        <v>1748784.74</v>
      </c>
      <c r="M126" s="8">
        <f>+Données!F126</f>
        <v>0</v>
      </c>
      <c r="N126" s="8">
        <f>+Données!K126</f>
        <v>35577.75</v>
      </c>
      <c r="O126" s="8">
        <f>(Données!L126/Données!Y126)*1</f>
        <v>310476.77272727271</v>
      </c>
      <c r="P126" s="343">
        <f t="shared" si="5"/>
        <v>2094839.2627272727</v>
      </c>
      <c r="Q126" s="173">
        <f>+Données!X126</f>
        <v>62</v>
      </c>
      <c r="R126" s="343">
        <f t="shared" si="6"/>
        <v>33787.730043988267</v>
      </c>
    </row>
    <row r="127" spans="1:18" x14ac:dyDescent="0.25">
      <c r="A127" s="7">
        <f>Données!A127</f>
        <v>5622</v>
      </c>
      <c r="B127" s="27" t="str">
        <f>Données!B127</f>
        <v>Bremblens</v>
      </c>
      <c r="C127" s="8">
        <f>Données!C127+Données!D127</f>
        <v>1782992.3399999999</v>
      </c>
      <c r="D127" s="8">
        <f>+Données!G127+Données!H127+Données!S127</f>
        <v>84108.57</v>
      </c>
      <c r="E127" s="8">
        <f>+Données!E127</f>
        <v>0</v>
      </c>
      <c r="F127" s="8">
        <f>+Données!I127</f>
        <v>0</v>
      </c>
      <c r="G127" s="8">
        <f>+Données!J127</f>
        <v>8129.29</v>
      </c>
      <c r="H127" s="8">
        <f>Données!U127</f>
        <v>-13188.96</v>
      </c>
      <c r="I127" s="152">
        <f>Données!V127</f>
        <v>0</v>
      </c>
      <c r="J127" s="152">
        <f>Données!W127</f>
        <v>-417.04</v>
      </c>
      <c r="K127" s="8">
        <f>+Données!Q127</f>
        <v>505.07</v>
      </c>
      <c r="L127" s="343">
        <f t="shared" si="4"/>
        <v>1862129.27</v>
      </c>
      <c r="M127" s="8">
        <f>+Données!F127</f>
        <v>0</v>
      </c>
      <c r="N127" s="8">
        <f>+Données!K127</f>
        <v>7305.7</v>
      </c>
      <c r="O127" s="8">
        <f>(Données!L127/Données!Y127)*1</f>
        <v>164127.5</v>
      </c>
      <c r="P127" s="343">
        <f t="shared" si="5"/>
        <v>2033562.47</v>
      </c>
      <c r="Q127" s="173">
        <f>+Données!X127</f>
        <v>68</v>
      </c>
      <c r="R127" s="343">
        <f t="shared" si="6"/>
        <v>29905.330441176469</v>
      </c>
    </row>
    <row r="128" spans="1:18" x14ac:dyDescent="0.25">
      <c r="A128" s="7">
        <f>Données!A128</f>
        <v>5623</v>
      </c>
      <c r="B128" s="27" t="str">
        <f>Données!B128</f>
        <v>Buchillon</v>
      </c>
      <c r="C128" s="8">
        <f>Données!C128+Données!D128</f>
        <v>4126801.93</v>
      </c>
      <c r="D128" s="8">
        <f>+Données!G128+Données!H128+Données!S128</f>
        <v>247937.91</v>
      </c>
      <c r="E128" s="8">
        <f>+Données!E128</f>
        <v>0</v>
      </c>
      <c r="F128" s="8">
        <f>+Données!I128</f>
        <v>162115.85</v>
      </c>
      <c r="G128" s="8">
        <f>+Données!J128</f>
        <v>-2896.32</v>
      </c>
      <c r="H128" s="8">
        <f>Données!U128</f>
        <v>-7832.05</v>
      </c>
      <c r="I128" s="152">
        <f>Données!V128</f>
        <v>0</v>
      </c>
      <c r="J128" s="152">
        <f>Données!W128</f>
        <v>-12338.85</v>
      </c>
      <c r="K128" s="8">
        <f>+Données!Q128</f>
        <v>964.09</v>
      </c>
      <c r="L128" s="343">
        <f t="shared" si="4"/>
        <v>4514752.5599999996</v>
      </c>
      <c r="M128" s="8">
        <f>+Données!F128</f>
        <v>0</v>
      </c>
      <c r="N128" s="8">
        <f>+Données!K128</f>
        <v>3049</v>
      </c>
      <c r="O128" s="8">
        <f>(Données!L128/Données!Y128)*1</f>
        <v>383053.6</v>
      </c>
      <c r="P128" s="343">
        <f t="shared" si="5"/>
        <v>4900855.1599999992</v>
      </c>
      <c r="Q128" s="173">
        <f>+Données!X128</f>
        <v>52</v>
      </c>
      <c r="R128" s="343">
        <f t="shared" si="6"/>
        <v>94247.214615384597</v>
      </c>
    </row>
    <row r="129" spans="1:18" x14ac:dyDescent="0.25">
      <c r="A129" s="7">
        <f>Données!A129</f>
        <v>5624</v>
      </c>
      <c r="B129" s="27" t="str">
        <f>Données!B129</f>
        <v>Bussigny</v>
      </c>
      <c r="C129" s="8">
        <f>Données!C129+Données!D129</f>
        <v>18717070.57</v>
      </c>
      <c r="D129" s="8">
        <f>+Données!G129+Données!H129+Données!S129</f>
        <v>3383558.23</v>
      </c>
      <c r="E129" s="8">
        <f>+Données!E129</f>
        <v>0</v>
      </c>
      <c r="F129" s="8">
        <f>+Données!I129</f>
        <v>0</v>
      </c>
      <c r="G129" s="8">
        <f>+Données!J129</f>
        <v>847901.82</v>
      </c>
      <c r="H129" s="8">
        <f>Données!U129</f>
        <v>-249617.01</v>
      </c>
      <c r="I129" s="152">
        <f>Données!V129</f>
        <v>0</v>
      </c>
      <c r="J129" s="152">
        <f>Données!W129</f>
        <v>-3052.1</v>
      </c>
      <c r="K129" s="8">
        <f>+Données!Q129</f>
        <v>29595.65</v>
      </c>
      <c r="L129" s="343">
        <f t="shared" si="4"/>
        <v>22725457.159999996</v>
      </c>
      <c r="M129" s="8">
        <f>+Données!F129</f>
        <v>0</v>
      </c>
      <c r="N129" s="8">
        <f>+Données!K129</f>
        <v>490647</v>
      </c>
      <c r="O129" s="8">
        <f>(Données!L129/Données!Y129)*1</f>
        <v>2543022.7600000002</v>
      </c>
      <c r="P129" s="343">
        <f t="shared" si="5"/>
        <v>25759126.919999998</v>
      </c>
      <c r="Q129" s="173">
        <f>+Données!X129</f>
        <v>62.5</v>
      </c>
      <c r="R129" s="343">
        <f t="shared" si="6"/>
        <v>412146.03071999998</v>
      </c>
    </row>
    <row r="130" spans="1:18" x14ac:dyDescent="0.25">
      <c r="A130" s="7">
        <f>Données!A130</f>
        <v>5627</v>
      </c>
      <c r="B130" s="27" t="str">
        <f>Données!B130</f>
        <v>Chavannes-près-Renens</v>
      </c>
      <c r="C130" s="8">
        <f>Données!C130+Données!D130</f>
        <v>11368388.1</v>
      </c>
      <c r="D130" s="8">
        <f>+Données!G130+Données!H130+Données!S130</f>
        <v>1545618.14</v>
      </c>
      <c r="E130" s="8">
        <f>+Données!E130</f>
        <v>0</v>
      </c>
      <c r="F130" s="8">
        <f>+Données!I130</f>
        <v>0</v>
      </c>
      <c r="G130" s="8">
        <f>+Données!J130</f>
        <v>1008499.9</v>
      </c>
      <c r="H130" s="8">
        <f>Données!U130</f>
        <v>-293203.90000000002</v>
      </c>
      <c r="I130" s="152">
        <f>Données!V130</f>
        <v>0</v>
      </c>
      <c r="J130" s="152">
        <f>Données!W130</f>
        <v>-2450.71</v>
      </c>
      <c r="K130" s="8">
        <f>+Données!Q130</f>
        <v>47005.56</v>
      </c>
      <c r="L130" s="343">
        <f t="shared" si="4"/>
        <v>13673857.09</v>
      </c>
      <c r="M130" s="8">
        <f>+Données!F130</f>
        <v>0</v>
      </c>
      <c r="N130" s="8">
        <f>+Données!K130</f>
        <v>397209.75</v>
      </c>
      <c r="O130" s="8">
        <f>(Données!L130/Données!Y130)*1</f>
        <v>1255051.4000000001</v>
      </c>
      <c r="P130" s="343">
        <f t="shared" si="5"/>
        <v>15326118.24</v>
      </c>
      <c r="Q130" s="173">
        <f>+Données!X130</f>
        <v>77.5</v>
      </c>
      <c r="R130" s="343">
        <f t="shared" si="6"/>
        <v>197756.36438709678</v>
      </c>
    </row>
    <row r="131" spans="1:18" x14ac:dyDescent="0.25">
      <c r="A131" s="7">
        <f>Données!A131</f>
        <v>5628</v>
      </c>
      <c r="B131" s="27" t="str">
        <f>Données!B131</f>
        <v>Chigny</v>
      </c>
      <c r="C131" s="8">
        <f>Données!C131+Données!D131</f>
        <v>1718574.32</v>
      </c>
      <c r="D131" s="8">
        <f>+Données!G131+Données!H131+Données!S131</f>
        <v>10907.88</v>
      </c>
      <c r="E131" s="8">
        <f>+Données!E131</f>
        <v>0</v>
      </c>
      <c r="F131" s="8">
        <f>+Données!I131</f>
        <v>0</v>
      </c>
      <c r="G131" s="8">
        <f>+Données!J131</f>
        <v>23677.25</v>
      </c>
      <c r="H131" s="8">
        <f>Données!U131</f>
        <v>-16900.490000000002</v>
      </c>
      <c r="I131" s="152">
        <f>Données!V131</f>
        <v>0</v>
      </c>
      <c r="J131" s="152">
        <f>Données!W131</f>
        <v>-1659.3</v>
      </c>
      <c r="K131" s="8">
        <f>+Données!Q131</f>
        <v>0</v>
      </c>
      <c r="L131" s="343">
        <f t="shared" si="4"/>
        <v>1734599.66</v>
      </c>
      <c r="M131" s="8">
        <f>+Données!F131</f>
        <v>0</v>
      </c>
      <c r="N131" s="8">
        <f>+Données!K131</f>
        <v>-6306</v>
      </c>
      <c r="O131" s="8">
        <f>(Données!L131/Données!Y131)*1</f>
        <v>113188.3</v>
      </c>
      <c r="P131" s="343">
        <f t="shared" si="5"/>
        <v>1841481.96</v>
      </c>
      <c r="Q131" s="173">
        <f>+Données!X131</f>
        <v>62</v>
      </c>
      <c r="R131" s="343">
        <f t="shared" si="6"/>
        <v>29701.321935483869</v>
      </c>
    </row>
    <row r="132" spans="1:18" x14ac:dyDescent="0.25">
      <c r="A132" s="7">
        <f>Données!A132</f>
        <v>5629</v>
      </c>
      <c r="B132" s="27" t="str">
        <f>Données!B132</f>
        <v>Clarmont</v>
      </c>
      <c r="C132" s="8">
        <f>Données!C132+Données!D132</f>
        <v>760852.38</v>
      </c>
      <c r="D132" s="8">
        <f>+Données!G132+Données!H132+Données!S132</f>
        <v>6398.28</v>
      </c>
      <c r="E132" s="8">
        <f>+Données!E132</f>
        <v>0</v>
      </c>
      <c r="F132" s="8">
        <f>+Données!I132</f>
        <v>0</v>
      </c>
      <c r="G132" s="8">
        <f>+Données!J132</f>
        <v>812.77</v>
      </c>
      <c r="H132" s="8">
        <f>Données!U132</f>
        <v>-68.489999999999995</v>
      </c>
      <c r="I132" s="152">
        <f>Données!V132</f>
        <v>0</v>
      </c>
      <c r="J132" s="152">
        <f>Données!W132</f>
        <v>-70.849999999999994</v>
      </c>
      <c r="K132" s="8">
        <f>+Données!Q132</f>
        <v>0</v>
      </c>
      <c r="L132" s="343">
        <f t="shared" si="4"/>
        <v>767924.09000000008</v>
      </c>
      <c r="M132" s="8">
        <f>+Données!F132</f>
        <v>0</v>
      </c>
      <c r="N132" s="8">
        <f>+Données!K132</f>
        <v>537</v>
      </c>
      <c r="O132" s="8">
        <f>(Données!L132/Données!Y132)*1</f>
        <v>39015</v>
      </c>
      <c r="P132" s="343">
        <f t="shared" si="5"/>
        <v>807476.09000000008</v>
      </c>
      <c r="Q132" s="173">
        <f>+Données!X132</f>
        <v>72</v>
      </c>
      <c r="R132" s="343">
        <f t="shared" si="6"/>
        <v>11214.945694444446</v>
      </c>
    </row>
    <row r="133" spans="1:18" x14ac:dyDescent="0.25">
      <c r="A133" s="7">
        <f>Données!A133</f>
        <v>5631</v>
      </c>
      <c r="B133" s="27" t="str">
        <f>Données!B133</f>
        <v>Denens</v>
      </c>
      <c r="C133" s="8">
        <f>Données!C133+Données!D133</f>
        <v>2480705.23</v>
      </c>
      <c r="D133" s="8">
        <f>+Données!G133+Données!H133+Données!S133</f>
        <v>210189.38</v>
      </c>
      <c r="E133" s="8">
        <f>+Données!E133</f>
        <v>0</v>
      </c>
      <c r="F133" s="8">
        <f>+Données!I133</f>
        <v>195003.85</v>
      </c>
      <c r="G133" s="8">
        <f>+Données!J133</f>
        <v>12061.65</v>
      </c>
      <c r="H133" s="8">
        <f>Données!U133</f>
        <v>-31988.799999999999</v>
      </c>
      <c r="I133" s="152">
        <f>Données!V133</f>
        <v>0</v>
      </c>
      <c r="J133" s="152">
        <f>Données!W133</f>
        <v>-3390.71</v>
      </c>
      <c r="K133" s="8">
        <f>+Données!Q133</f>
        <v>0</v>
      </c>
      <c r="L133" s="343">
        <f t="shared" si="4"/>
        <v>2862580.6</v>
      </c>
      <c r="M133" s="8">
        <f>+Données!F133</f>
        <v>0</v>
      </c>
      <c r="N133" s="8">
        <f>+Données!K133</f>
        <v>2656.15</v>
      </c>
      <c r="O133" s="8">
        <f>(Données!L133/Données!Y133)*1</f>
        <v>222279.95</v>
      </c>
      <c r="P133" s="343">
        <f t="shared" si="5"/>
        <v>3087516.7</v>
      </c>
      <c r="Q133" s="173">
        <f>+Données!X133</f>
        <v>65</v>
      </c>
      <c r="R133" s="343">
        <f t="shared" si="6"/>
        <v>47500.25692307693</v>
      </c>
    </row>
    <row r="134" spans="1:18" x14ac:dyDescent="0.25">
      <c r="A134" s="7">
        <f>Données!A134</f>
        <v>5632</v>
      </c>
      <c r="B134" s="27" t="str">
        <f>Données!B134</f>
        <v>Denges</v>
      </c>
      <c r="C134" s="8">
        <f>Données!C134+Données!D134</f>
        <v>4592806.6500000004</v>
      </c>
      <c r="D134" s="8">
        <f>+Données!G134+Données!H134+Données!S134</f>
        <v>348229.29</v>
      </c>
      <c r="E134" s="8">
        <f>+Données!E134</f>
        <v>0</v>
      </c>
      <c r="F134" s="8">
        <f>+Données!I134</f>
        <v>0</v>
      </c>
      <c r="G134" s="8">
        <f>+Données!J134</f>
        <v>244661.84</v>
      </c>
      <c r="H134" s="8">
        <f>Données!U134</f>
        <v>-46486.239999999998</v>
      </c>
      <c r="I134" s="152">
        <f>Données!V134</f>
        <v>0</v>
      </c>
      <c r="J134" s="152">
        <f>Données!W134</f>
        <v>-2029.35</v>
      </c>
      <c r="K134" s="8">
        <f>+Données!Q134</f>
        <v>14714.24</v>
      </c>
      <c r="L134" s="343">
        <f t="shared" si="4"/>
        <v>5151896.4300000006</v>
      </c>
      <c r="M134" s="8">
        <f>+Données!F134</f>
        <v>0</v>
      </c>
      <c r="N134" s="8">
        <f>+Données!K134</f>
        <v>26164.6</v>
      </c>
      <c r="O134" s="8">
        <f>(Données!L134/Données!Y134)*1</f>
        <v>390482.4</v>
      </c>
      <c r="P134" s="343">
        <f t="shared" si="5"/>
        <v>5568543.4300000006</v>
      </c>
      <c r="Q134" s="173">
        <f>+Données!X134</f>
        <v>62</v>
      </c>
      <c r="R134" s="343">
        <f t="shared" si="6"/>
        <v>89815.216612903241</v>
      </c>
    </row>
    <row r="135" spans="1:18" x14ac:dyDescent="0.25">
      <c r="A135" s="7">
        <f>Données!A135</f>
        <v>5633</v>
      </c>
      <c r="B135" s="27" t="str">
        <f>Données!B135</f>
        <v>Echandens</v>
      </c>
      <c r="C135" s="8">
        <f>Données!C135+Données!D135</f>
        <v>7545488.0999999996</v>
      </c>
      <c r="D135" s="8">
        <f>+Données!G135+Données!H135+Données!S135</f>
        <v>488867.04000000004</v>
      </c>
      <c r="E135" s="8">
        <f>+Données!E135</f>
        <v>0</v>
      </c>
      <c r="F135" s="8">
        <f>+Données!I135</f>
        <v>0</v>
      </c>
      <c r="G135" s="8">
        <f>+Données!J135</f>
        <v>221652.51</v>
      </c>
      <c r="H135" s="8">
        <f>Données!U135</f>
        <v>-85067.25</v>
      </c>
      <c r="I135" s="152">
        <f>Données!V135</f>
        <v>0</v>
      </c>
      <c r="J135" s="152">
        <f>Données!W135</f>
        <v>-10287.950000000001</v>
      </c>
      <c r="K135" s="8">
        <f>+Données!Q135</f>
        <v>6283.42</v>
      </c>
      <c r="L135" s="343">
        <f t="shared" ref="L135:L198" si="7">SUM(C135:K135)</f>
        <v>8166935.8699999992</v>
      </c>
      <c r="M135" s="8">
        <f>+Données!F135</f>
        <v>0</v>
      </c>
      <c r="N135" s="8">
        <f>+Données!K135</f>
        <v>241.85</v>
      </c>
      <c r="O135" s="8">
        <f>(Données!L135/Données!Y135)*1</f>
        <v>703148.8</v>
      </c>
      <c r="P135" s="343">
        <f t="shared" ref="P135:P198" si="8">SUM(L135:O135)</f>
        <v>8870326.5199999996</v>
      </c>
      <c r="Q135" s="173">
        <f>+Données!X135</f>
        <v>60.5</v>
      </c>
      <c r="R135" s="343">
        <f t="shared" ref="R135:R198" si="9">P135/Q135</f>
        <v>146616.96727272726</v>
      </c>
    </row>
    <row r="136" spans="1:18" x14ac:dyDescent="0.25">
      <c r="A136" s="7">
        <f>Données!A136</f>
        <v>5634</v>
      </c>
      <c r="B136" s="27" t="str">
        <f>Données!B136</f>
        <v>Echichens</v>
      </c>
      <c r="C136" s="8">
        <f>Données!C136+Données!D136</f>
        <v>10930729.68</v>
      </c>
      <c r="D136" s="8">
        <f>+Données!G136+Données!H136+Données!S136</f>
        <v>177779.54</v>
      </c>
      <c r="E136" s="8">
        <f>+Données!E136</f>
        <v>0</v>
      </c>
      <c r="F136" s="8">
        <f>+Données!I136</f>
        <v>23297.200000000001</v>
      </c>
      <c r="G136" s="8">
        <f>+Données!J136</f>
        <v>41863.08</v>
      </c>
      <c r="H136" s="8">
        <f>Données!U136</f>
        <v>-18616.57</v>
      </c>
      <c r="I136" s="152">
        <f>Données!V136</f>
        <v>0</v>
      </c>
      <c r="J136" s="152">
        <f>Données!W136</f>
        <v>-10775</v>
      </c>
      <c r="K136" s="8">
        <f>+Données!Q136</f>
        <v>29323.51</v>
      </c>
      <c r="L136" s="343">
        <f t="shared" si="7"/>
        <v>11173601.439999998</v>
      </c>
      <c r="M136" s="8">
        <f>+Données!F136</f>
        <v>0</v>
      </c>
      <c r="N136" s="8">
        <f>+Données!K136</f>
        <v>30300.799999999999</v>
      </c>
      <c r="O136" s="8">
        <f>(Données!L136/Données!Y136)*1</f>
        <v>770083.9</v>
      </c>
      <c r="P136" s="343">
        <f t="shared" si="8"/>
        <v>11973986.139999999</v>
      </c>
      <c r="Q136" s="173">
        <f>+Données!X136</f>
        <v>66</v>
      </c>
      <c r="R136" s="343">
        <f t="shared" si="9"/>
        <v>181424.03242424241</v>
      </c>
    </row>
    <row r="137" spans="1:18" x14ac:dyDescent="0.25">
      <c r="A137" s="7">
        <f>Données!A137</f>
        <v>5635</v>
      </c>
      <c r="B137" s="27" t="str">
        <f>Données!B137</f>
        <v>Ecublens</v>
      </c>
      <c r="C137" s="8">
        <f>Données!C137+Données!D137</f>
        <v>24313765.580000002</v>
      </c>
      <c r="D137" s="8">
        <f>+Données!G137+Données!H137+Données!S137</f>
        <v>2441794.5799999996</v>
      </c>
      <c r="E137" s="8">
        <f>+Données!E137</f>
        <v>0</v>
      </c>
      <c r="F137" s="8">
        <f>+Données!I137</f>
        <v>195689.7</v>
      </c>
      <c r="G137" s="8">
        <f>+Données!J137</f>
        <v>1821293.91</v>
      </c>
      <c r="H137" s="8">
        <f>Données!U137</f>
        <v>-312250.90000000002</v>
      </c>
      <c r="I137" s="152">
        <f>Données!V137</f>
        <v>0</v>
      </c>
      <c r="J137" s="152">
        <f>Données!W137</f>
        <v>-47751.29</v>
      </c>
      <c r="K137" s="8">
        <f>+Données!Q137</f>
        <v>59962.04</v>
      </c>
      <c r="L137" s="343">
        <f t="shared" si="7"/>
        <v>28472503.620000001</v>
      </c>
      <c r="M137" s="8">
        <f>+Données!F137</f>
        <v>0</v>
      </c>
      <c r="N137" s="8">
        <f>+Données!K137</f>
        <v>490959.2</v>
      </c>
      <c r="O137" s="8">
        <f>(Données!L137/Données!Y137)*1</f>
        <v>2634085.625</v>
      </c>
      <c r="P137" s="343">
        <f t="shared" si="8"/>
        <v>31597548.445</v>
      </c>
      <c r="Q137" s="173">
        <f>+Données!X137</f>
        <v>62.5</v>
      </c>
      <c r="R137" s="343">
        <f t="shared" si="9"/>
        <v>505560.77512000001</v>
      </c>
    </row>
    <row r="138" spans="1:18" x14ac:dyDescent="0.25">
      <c r="A138" s="7">
        <f>Données!A138</f>
        <v>5636</v>
      </c>
      <c r="B138" s="27" t="str">
        <f>Données!B138</f>
        <v>Etoy</v>
      </c>
      <c r="C138" s="8">
        <f>Données!C138+Données!D138</f>
        <v>7248073.25</v>
      </c>
      <c r="D138" s="8">
        <f>+Données!G138+Données!H138+Données!S138</f>
        <v>5111903.66</v>
      </c>
      <c r="E138" s="8">
        <f>+Données!E138</f>
        <v>0</v>
      </c>
      <c r="F138" s="8">
        <f>+Données!I138</f>
        <v>40281.1</v>
      </c>
      <c r="G138" s="8">
        <f>+Données!J138</f>
        <v>446627.81</v>
      </c>
      <c r="H138" s="8">
        <f>Données!U138</f>
        <v>-203100.75</v>
      </c>
      <c r="I138" s="152">
        <f>Données!V138</f>
        <v>0</v>
      </c>
      <c r="J138" s="152">
        <f>Données!W138</f>
        <v>-1738.77</v>
      </c>
      <c r="K138" s="8">
        <f>+Données!Q138</f>
        <v>4666.38</v>
      </c>
      <c r="L138" s="343">
        <f t="shared" si="7"/>
        <v>12646712.680000002</v>
      </c>
      <c r="M138" s="8">
        <f>+Données!F138</f>
        <v>0</v>
      </c>
      <c r="N138" s="8">
        <f>+Données!K138</f>
        <v>303477.45</v>
      </c>
      <c r="O138" s="8">
        <f>(Données!L138/Données!Y138)*1</f>
        <v>1252057.3999999999</v>
      </c>
      <c r="P138" s="343">
        <f t="shared" si="8"/>
        <v>14202247.530000001</v>
      </c>
      <c r="Q138" s="173">
        <f>+Données!X138</f>
        <v>60</v>
      </c>
      <c r="R138" s="343">
        <f t="shared" si="9"/>
        <v>236704.12550000002</v>
      </c>
    </row>
    <row r="139" spans="1:18" x14ac:dyDescent="0.25">
      <c r="A139" s="7">
        <f>Données!A139</f>
        <v>5637</v>
      </c>
      <c r="B139" s="27" t="str">
        <f>Données!B139</f>
        <v>Lavigny</v>
      </c>
      <c r="C139" s="8">
        <f>Données!C139+Données!D139</f>
        <v>2500430.5700000003</v>
      </c>
      <c r="D139" s="8">
        <f>+Données!G139+Données!H139+Données!S139</f>
        <v>46488.08</v>
      </c>
      <c r="E139" s="8">
        <f>+Données!E139</f>
        <v>0</v>
      </c>
      <c r="F139" s="8">
        <f>+Données!I139</f>
        <v>0</v>
      </c>
      <c r="G139" s="8">
        <f>+Données!J139</f>
        <v>72031.02</v>
      </c>
      <c r="H139" s="8">
        <f>Données!U139</f>
        <v>-38130.93</v>
      </c>
      <c r="I139" s="152">
        <f>Données!V139</f>
        <v>0</v>
      </c>
      <c r="J139" s="152">
        <f>Données!W139</f>
        <v>-705</v>
      </c>
      <c r="K139" s="8">
        <f>+Données!Q139</f>
        <v>3343.52</v>
      </c>
      <c r="L139" s="343">
        <f t="shared" si="7"/>
        <v>2583457.2600000002</v>
      </c>
      <c r="M139" s="8">
        <f>+Données!F139</f>
        <v>0</v>
      </c>
      <c r="N139" s="8">
        <f>+Données!K139</f>
        <v>7068.35</v>
      </c>
      <c r="O139" s="8">
        <f>(Données!L139/Données!Y139)*1</f>
        <v>204119</v>
      </c>
      <c r="P139" s="343">
        <f t="shared" si="8"/>
        <v>2794644.6100000003</v>
      </c>
      <c r="Q139" s="173">
        <f>+Données!X139</f>
        <v>73</v>
      </c>
      <c r="R139" s="343">
        <f t="shared" si="9"/>
        <v>38282.802876712332</v>
      </c>
    </row>
    <row r="140" spans="1:18" x14ac:dyDescent="0.25">
      <c r="A140" s="7">
        <f>Données!A140</f>
        <v>5638</v>
      </c>
      <c r="B140" s="27" t="str">
        <f>Données!B140</f>
        <v>Lonay</v>
      </c>
      <c r="C140" s="8">
        <f>Données!C140+Données!D140</f>
        <v>7700595</v>
      </c>
      <c r="D140" s="8">
        <f>+Données!G140+Données!H140+Données!S140</f>
        <v>663414.05999999994</v>
      </c>
      <c r="E140" s="8">
        <f>+Données!E140</f>
        <v>0</v>
      </c>
      <c r="F140" s="8">
        <f>+Données!I140</f>
        <v>24073.35</v>
      </c>
      <c r="G140" s="8">
        <f>+Données!J140</f>
        <v>126094.53</v>
      </c>
      <c r="H140" s="8">
        <f>Données!U140</f>
        <v>-55063.14</v>
      </c>
      <c r="I140" s="152">
        <f>Données!V140</f>
        <v>0</v>
      </c>
      <c r="J140" s="152">
        <f>Données!W140</f>
        <v>-6475.53</v>
      </c>
      <c r="K140" s="8">
        <f>+Données!Q140</f>
        <v>2326.1999999999998</v>
      </c>
      <c r="L140" s="343">
        <f t="shared" si="7"/>
        <v>8454964.4699999988</v>
      </c>
      <c r="M140" s="8">
        <f>+Données!F140</f>
        <v>0</v>
      </c>
      <c r="N140" s="8">
        <f>+Données!K140</f>
        <v>77534.600000000006</v>
      </c>
      <c r="O140" s="8">
        <f>(Données!L140/Données!Y140)*1</f>
        <v>735391</v>
      </c>
      <c r="P140" s="343">
        <f t="shared" si="8"/>
        <v>9267890.0699999984</v>
      </c>
      <c r="Q140" s="173">
        <f>+Données!X140</f>
        <v>55</v>
      </c>
      <c r="R140" s="343">
        <f t="shared" si="9"/>
        <v>168507.09218181815</v>
      </c>
    </row>
    <row r="141" spans="1:18" x14ac:dyDescent="0.25">
      <c r="A141" s="7">
        <f>Données!A141</f>
        <v>5639</v>
      </c>
      <c r="B141" s="27" t="str">
        <f>Données!B141</f>
        <v>Lully</v>
      </c>
      <c r="C141" s="8">
        <f>Données!C141+Données!D141</f>
        <v>2848474.44</v>
      </c>
      <c r="D141" s="8">
        <f>+Données!G141+Données!H141+Données!S141</f>
        <v>32516.32</v>
      </c>
      <c r="E141" s="8">
        <f>+Données!E141</f>
        <v>0</v>
      </c>
      <c r="F141" s="8">
        <f>+Données!I141</f>
        <v>0</v>
      </c>
      <c r="G141" s="8">
        <f>+Données!J141</f>
        <v>20450.27</v>
      </c>
      <c r="H141" s="8">
        <f>Données!U141</f>
        <v>-9079.9599999999991</v>
      </c>
      <c r="I141" s="152">
        <f>Données!V141</f>
        <v>0</v>
      </c>
      <c r="J141" s="152">
        <f>Données!W141</f>
        <v>-4055.4</v>
      </c>
      <c r="K141" s="8">
        <f>+Données!Q141</f>
        <v>177.12</v>
      </c>
      <c r="L141" s="343">
        <f t="shared" si="7"/>
        <v>2888482.79</v>
      </c>
      <c r="M141" s="8">
        <f>+Données!F141</f>
        <v>0</v>
      </c>
      <c r="N141" s="8">
        <f>+Données!K141</f>
        <v>2936.85</v>
      </c>
      <c r="O141" s="8">
        <f>(Données!L141/Données!Y141)*1</f>
        <v>216297.12000000002</v>
      </c>
      <c r="P141" s="343">
        <f t="shared" si="8"/>
        <v>3107716.7600000002</v>
      </c>
      <c r="Q141" s="173">
        <f>+Données!X141</f>
        <v>61</v>
      </c>
      <c r="R141" s="343">
        <f t="shared" si="9"/>
        <v>50946.176393442627</v>
      </c>
    </row>
    <row r="142" spans="1:18" x14ac:dyDescent="0.25">
      <c r="A142" s="7">
        <f>Données!A142</f>
        <v>5640</v>
      </c>
      <c r="B142" s="27" t="str">
        <f>Données!B142</f>
        <v>Lussy-sur-Morges</v>
      </c>
      <c r="C142" s="8">
        <f>Données!C142+Données!D142</f>
        <v>2969077.7600000002</v>
      </c>
      <c r="D142" s="8">
        <f>+Données!G142+Données!H142+Données!S142</f>
        <v>30358.500000000004</v>
      </c>
      <c r="E142" s="8">
        <f>+Données!E142</f>
        <v>0</v>
      </c>
      <c r="F142" s="8">
        <f>+Données!I142</f>
        <v>70160.160000000003</v>
      </c>
      <c r="G142" s="8">
        <f>+Données!J142</f>
        <v>22052.78</v>
      </c>
      <c r="H142" s="8">
        <f>Données!U142</f>
        <v>-15895.59</v>
      </c>
      <c r="I142" s="152">
        <f>Données!V142</f>
        <v>0</v>
      </c>
      <c r="J142" s="152">
        <f>Données!W142</f>
        <v>-5744.76</v>
      </c>
      <c r="K142" s="8">
        <f>+Données!Q142</f>
        <v>0</v>
      </c>
      <c r="L142" s="343">
        <f t="shared" si="7"/>
        <v>3070008.8500000006</v>
      </c>
      <c r="M142" s="8">
        <f>+Données!F142</f>
        <v>0</v>
      </c>
      <c r="N142" s="8">
        <f>+Données!K142</f>
        <v>10925.25</v>
      </c>
      <c r="O142" s="8">
        <f>(Données!L142/Données!Y142)*1</f>
        <v>221138.65</v>
      </c>
      <c r="P142" s="343">
        <f t="shared" si="8"/>
        <v>3302072.7500000005</v>
      </c>
      <c r="Q142" s="173">
        <f>+Données!X142</f>
        <v>61.5</v>
      </c>
      <c r="R142" s="343">
        <f t="shared" si="9"/>
        <v>53692.239837398381</v>
      </c>
    </row>
    <row r="143" spans="1:18" x14ac:dyDescent="0.25">
      <c r="A143" s="7">
        <f>Données!A143</f>
        <v>5642</v>
      </c>
      <c r="B143" s="27" t="str">
        <f>Données!B143</f>
        <v>Morges</v>
      </c>
      <c r="C143" s="8">
        <f>Données!C143+Données!D143</f>
        <v>46250537.359999999</v>
      </c>
      <c r="D143" s="8">
        <f>+Données!G143+Données!H143+Données!S143</f>
        <v>23820089.530000001</v>
      </c>
      <c r="E143" s="8">
        <f>+Données!E143</f>
        <v>0</v>
      </c>
      <c r="F143" s="8">
        <f>+Données!I143</f>
        <v>434942.74</v>
      </c>
      <c r="G143" s="8">
        <f>+Données!J143</f>
        <v>1588136.54</v>
      </c>
      <c r="H143" s="8">
        <f>Données!U143</f>
        <v>-490523.91</v>
      </c>
      <c r="I143" s="152">
        <f>Données!V143</f>
        <v>0</v>
      </c>
      <c r="J143" s="152">
        <f>Données!W143</f>
        <v>-58995.7</v>
      </c>
      <c r="K143" s="8">
        <f>+Données!Q143</f>
        <v>45877.11</v>
      </c>
      <c r="L143" s="343">
        <f t="shared" si="7"/>
        <v>71590063.670000002</v>
      </c>
      <c r="M143" s="8">
        <f>+Données!F143</f>
        <v>0</v>
      </c>
      <c r="N143" s="8">
        <f>+Données!K143</f>
        <v>630976.30000000005</v>
      </c>
      <c r="O143" s="8">
        <f>(Données!L143/Données!Y143)*1</f>
        <v>3638740.4</v>
      </c>
      <c r="P143" s="343">
        <f t="shared" si="8"/>
        <v>75859780.370000005</v>
      </c>
      <c r="Q143" s="173">
        <f>+Données!X143</f>
        <v>67</v>
      </c>
      <c r="R143" s="343">
        <f t="shared" si="9"/>
        <v>1132235.5279104479</v>
      </c>
    </row>
    <row r="144" spans="1:18" x14ac:dyDescent="0.25">
      <c r="A144" s="7">
        <f>Données!A144</f>
        <v>5643</v>
      </c>
      <c r="B144" s="27" t="str">
        <f>Données!B144</f>
        <v>Préverenges</v>
      </c>
      <c r="C144" s="8">
        <f>Données!C144+Données!D144</f>
        <v>13358036.48</v>
      </c>
      <c r="D144" s="8">
        <f>+Données!G144+Données!H144+Données!S144</f>
        <v>582006.79</v>
      </c>
      <c r="E144" s="8">
        <f>+Données!E144</f>
        <v>0</v>
      </c>
      <c r="F144" s="8">
        <f>+Données!I144</f>
        <v>326047.5</v>
      </c>
      <c r="G144" s="8">
        <f>+Données!J144</f>
        <v>309885.5</v>
      </c>
      <c r="H144" s="8">
        <f>Données!U144</f>
        <v>-329760.2</v>
      </c>
      <c r="I144" s="152">
        <f>Données!V144</f>
        <v>0</v>
      </c>
      <c r="J144" s="152">
        <f>Données!W144</f>
        <v>-29536.799999999999</v>
      </c>
      <c r="K144" s="8">
        <f>+Données!Q144</f>
        <v>60741.61</v>
      </c>
      <c r="L144" s="343">
        <f t="shared" si="7"/>
        <v>14277420.879999999</v>
      </c>
      <c r="M144" s="8">
        <f>+Données!F144</f>
        <v>0</v>
      </c>
      <c r="N144" s="8">
        <f>+Données!K144</f>
        <v>120140.1</v>
      </c>
      <c r="O144" s="8">
        <f>(Données!L144/Données!Y144)*1</f>
        <v>1166644.05</v>
      </c>
      <c r="P144" s="343">
        <f t="shared" si="8"/>
        <v>15564205.029999999</v>
      </c>
      <c r="Q144" s="173">
        <f>+Données!X144</f>
        <v>62.5</v>
      </c>
      <c r="R144" s="343">
        <f t="shared" si="9"/>
        <v>249027.28047999999</v>
      </c>
    </row>
    <row r="145" spans="1:18" x14ac:dyDescent="0.25">
      <c r="A145" s="7">
        <f>Données!A145</f>
        <v>5645</v>
      </c>
      <c r="B145" s="27" t="str">
        <f>Données!B145</f>
        <v>Romanel-sur-Morges</v>
      </c>
      <c r="C145" s="8">
        <f>Données!C145+Données!D145</f>
        <v>1092804.48</v>
      </c>
      <c r="D145" s="8">
        <f>+Données!G145+Données!H145+Données!S145</f>
        <v>214843.86000000002</v>
      </c>
      <c r="E145" s="8">
        <f>+Données!E145</f>
        <v>0</v>
      </c>
      <c r="F145" s="8">
        <f>+Données!I145</f>
        <v>0</v>
      </c>
      <c r="G145" s="8">
        <f>+Données!J145</f>
        <v>34868.29</v>
      </c>
      <c r="H145" s="8">
        <f>Données!U145</f>
        <v>-9475.92</v>
      </c>
      <c r="I145" s="152">
        <f>Données!V145</f>
        <v>0</v>
      </c>
      <c r="J145" s="152">
        <f>Données!W145</f>
        <v>-498.45</v>
      </c>
      <c r="K145" s="8">
        <f>+Données!Q145</f>
        <v>1077.3599999999999</v>
      </c>
      <c r="L145" s="343">
        <f t="shared" si="7"/>
        <v>1333619.6200000003</v>
      </c>
      <c r="M145" s="8">
        <f>+Données!F145</f>
        <v>0</v>
      </c>
      <c r="N145" s="8">
        <f>+Données!K145</f>
        <v>22111</v>
      </c>
      <c r="O145" s="8">
        <f>(Données!L145/Données!Y145)*1</f>
        <v>163861.5</v>
      </c>
      <c r="P145" s="343">
        <f t="shared" si="8"/>
        <v>1519592.1200000003</v>
      </c>
      <c r="Q145" s="173">
        <f>+Données!X145</f>
        <v>56</v>
      </c>
      <c r="R145" s="343">
        <f t="shared" si="9"/>
        <v>27135.573571428577</v>
      </c>
    </row>
    <row r="146" spans="1:18" x14ac:dyDescent="0.25">
      <c r="A146" s="7">
        <f>Données!A146</f>
        <v>5646</v>
      </c>
      <c r="B146" s="27" t="str">
        <f>Données!B146</f>
        <v>Saint-Prex</v>
      </c>
      <c r="C146" s="8">
        <f>Données!C146+Données!D146</f>
        <v>16912949.600000001</v>
      </c>
      <c r="D146" s="8">
        <f>+Données!G146+Données!H146+Données!S146</f>
        <v>10787865.120000001</v>
      </c>
      <c r="E146" s="8">
        <f>+Données!E146</f>
        <v>0</v>
      </c>
      <c r="F146" s="8">
        <f>+Données!I146</f>
        <v>886118.95</v>
      </c>
      <c r="G146" s="8">
        <f>+Données!J146</f>
        <v>649399.82999999996</v>
      </c>
      <c r="H146" s="8">
        <f>Données!U146</f>
        <v>-149294.24</v>
      </c>
      <c r="I146" s="152">
        <f>Données!V146</f>
        <v>0</v>
      </c>
      <c r="J146" s="152">
        <f>Données!W146</f>
        <v>-37661.949999999997</v>
      </c>
      <c r="K146" s="8">
        <f>+Données!Q146</f>
        <v>4140.46</v>
      </c>
      <c r="L146" s="343">
        <f t="shared" si="7"/>
        <v>29053517.770000003</v>
      </c>
      <c r="M146" s="8">
        <f>+Données!F146</f>
        <v>0</v>
      </c>
      <c r="N146" s="8">
        <f>+Données!K146</f>
        <v>157724.70000000001</v>
      </c>
      <c r="O146" s="8">
        <f>(Données!L146/Données!Y146)*1</f>
        <v>1769404.7916666667</v>
      </c>
      <c r="P146" s="343">
        <f t="shared" si="8"/>
        <v>30980647.26166667</v>
      </c>
      <c r="Q146" s="173">
        <f>+Données!X146</f>
        <v>59</v>
      </c>
      <c r="R146" s="343">
        <f t="shared" si="9"/>
        <v>525095.71629943512</v>
      </c>
    </row>
    <row r="147" spans="1:18" x14ac:dyDescent="0.25">
      <c r="A147" s="7">
        <f>Données!A147</f>
        <v>5648</v>
      </c>
      <c r="B147" s="27" t="str">
        <f>Données!B147</f>
        <v>Saint-Sulpice</v>
      </c>
      <c r="C147" s="8">
        <f>Données!C147+Données!D147</f>
        <v>17994459.210000001</v>
      </c>
      <c r="D147" s="8">
        <f>+Données!G147+Données!H147+Données!S147</f>
        <v>838398.75</v>
      </c>
      <c r="E147" s="8">
        <f>+Données!E147</f>
        <v>0</v>
      </c>
      <c r="F147" s="8">
        <f>+Données!I147</f>
        <v>430215.02</v>
      </c>
      <c r="G147" s="8">
        <f>+Données!J147</f>
        <v>825949.63</v>
      </c>
      <c r="H147" s="8">
        <f>Données!U147</f>
        <v>-35458.910000000003</v>
      </c>
      <c r="I147" s="152">
        <f>Données!V147</f>
        <v>0</v>
      </c>
      <c r="J147" s="152">
        <f>Données!W147</f>
        <v>-176352.59</v>
      </c>
      <c r="K147" s="8">
        <f>+Données!Q147</f>
        <v>1215.18</v>
      </c>
      <c r="L147" s="343">
        <f t="shared" si="7"/>
        <v>19878426.289999999</v>
      </c>
      <c r="M147" s="8">
        <f>+Données!F147</f>
        <v>0</v>
      </c>
      <c r="N147" s="8">
        <f>+Données!K147</f>
        <v>149942.1</v>
      </c>
      <c r="O147" s="8">
        <f>(Données!L147/Données!Y147)*1</f>
        <v>1772167.625</v>
      </c>
      <c r="P147" s="343">
        <f t="shared" si="8"/>
        <v>21800536.015000001</v>
      </c>
      <c r="Q147" s="173">
        <f>+Données!X147</f>
        <v>55</v>
      </c>
      <c r="R147" s="343">
        <f t="shared" si="9"/>
        <v>396373.38209090912</v>
      </c>
    </row>
    <row r="148" spans="1:18" x14ac:dyDescent="0.25">
      <c r="A148" s="7">
        <f>Données!A148</f>
        <v>5649</v>
      </c>
      <c r="B148" s="27" t="str">
        <f>Données!B148</f>
        <v>Tolochenaz</v>
      </c>
      <c r="C148" s="8">
        <f>Données!C148+Données!D148</f>
        <v>4802441.67</v>
      </c>
      <c r="D148" s="8">
        <f>+Données!G148+Données!H148+Données!S148</f>
        <v>12184393.540000001</v>
      </c>
      <c r="E148" s="8">
        <f>+Données!E148</f>
        <v>0</v>
      </c>
      <c r="F148" s="8">
        <f>+Données!I148</f>
        <v>-60878.3</v>
      </c>
      <c r="G148" s="8">
        <f>+Données!J148</f>
        <v>511816.56</v>
      </c>
      <c r="H148" s="8">
        <f>Données!U148</f>
        <v>-73853</v>
      </c>
      <c r="I148" s="152">
        <f>Données!V148</f>
        <v>0</v>
      </c>
      <c r="J148" s="152">
        <f>Données!W148</f>
        <v>-3135.03</v>
      </c>
      <c r="K148" s="8">
        <f>+Données!Q148</f>
        <v>24650.97</v>
      </c>
      <c r="L148" s="343">
        <f t="shared" si="7"/>
        <v>17385436.409999996</v>
      </c>
      <c r="M148" s="8">
        <f>+Données!F148</f>
        <v>0</v>
      </c>
      <c r="N148" s="8">
        <f>+Données!K148</f>
        <v>27358.65</v>
      </c>
      <c r="O148" s="8">
        <f>(Données!L148/Données!Y148)*1</f>
        <v>591334.75</v>
      </c>
      <c r="P148" s="343">
        <f t="shared" si="8"/>
        <v>18004129.809999995</v>
      </c>
      <c r="Q148" s="173">
        <f>+Données!X148</f>
        <v>64</v>
      </c>
      <c r="R148" s="343">
        <f t="shared" si="9"/>
        <v>281314.52828124992</v>
      </c>
    </row>
    <row r="149" spans="1:18" x14ac:dyDescent="0.25">
      <c r="A149" s="7">
        <f>Données!A149</f>
        <v>5650</v>
      </c>
      <c r="B149" s="27" t="str">
        <f>Données!B149</f>
        <v>Vaux-sur-Morges</v>
      </c>
      <c r="C149" s="8">
        <f>Données!C149+Données!D149</f>
        <v>5330751.33</v>
      </c>
      <c r="D149" s="8">
        <f>+Données!G149+Données!H149+Données!S149</f>
        <v>11326.28</v>
      </c>
      <c r="E149" s="8">
        <f>+Données!E149</f>
        <v>0</v>
      </c>
      <c r="F149" s="8">
        <f>+Données!I149</f>
        <v>0</v>
      </c>
      <c r="G149" s="8">
        <f>+Données!J149</f>
        <v>226.87</v>
      </c>
      <c r="H149" s="8">
        <f>Données!U149</f>
        <v>0.17</v>
      </c>
      <c r="I149" s="152">
        <f>Données!V149</f>
        <v>0</v>
      </c>
      <c r="J149" s="152">
        <f>Données!W149</f>
        <v>-8845.1</v>
      </c>
      <c r="K149" s="8">
        <f>+Données!Q149</f>
        <v>0</v>
      </c>
      <c r="L149" s="343">
        <f t="shared" si="7"/>
        <v>5333459.5500000007</v>
      </c>
      <c r="M149" s="8">
        <f>+Données!F149</f>
        <v>0</v>
      </c>
      <c r="N149" s="8">
        <f>+Données!K149</f>
        <v>0</v>
      </c>
      <c r="O149" s="8">
        <f>(Données!L149/Données!Y149)*1</f>
        <v>46334</v>
      </c>
      <c r="P149" s="343">
        <f t="shared" si="8"/>
        <v>5379793.5500000007</v>
      </c>
      <c r="Q149" s="173">
        <f>+Données!X149</f>
        <v>56</v>
      </c>
      <c r="R149" s="343">
        <f t="shared" si="9"/>
        <v>96067.741964285728</v>
      </c>
    </row>
    <row r="150" spans="1:18" x14ac:dyDescent="0.25">
      <c r="A150" s="7">
        <f>Données!A150</f>
        <v>5651</v>
      </c>
      <c r="B150" s="27" t="str">
        <f>Données!B150</f>
        <v>Villars-Sainte-Croix</v>
      </c>
      <c r="C150" s="8">
        <f>Données!C150+Données!D150</f>
        <v>2492610.7599999998</v>
      </c>
      <c r="D150" s="8">
        <f>+Données!G150+Données!H150+Données!S150</f>
        <v>713454.57</v>
      </c>
      <c r="E150" s="8">
        <f>+Données!E150</f>
        <v>0</v>
      </c>
      <c r="F150" s="8">
        <f>+Données!I150</f>
        <v>0</v>
      </c>
      <c r="G150" s="8">
        <f>+Données!J150</f>
        <v>59351.15</v>
      </c>
      <c r="H150" s="8">
        <f>Données!U150</f>
        <v>-275637.71000000002</v>
      </c>
      <c r="I150" s="152">
        <f>Données!V150</f>
        <v>0</v>
      </c>
      <c r="J150" s="152">
        <f>Données!W150</f>
        <v>-6.9</v>
      </c>
      <c r="K150" s="8">
        <f>+Données!Q150</f>
        <v>287651.49</v>
      </c>
      <c r="L150" s="343">
        <f t="shared" si="7"/>
        <v>3277423.3599999994</v>
      </c>
      <c r="M150" s="8">
        <f>+Données!F150</f>
        <v>0</v>
      </c>
      <c r="N150" s="8">
        <f>+Données!K150</f>
        <v>47639.9</v>
      </c>
      <c r="O150" s="8">
        <f>(Données!L150/Données!Y150)*1</f>
        <v>390484.65</v>
      </c>
      <c r="P150" s="343">
        <f t="shared" si="8"/>
        <v>3715547.9099999992</v>
      </c>
      <c r="Q150" s="173">
        <f>+Données!X150</f>
        <v>60.5</v>
      </c>
      <c r="R150" s="343">
        <f t="shared" si="9"/>
        <v>61414.015041322302</v>
      </c>
    </row>
    <row r="151" spans="1:18" x14ac:dyDescent="0.25">
      <c r="A151" s="7">
        <f>Données!A151</f>
        <v>5652</v>
      </c>
      <c r="B151" s="27" t="str">
        <f>Données!B151</f>
        <v>Villars-sous-Yens</v>
      </c>
      <c r="C151" s="8">
        <f>Données!C151+Données!D151</f>
        <v>2032060.37</v>
      </c>
      <c r="D151" s="8">
        <f>+Données!G151+Données!H151+Données!S151</f>
        <v>78154.959999999992</v>
      </c>
      <c r="E151" s="8">
        <f>+Données!E151</f>
        <v>0</v>
      </c>
      <c r="F151" s="8">
        <f>+Données!I151</f>
        <v>0</v>
      </c>
      <c r="G151" s="8">
        <f>+Données!J151</f>
        <v>-3170.62</v>
      </c>
      <c r="H151" s="8">
        <f>Données!U151</f>
        <v>-6312</v>
      </c>
      <c r="I151" s="152">
        <f>Données!V151</f>
        <v>0</v>
      </c>
      <c r="J151" s="152">
        <f>Données!W151</f>
        <v>-4117.84</v>
      </c>
      <c r="K151" s="8">
        <f>+Données!Q151</f>
        <v>0</v>
      </c>
      <c r="L151" s="343">
        <f t="shared" si="7"/>
        <v>2096614.8699999999</v>
      </c>
      <c r="M151" s="8">
        <f>+Données!F151</f>
        <v>0</v>
      </c>
      <c r="N151" s="8">
        <f>+Données!K151</f>
        <v>1345.15</v>
      </c>
      <c r="O151" s="8">
        <f>(Données!L151/Données!Y151)*1</f>
        <v>120246.375</v>
      </c>
      <c r="P151" s="343">
        <f t="shared" si="8"/>
        <v>2218206.395</v>
      </c>
      <c r="Q151" s="173">
        <f>+Données!X151</f>
        <v>76</v>
      </c>
      <c r="R151" s="343">
        <f t="shared" si="9"/>
        <v>29186.92625</v>
      </c>
    </row>
    <row r="152" spans="1:18" x14ac:dyDescent="0.25">
      <c r="A152" s="7">
        <f>Données!A152</f>
        <v>5653</v>
      </c>
      <c r="B152" s="27" t="str">
        <f>Données!B152</f>
        <v>Vufflens-le-Château</v>
      </c>
      <c r="C152" s="8">
        <f>Données!C152+Données!D152</f>
        <v>3774541.45</v>
      </c>
      <c r="D152" s="8">
        <f>+Données!G152+Données!H152+Données!S152</f>
        <v>32943.629999999997</v>
      </c>
      <c r="E152" s="8">
        <f>+Données!E152</f>
        <v>0</v>
      </c>
      <c r="F152" s="8">
        <f>+Données!I152</f>
        <v>125602.8</v>
      </c>
      <c r="G152" s="8">
        <f>+Données!J152</f>
        <v>-20648.12</v>
      </c>
      <c r="H152" s="8">
        <f>Données!U152</f>
        <v>-224.88</v>
      </c>
      <c r="I152" s="152">
        <f>Données!V152</f>
        <v>0</v>
      </c>
      <c r="J152" s="152">
        <f>Données!W152</f>
        <v>-13624.17</v>
      </c>
      <c r="K152" s="8">
        <f>+Données!Q152</f>
        <v>2706.38</v>
      </c>
      <c r="L152" s="343">
        <f t="shared" si="7"/>
        <v>3901297.09</v>
      </c>
      <c r="M152" s="8">
        <f>+Données!F152</f>
        <v>0</v>
      </c>
      <c r="N152" s="8">
        <f>+Données!K152</f>
        <v>2841.4</v>
      </c>
      <c r="O152" s="8">
        <f>(Données!L152/Données!Y152)*1</f>
        <v>267807.5</v>
      </c>
      <c r="P152" s="343">
        <f t="shared" si="8"/>
        <v>4171945.9899999998</v>
      </c>
      <c r="Q152" s="173">
        <f>+Données!X152</f>
        <v>62.5</v>
      </c>
      <c r="R152" s="343">
        <f t="shared" si="9"/>
        <v>66751.135840000003</v>
      </c>
    </row>
    <row r="153" spans="1:18" x14ac:dyDescent="0.25">
      <c r="A153" s="7">
        <f>Données!A153</f>
        <v>5654</v>
      </c>
      <c r="B153" s="27" t="str">
        <f>Données!B153</f>
        <v>Vullierens</v>
      </c>
      <c r="C153" s="8">
        <f>Données!C153+Données!D153</f>
        <v>1509248.97</v>
      </c>
      <c r="D153" s="8">
        <f>+Données!G153+Données!H153+Données!S153</f>
        <v>28156.14</v>
      </c>
      <c r="E153" s="8">
        <f>+Données!E153</f>
        <v>0</v>
      </c>
      <c r="F153" s="8">
        <f>+Données!I153</f>
        <v>0</v>
      </c>
      <c r="G153" s="8">
        <f>+Données!J153</f>
        <v>14989.25</v>
      </c>
      <c r="H153" s="8">
        <f>Données!U153</f>
        <v>-1463.56</v>
      </c>
      <c r="I153" s="152">
        <f>Données!V153</f>
        <v>0</v>
      </c>
      <c r="J153" s="152">
        <f>Données!W153</f>
        <v>-896.2</v>
      </c>
      <c r="K153" s="8">
        <f>+Données!Q153</f>
        <v>0</v>
      </c>
      <c r="L153" s="343">
        <f t="shared" si="7"/>
        <v>1550034.5999999999</v>
      </c>
      <c r="M153" s="8">
        <f>+Données!F153</f>
        <v>0</v>
      </c>
      <c r="N153" s="8">
        <f>+Données!K153</f>
        <v>1902.5</v>
      </c>
      <c r="O153" s="8">
        <f>(Données!L153/Données!Y153)*1</f>
        <v>117055.9</v>
      </c>
      <c r="P153" s="343">
        <f t="shared" si="8"/>
        <v>1668992.9999999998</v>
      </c>
      <c r="Q153" s="173">
        <f>+Données!X153</f>
        <v>76</v>
      </c>
      <c r="R153" s="343">
        <f t="shared" si="9"/>
        <v>21960.434210526313</v>
      </c>
    </row>
    <row r="154" spans="1:18" x14ac:dyDescent="0.25">
      <c r="A154" s="7">
        <f>Données!A154</f>
        <v>5655</v>
      </c>
      <c r="B154" s="27" t="str">
        <f>Données!B154</f>
        <v>Yens</v>
      </c>
      <c r="C154" s="8">
        <f>Données!C154+Données!D154</f>
        <v>5257328.4799999995</v>
      </c>
      <c r="D154" s="8">
        <f>+Données!G154+Données!H154+Données!S154</f>
        <v>47210.25</v>
      </c>
      <c r="E154" s="8">
        <f>+Données!E154</f>
        <v>0</v>
      </c>
      <c r="F154" s="8">
        <f>+Données!I154</f>
        <v>99823.75</v>
      </c>
      <c r="G154" s="8">
        <f>+Données!J154</f>
        <v>71853.14</v>
      </c>
      <c r="H154" s="8">
        <f>Données!U154</f>
        <v>-76946.17</v>
      </c>
      <c r="I154" s="152">
        <f>Données!V154</f>
        <v>0</v>
      </c>
      <c r="J154" s="152">
        <f>Données!W154</f>
        <v>-17468.599999999999</v>
      </c>
      <c r="K154" s="8">
        <f>+Données!Q154</f>
        <v>-77.61</v>
      </c>
      <c r="L154" s="343">
        <f t="shared" si="7"/>
        <v>5381723.2399999993</v>
      </c>
      <c r="M154" s="8">
        <f>+Données!F154</f>
        <v>0</v>
      </c>
      <c r="N154" s="8">
        <f>+Données!K154</f>
        <v>11287.2</v>
      </c>
      <c r="O154" s="8">
        <f>(Données!L154/Données!Y154)*1</f>
        <v>441330.75</v>
      </c>
      <c r="P154" s="343">
        <f t="shared" si="8"/>
        <v>5834341.1899999995</v>
      </c>
      <c r="Q154" s="173">
        <f>+Données!X154</f>
        <v>70</v>
      </c>
      <c r="R154" s="343">
        <f t="shared" si="9"/>
        <v>83347.731285714282</v>
      </c>
    </row>
    <row r="155" spans="1:18" x14ac:dyDescent="0.25">
      <c r="A155" s="7">
        <f>Données!A155</f>
        <v>5656</v>
      </c>
      <c r="B155" s="27" t="str">
        <f>Données!B155</f>
        <v>Hautemorges</v>
      </c>
      <c r="C155" s="8">
        <f>Données!C155+Données!D155</f>
        <v>10242630.620000001</v>
      </c>
      <c r="D155" s="8">
        <f>+Données!G155+Données!H155+Données!S155</f>
        <v>350107.14000000007</v>
      </c>
      <c r="E155" s="8">
        <f>+Données!E155</f>
        <v>0</v>
      </c>
      <c r="F155" s="8">
        <f>+Données!I155</f>
        <v>110822.35</v>
      </c>
      <c r="G155" s="8">
        <f>+Données!J155</f>
        <v>268468.78999999998</v>
      </c>
      <c r="H155" s="8">
        <f>Données!U155</f>
        <v>-90186.51</v>
      </c>
      <c r="I155" s="152">
        <f>Données!V155</f>
        <v>0</v>
      </c>
      <c r="J155" s="152">
        <f>Données!W155</f>
        <v>-6453.11</v>
      </c>
      <c r="K155" s="8">
        <f>+Données!Q155</f>
        <v>113227.04</v>
      </c>
      <c r="L155" s="343">
        <f t="shared" si="7"/>
        <v>10988616.32</v>
      </c>
      <c r="M155" s="8">
        <f>+Données!F155</f>
        <v>0</v>
      </c>
      <c r="N155" s="8">
        <f>+Données!K155</f>
        <v>29950.55</v>
      </c>
      <c r="O155" s="8">
        <f>(Données!L155/Données!Y155)*1</f>
        <v>906768.8</v>
      </c>
      <c r="P155" s="343">
        <f t="shared" si="8"/>
        <v>11925335.670000002</v>
      </c>
      <c r="Q155" s="173">
        <f>+Données!X155</f>
        <v>71</v>
      </c>
      <c r="R155" s="343">
        <f t="shared" si="9"/>
        <v>167962.47422535214</v>
      </c>
    </row>
    <row r="156" spans="1:18" x14ac:dyDescent="0.25">
      <c r="A156" s="7">
        <f>Données!A156</f>
        <v>5661</v>
      </c>
      <c r="B156" s="27" t="str">
        <f>Données!B156</f>
        <v>Boulens</v>
      </c>
      <c r="C156" s="8">
        <f>Données!C156+Données!D156</f>
        <v>711165.78999999992</v>
      </c>
      <c r="D156" s="8">
        <f>+Données!G156+Données!H156+Données!S156</f>
        <v>3490.9300000000003</v>
      </c>
      <c r="E156" s="8">
        <f>+Données!E156</f>
        <v>0</v>
      </c>
      <c r="F156" s="8">
        <f>+Données!I156</f>
        <v>0</v>
      </c>
      <c r="G156" s="8">
        <f>+Données!J156</f>
        <v>-1028.76</v>
      </c>
      <c r="H156" s="8">
        <f>Données!U156</f>
        <v>-62101.57</v>
      </c>
      <c r="I156" s="152">
        <f>Données!V156</f>
        <v>0</v>
      </c>
      <c r="J156" s="152">
        <f>Données!W156</f>
        <v>0</v>
      </c>
      <c r="K156" s="8">
        <f>+Données!Q156</f>
        <v>2946.1</v>
      </c>
      <c r="L156" s="343">
        <f t="shared" si="7"/>
        <v>654472.49</v>
      </c>
      <c r="M156" s="8">
        <f>+Données!F156</f>
        <v>0</v>
      </c>
      <c r="N156" s="8">
        <f>+Données!K156</f>
        <v>555</v>
      </c>
      <c r="O156" s="8">
        <f>(Données!L156/Données!Y156)*1</f>
        <v>63012</v>
      </c>
      <c r="P156" s="343">
        <f t="shared" si="8"/>
        <v>718039.49</v>
      </c>
      <c r="Q156" s="173">
        <f>+Données!X156</f>
        <v>71.5</v>
      </c>
      <c r="R156" s="343">
        <f t="shared" si="9"/>
        <v>10042.510349650349</v>
      </c>
    </row>
    <row r="157" spans="1:18" x14ac:dyDescent="0.25">
      <c r="A157" s="7">
        <f>Données!A157</f>
        <v>5663</v>
      </c>
      <c r="B157" s="27" t="str">
        <f>Données!B157</f>
        <v>Bussy-sur-Moudon</v>
      </c>
      <c r="C157" s="8">
        <f>Données!C157+Données!D157</f>
        <v>523984.94000000006</v>
      </c>
      <c r="D157" s="8">
        <f>+Données!G157+Données!H157+Données!S157</f>
        <v>1955.49</v>
      </c>
      <c r="E157" s="8">
        <f>+Données!E157</f>
        <v>0</v>
      </c>
      <c r="F157" s="8">
        <f>+Données!I157</f>
        <v>0</v>
      </c>
      <c r="G157" s="8">
        <f>+Données!J157</f>
        <v>11282.34</v>
      </c>
      <c r="H157" s="8">
        <f>Données!U157</f>
        <v>-14266.24</v>
      </c>
      <c r="I157" s="152">
        <f>Données!V157</f>
        <v>0</v>
      </c>
      <c r="J157" s="152">
        <f>Données!W157</f>
        <v>0</v>
      </c>
      <c r="K157" s="8">
        <f>+Données!Q157</f>
        <v>0</v>
      </c>
      <c r="L157" s="343">
        <f t="shared" si="7"/>
        <v>522956.53</v>
      </c>
      <c r="M157" s="8">
        <f>+Données!F157</f>
        <v>1410</v>
      </c>
      <c r="N157" s="8">
        <f>+Données!K157</f>
        <v>325.2</v>
      </c>
      <c r="O157" s="8">
        <f>(Données!L157/Données!Y157)*1</f>
        <v>33867.949999999997</v>
      </c>
      <c r="P157" s="343">
        <f t="shared" si="8"/>
        <v>558559.67999999993</v>
      </c>
      <c r="Q157" s="173">
        <f>+Données!X157</f>
        <v>78.5</v>
      </c>
      <c r="R157" s="343">
        <f t="shared" si="9"/>
        <v>7115.4099363057312</v>
      </c>
    </row>
    <row r="158" spans="1:18" x14ac:dyDescent="0.25">
      <c r="A158" s="7">
        <f>Données!A158</f>
        <v>5665</v>
      </c>
      <c r="B158" s="27" t="str">
        <f>Données!B158</f>
        <v>Chavannes-sur-Moudon</v>
      </c>
      <c r="C158" s="8">
        <f>Données!C158+Données!D158</f>
        <v>366514.52</v>
      </c>
      <c r="D158" s="8">
        <f>+Données!G158+Données!H158+Données!S158</f>
        <v>2903.2999999999997</v>
      </c>
      <c r="E158" s="8">
        <f>+Données!E158</f>
        <v>0</v>
      </c>
      <c r="F158" s="8">
        <f>+Données!I158</f>
        <v>0</v>
      </c>
      <c r="G158" s="8">
        <f>+Données!J158</f>
        <v>13844.1</v>
      </c>
      <c r="H158" s="8">
        <f>Données!U158</f>
        <v>-43.7</v>
      </c>
      <c r="I158" s="152">
        <f>Données!V158</f>
        <v>0</v>
      </c>
      <c r="J158" s="152">
        <f>Données!W158</f>
        <v>0</v>
      </c>
      <c r="K158" s="8">
        <f>+Données!Q158</f>
        <v>-0.04</v>
      </c>
      <c r="L158" s="343">
        <f t="shared" si="7"/>
        <v>383218.18</v>
      </c>
      <c r="M158" s="8">
        <f>+Données!F158</f>
        <v>0</v>
      </c>
      <c r="N158" s="8">
        <f>+Données!K158</f>
        <v>54.5</v>
      </c>
      <c r="O158" s="8">
        <f>(Données!L158/Données!Y158)*1</f>
        <v>30251.4</v>
      </c>
      <c r="P158" s="343">
        <f t="shared" si="8"/>
        <v>413524.08</v>
      </c>
      <c r="Q158" s="173">
        <f>+Données!X158</f>
        <v>70</v>
      </c>
      <c r="R158" s="343">
        <f t="shared" si="9"/>
        <v>5907.4868571428569</v>
      </c>
    </row>
    <row r="159" spans="1:18" x14ac:dyDescent="0.25">
      <c r="A159" s="7">
        <f>Données!A159</f>
        <v>5669</v>
      </c>
      <c r="B159" s="27" t="str">
        <f>Données!B159</f>
        <v>Curtilles</v>
      </c>
      <c r="C159" s="8">
        <f>Données!C159+Données!D159</f>
        <v>633905.19000000006</v>
      </c>
      <c r="D159" s="8">
        <f>+Données!G159+Données!H159+Données!S159</f>
        <v>5781.87</v>
      </c>
      <c r="E159" s="8">
        <f>+Données!E159</f>
        <v>0</v>
      </c>
      <c r="F159" s="8">
        <f>+Données!I159</f>
        <v>0</v>
      </c>
      <c r="G159" s="8">
        <f>+Données!J159</f>
        <v>3619.96</v>
      </c>
      <c r="H159" s="8">
        <f>Données!U159</f>
        <v>-7911.3</v>
      </c>
      <c r="I159" s="152">
        <f>Données!V159</f>
        <v>0</v>
      </c>
      <c r="J159" s="152">
        <f>Données!W159</f>
        <v>0</v>
      </c>
      <c r="K159" s="8">
        <f>+Données!Q159</f>
        <v>5781.31</v>
      </c>
      <c r="L159" s="343">
        <f t="shared" si="7"/>
        <v>641177.03</v>
      </c>
      <c r="M159" s="8">
        <f>+Données!F159</f>
        <v>0</v>
      </c>
      <c r="N159" s="8">
        <f>+Données!K159</f>
        <v>255.7</v>
      </c>
      <c r="O159" s="8">
        <f>(Données!L159/Données!Y159)*1</f>
        <v>49633.3</v>
      </c>
      <c r="P159" s="343">
        <f t="shared" si="8"/>
        <v>691066.03</v>
      </c>
      <c r="Q159" s="173">
        <f>+Données!X159</f>
        <v>73</v>
      </c>
      <c r="R159" s="343">
        <f t="shared" si="9"/>
        <v>9466.6579452054793</v>
      </c>
    </row>
    <row r="160" spans="1:18" x14ac:dyDescent="0.25">
      <c r="A160" s="7">
        <f>Données!A160</f>
        <v>5671</v>
      </c>
      <c r="B160" s="27" t="str">
        <f>Données!B160</f>
        <v>Dompierre</v>
      </c>
      <c r="C160" s="8">
        <f>Données!C160+Données!D160</f>
        <v>589487.01</v>
      </c>
      <c r="D160" s="8">
        <f>+Données!G160+Données!H160+Données!S160</f>
        <v>4268.53</v>
      </c>
      <c r="E160" s="8">
        <f>+Données!E160</f>
        <v>0</v>
      </c>
      <c r="F160" s="8">
        <f>+Données!I160</f>
        <v>0</v>
      </c>
      <c r="G160" s="8">
        <f>+Données!J160</f>
        <v>5265.87</v>
      </c>
      <c r="H160" s="8">
        <f>Données!U160</f>
        <v>-5824.15</v>
      </c>
      <c r="I160" s="152">
        <f>Données!V160</f>
        <v>0</v>
      </c>
      <c r="J160" s="152">
        <f>Données!W160</f>
        <v>0</v>
      </c>
      <c r="K160" s="8">
        <f>+Données!Q160</f>
        <v>0</v>
      </c>
      <c r="L160" s="343">
        <f t="shared" si="7"/>
        <v>593197.26</v>
      </c>
      <c r="M160" s="8">
        <f>+Données!F160</f>
        <v>1246</v>
      </c>
      <c r="N160" s="8">
        <f>+Données!K160</f>
        <v>223.5</v>
      </c>
      <c r="O160" s="8">
        <f>(Données!L160/Données!Y160)*1</f>
        <v>34898</v>
      </c>
      <c r="P160" s="343">
        <f t="shared" si="8"/>
        <v>629564.76</v>
      </c>
      <c r="Q160" s="173">
        <f>+Données!X160</f>
        <v>78</v>
      </c>
      <c r="R160" s="343">
        <f t="shared" si="9"/>
        <v>8071.3430769230772</v>
      </c>
    </row>
    <row r="161" spans="1:18" x14ac:dyDescent="0.25">
      <c r="A161" s="7">
        <f>Données!A161</f>
        <v>5673</v>
      </c>
      <c r="B161" s="27" t="str">
        <f>Données!B161</f>
        <v>Hermenches</v>
      </c>
      <c r="C161" s="8">
        <f>Données!C161+Données!D161</f>
        <v>757049.31</v>
      </c>
      <c r="D161" s="8">
        <f>+Données!G161+Données!H161+Données!S161</f>
        <v>1581.8999999999999</v>
      </c>
      <c r="E161" s="8">
        <f>+Données!E161</f>
        <v>0</v>
      </c>
      <c r="F161" s="8">
        <f>+Données!I161</f>
        <v>0</v>
      </c>
      <c r="G161" s="8">
        <f>+Données!J161</f>
        <v>3912.51</v>
      </c>
      <c r="H161" s="8">
        <f>Données!U161</f>
        <v>-3073.46</v>
      </c>
      <c r="I161" s="152">
        <f>Données!V161</f>
        <v>0</v>
      </c>
      <c r="J161" s="152">
        <f>Données!W161</f>
        <v>-85.75</v>
      </c>
      <c r="K161" s="8">
        <f>+Données!Q161</f>
        <v>0</v>
      </c>
      <c r="L161" s="343">
        <f t="shared" si="7"/>
        <v>759384.51000000013</v>
      </c>
      <c r="M161" s="8">
        <f>+Données!F161</f>
        <v>2240</v>
      </c>
      <c r="N161" s="8">
        <f>+Données!K161</f>
        <v>408</v>
      </c>
      <c r="O161" s="8">
        <f>(Données!L161/Données!Y161)*1</f>
        <v>50020.5</v>
      </c>
      <c r="P161" s="343">
        <f t="shared" si="8"/>
        <v>812053.01000000013</v>
      </c>
      <c r="Q161" s="173">
        <f>+Données!X161</f>
        <v>73.5</v>
      </c>
      <c r="R161" s="343">
        <f t="shared" si="9"/>
        <v>11048.340272108846</v>
      </c>
    </row>
    <row r="162" spans="1:18" x14ac:dyDescent="0.25">
      <c r="A162" s="7">
        <f>Données!A162</f>
        <v>5674</v>
      </c>
      <c r="B162" s="27" t="str">
        <f>Données!B162</f>
        <v>Lovatens</v>
      </c>
      <c r="C162" s="8">
        <f>Données!C162+Données!D162</f>
        <v>289083.46999999997</v>
      </c>
      <c r="D162" s="8">
        <f>+Données!G162+Données!H162+Données!S162</f>
        <v>518.69000000000005</v>
      </c>
      <c r="E162" s="8">
        <f>+Données!E162</f>
        <v>0</v>
      </c>
      <c r="F162" s="8">
        <f>+Données!I162</f>
        <v>0</v>
      </c>
      <c r="G162" s="8">
        <f>+Données!J162</f>
        <v>80.13</v>
      </c>
      <c r="H162" s="8">
        <f>Données!U162</f>
        <v>-4817.76</v>
      </c>
      <c r="I162" s="152">
        <f>Données!V162</f>
        <v>0</v>
      </c>
      <c r="J162" s="152">
        <f>Données!W162</f>
        <v>0</v>
      </c>
      <c r="K162" s="8">
        <f>+Données!Q162</f>
        <v>1761.67</v>
      </c>
      <c r="L162" s="343">
        <f t="shared" si="7"/>
        <v>286626.19999999995</v>
      </c>
      <c r="M162" s="8">
        <f>+Données!F162</f>
        <v>0</v>
      </c>
      <c r="N162" s="8">
        <f>+Données!K162</f>
        <v>64.099999999999994</v>
      </c>
      <c r="O162" s="8">
        <f>(Données!L162/Données!Y162)*1</f>
        <v>21127.5</v>
      </c>
      <c r="P162" s="343">
        <f t="shared" si="8"/>
        <v>307817.79999999993</v>
      </c>
      <c r="Q162" s="173">
        <f>+Données!X162</f>
        <v>75</v>
      </c>
      <c r="R162" s="343">
        <f t="shared" si="9"/>
        <v>4104.2373333333326</v>
      </c>
    </row>
    <row r="163" spans="1:18" x14ac:dyDescent="0.25">
      <c r="A163" s="7">
        <f>Données!A163</f>
        <v>5675</v>
      </c>
      <c r="B163" s="27" t="str">
        <f>Données!B163</f>
        <v>Lucens</v>
      </c>
      <c r="C163" s="8">
        <f>Données!C163+Données!D163</f>
        <v>5571439.3800000008</v>
      </c>
      <c r="D163" s="8">
        <f>+Données!G163+Données!H163+Données!S163</f>
        <v>382479.61000000004</v>
      </c>
      <c r="E163" s="8">
        <f>+Données!E163</f>
        <v>0</v>
      </c>
      <c r="F163" s="8">
        <f>+Données!I163</f>
        <v>0</v>
      </c>
      <c r="G163" s="8">
        <f>+Données!J163</f>
        <v>259287.05</v>
      </c>
      <c r="H163" s="8">
        <f>Données!U163</f>
        <v>-209222.49</v>
      </c>
      <c r="I163" s="152">
        <f>Données!V163</f>
        <v>0</v>
      </c>
      <c r="J163" s="152">
        <f>Données!W163</f>
        <v>-766.3</v>
      </c>
      <c r="K163" s="8">
        <f>+Données!Q163</f>
        <v>45868.36</v>
      </c>
      <c r="L163" s="343">
        <f t="shared" si="7"/>
        <v>6049085.6100000013</v>
      </c>
      <c r="M163" s="8">
        <f>+Données!F163</f>
        <v>0</v>
      </c>
      <c r="N163" s="8">
        <f>+Données!K163</f>
        <v>70282</v>
      </c>
      <c r="O163" s="8">
        <f>(Données!L163/Données!Y163)*1</f>
        <v>686076.59090909082</v>
      </c>
      <c r="P163" s="343">
        <f t="shared" si="8"/>
        <v>6805444.2009090921</v>
      </c>
      <c r="Q163" s="173">
        <f>+Données!X163</f>
        <v>69.5</v>
      </c>
      <c r="R163" s="343">
        <f t="shared" si="9"/>
        <v>97920.060444735136</v>
      </c>
    </row>
    <row r="164" spans="1:18" x14ac:dyDescent="0.25">
      <c r="A164" s="7">
        <f>Données!A164</f>
        <v>5678</v>
      </c>
      <c r="B164" s="27" t="str">
        <f>Données!B164</f>
        <v>Moudon</v>
      </c>
      <c r="C164" s="8">
        <f>Données!C164+Données!D164</f>
        <v>7437660.7800000003</v>
      </c>
      <c r="D164" s="8">
        <f>+Données!G164+Données!H164+Données!S164</f>
        <v>913679.29</v>
      </c>
      <c r="E164" s="8">
        <f>+Données!E164</f>
        <v>0</v>
      </c>
      <c r="F164" s="8">
        <f>+Données!I164</f>
        <v>0</v>
      </c>
      <c r="G164" s="8">
        <f>+Données!J164</f>
        <v>455527.03</v>
      </c>
      <c r="H164" s="8">
        <f>Données!U164</f>
        <v>-317542.99</v>
      </c>
      <c r="I164" s="152">
        <f>Données!V164</f>
        <v>0</v>
      </c>
      <c r="J164" s="152">
        <f>Données!W164</f>
        <v>-4739.46</v>
      </c>
      <c r="K164" s="8">
        <f>+Données!Q164</f>
        <v>186298.55</v>
      </c>
      <c r="L164" s="343">
        <f t="shared" si="7"/>
        <v>8670883.1999999993</v>
      </c>
      <c r="M164" s="8">
        <f>+Données!F164</f>
        <v>35690</v>
      </c>
      <c r="N164" s="8">
        <f>+Données!K164</f>
        <v>87909.25</v>
      </c>
      <c r="O164" s="8">
        <f>(Données!L164/Données!Y164)*1</f>
        <v>905011.85</v>
      </c>
      <c r="P164" s="343">
        <f t="shared" si="8"/>
        <v>9699494.2999999989</v>
      </c>
      <c r="Q164" s="173">
        <f>+Données!X164</f>
        <v>72.5</v>
      </c>
      <c r="R164" s="343">
        <f t="shared" si="9"/>
        <v>133786.12827586205</v>
      </c>
    </row>
    <row r="165" spans="1:18" x14ac:dyDescent="0.25">
      <c r="A165" s="7">
        <f>Données!A165</f>
        <v>5680</v>
      </c>
      <c r="B165" s="27" t="str">
        <f>Données!B165</f>
        <v>Ogens</v>
      </c>
      <c r="C165" s="8">
        <f>Données!C165+Données!D165</f>
        <v>521984.15</v>
      </c>
      <c r="D165" s="8">
        <f>+Données!G165+Données!H165+Données!S165</f>
        <v>15909.08</v>
      </c>
      <c r="E165" s="8">
        <f>+Données!E165</f>
        <v>0</v>
      </c>
      <c r="F165" s="8">
        <f>+Données!I165</f>
        <v>0</v>
      </c>
      <c r="G165" s="8">
        <f>+Données!J165</f>
        <v>21507.919999999998</v>
      </c>
      <c r="H165" s="8">
        <f>Données!U165</f>
        <v>-3671.31</v>
      </c>
      <c r="I165" s="152">
        <f>Données!V165</f>
        <v>0</v>
      </c>
      <c r="J165" s="152">
        <f>Données!W165</f>
        <v>-0.23</v>
      </c>
      <c r="K165" s="8">
        <f>+Données!Q165</f>
        <v>0</v>
      </c>
      <c r="L165" s="343">
        <f t="shared" si="7"/>
        <v>555729.61</v>
      </c>
      <c r="M165" s="8">
        <f>+Données!F165</f>
        <v>0</v>
      </c>
      <c r="N165" s="8">
        <f>+Données!K165</f>
        <v>2747.95</v>
      </c>
      <c r="O165" s="8">
        <f>(Données!L165/Données!Y165)*1</f>
        <v>58464.166666666664</v>
      </c>
      <c r="P165" s="343">
        <f t="shared" si="8"/>
        <v>616941.72666666657</v>
      </c>
      <c r="Q165" s="173">
        <f>+Données!X165</f>
        <v>78</v>
      </c>
      <c r="R165" s="343">
        <f t="shared" si="9"/>
        <v>7909.509316239315</v>
      </c>
    </row>
    <row r="166" spans="1:18" x14ac:dyDescent="0.25">
      <c r="A166" s="7">
        <f>Données!A166</f>
        <v>5683</v>
      </c>
      <c r="B166" s="27" t="str">
        <f>Données!B166</f>
        <v>Prévonloup</v>
      </c>
      <c r="C166" s="8">
        <f>Données!C166+Données!D166</f>
        <v>402458.76</v>
      </c>
      <c r="D166" s="8">
        <f>+Données!G166+Données!H166+Données!S166</f>
        <v>11278.13</v>
      </c>
      <c r="E166" s="8">
        <f>+Données!E166</f>
        <v>0</v>
      </c>
      <c r="F166" s="8">
        <f>+Données!I166</f>
        <v>0</v>
      </c>
      <c r="G166" s="8">
        <f>+Données!J166</f>
        <v>5590.6</v>
      </c>
      <c r="H166" s="8">
        <f>Données!U166</f>
        <v>-5527.12</v>
      </c>
      <c r="I166" s="152">
        <f>Données!V166</f>
        <v>0</v>
      </c>
      <c r="J166" s="152">
        <f>Données!W166</f>
        <v>0</v>
      </c>
      <c r="K166" s="8">
        <f>+Données!Q166</f>
        <v>22119.9</v>
      </c>
      <c r="L166" s="343">
        <f t="shared" si="7"/>
        <v>435920.27</v>
      </c>
      <c r="M166" s="8">
        <f>+Données!F166</f>
        <v>0</v>
      </c>
      <c r="N166" s="8">
        <f>+Données!K166</f>
        <v>2570.5</v>
      </c>
      <c r="O166" s="8">
        <f>(Données!L166/Données!Y166)*1</f>
        <v>31960</v>
      </c>
      <c r="P166" s="343">
        <f t="shared" si="8"/>
        <v>470450.77</v>
      </c>
      <c r="Q166" s="173">
        <f>+Données!X166</f>
        <v>72.5</v>
      </c>
      <c r="R166" s="343">
        <f t="shared" si="9"/>
        <v>6488.9761379310348</v>
      </c>
    </row>
    <row r="167" spans="1:18" x14ac:dyDescent="0.25">
      <c r="A167" s="7">
        <f>Données!A167</f>
        <v>5684</v>
      </c>
      <c r="B167" s="27" t="str">
        <f>Données!B167</f>
        <v>Rossenges</v>
      </c>
      <c r="C167" s="8">
        <f>Données!C167+Données!D167</f>
        <v>333307.45</v>
      </c>
      <c r="D167" s="8">
        <f>+Données!G167+Données!H167+Données!S167</f>
        <v>881.7700000000001</v>
      </c>
      <c r="E167" s="8">
        <f>+Données!E167</f>
        <v>0</v>
      </c>
      <c r="F167" s="8">
        <f>+Données!I167</f>
        <v>0</v>
      </c>
      <c r="G167" s="8">
        <f>+Données!J167</f>
        <v>6917.64</v>
      </c>
      <c r="H167" s="8">
        <f>Données!U167</f>
        <v>-3082.26</v>
      </c>
      <c r="I167" s="152">
        <f>Données!V167</f>
        <v>0</v>
      </c>
      <c r="J167" s="152">
        <f>Données!W167</f>
        <v>0</v>
      </c>
      <c r="K167" s="8">
        <f>+Données!Q167</f>
        <v>0</v>
      </c>
      <c r="L167" s="343">
        <f t="shared" si="7"/>
        <v>338024.60000000003</v>
      </c>
      <c r="M167" s="8">
        <f>+Données!F167</f>
        <v>0</v>
      </c>
      <c r="N167" s="8">
        <f>+Données!K167</f>
        <v>0</v>
      </c>
      <c r="O167" s="8">
        <f>(Données!L167/Données!Y167)*1</f>
        <v>13632.625</v>
      </c>
      <c r="P167" s="343">
        <f t="shared" si="8"/>
        <v>351657.22500000003</v>
      </c>
      <c r="Q167" s="173">
        <f>+Données!X167</f>
        <v>70</v>
      </c>
      <c r="R167" s="343">
        <f t="shared" si="9"/>
        <v>5023.6746428571432</v>
      </c>
    </row>
    <row r="168" spans="1:18" x14ac:dyDescent="0.25">
      <c r="A168" s="7">
        <f>Données!A168</f>
        <v>5688</v>
      </c>
      <c r="B168" s="27" t="str">
        <f>Données!B168</f>
        <v>Syens</v>
      </c>
      <c r="C168" s="8">
        <f>Données!C168+Données!D168</f>
        <v>317202.18</v>
      </c>
      <c r="D168" s="8">
        <f>+Données!G168+Données!H168+Données!S168</f>
        <v>-9029.81</v>
      </c>
      <c r="E168" s="8">
        <f>+Données!E168</f>
        <v>0</v>
      </c>
      <c r="F168" s="8">
        <f>+Données!I168</f>
        <v>0</v>
      </c>
      <c r="G168" s="8">
        <f>+Données!J168</f>
        <v>8034.94</v>
      </c>
      <c r="H168" s="8">
        <f>Données!U168</f>
        <v>-2104.5100000000002</v>
      </c>
      <c r="I168" s="152">
        <f>Données!V168</f>
        <v>0</v>
      </c>
      <c r="J168" s="152">
        <f>Données!W168</f>
        <v>0</v>
      </c>
      <c r="K168" s="8">
        <f>+Données!Q168</f>
        <v>0</v>
      </c>
      <c r="L168" s="343">
        <f t="shared" si="7"/>
        <v>314102.8</v>
      </c>
      <c r="M168" s="8">
        <f>+Données!F168</f>
        <v>0</v>
      </c>
      <c r="N168" s="8">
        <f>+Données!K168</f>
        <v>105</v>
      </c>
      <c r="O168" s="8">
        <f>(Données!L168/Données!Y168)*1</f>
        <v>25439</v>
      </c>
      <c r="P168" s="343">
        <f t="shared" si="8"/>
        <v>339646.8</v>
      </c>
      <c r="Q168" s="173">
        <f>+Données!X168</f>
        <v>65</v>
      </c>
      <c r="R168" s="343">
        <f t="shared" si="9"/>
        <v>5225.3353846153841</v>
      </c>
    </row>
    <row r="169" spans="1:18" x14ac:dyDescent="0.25">
      <c r="A169" s="7">
        <f>Données!A169</f>
        <v>5690</v>
      </c>
      <c r="B169" s="27" t="str">
        <f>Données!B169</f>
        <v>Villars-le-Comte</v>
      </c>
      <c r="C169" s="8">
        <f>Données!C169+Données!D169</f>
        <v>273894.41000000003</v>
      </c>
      <c r="D169" s="8">
        <f>+Données!G169+Données!H169+Données!S169</f>
        <v>1181.9399999999998</v>
      </c>
      <c r="E169" s="8">
        <f>+Données!E169</f>
        <v>0</v>
      </c>
      <c r="F169" s="8">
        <f>+Données!I169</f>
        <v>0</v>
      </c>
      <c r="G169" s="8">
        <f>+Données!J169</f>
        <v>51.81</v>
      </c>
      <c r="H169" s="8">
        <f>Données!U169</f>
        <v>-41.82</v>
      </c>
      <c r="I169" s="152">
        <f>Données!V169</f>
        <v>0</v>
      </c>
      <c r="J169" s="152">
        <f>Données!W169</f>
        <v>0</v>
      </c>
      <c r="K169" s="8">
        <f>+Données!Q169</f>
        <v>0</v>
      </c>
      <c r="L169" s="343">
        <f t="shared" si="7"/>
        <v>275086.34000000003</v>
      </c>
      <c r="M169" s="8">
        <f>+Données!F169</f>
        <v>830</v>
      </c>
      <c r="N169" s="8">
        <f>+Données!K169</f>
        <v>184.1</v>
      </c>
      <c r="O169" s="8">
        <f>(Données!L169/Données!Y169)*1</f>
        <v>21958.7</v>
      </c>
      <c r="P169" s="343">
        <f t="shared" si="8"/>
        <v>298059.14</v>
      </c>
      <c r="Q169" s="173">
        <f>+Données!X169</f>
        <v>68</v>
      </c>
      <c r="R169" s="343">
        <f t="shared" si="9"/>
        <v>4383.2226470588239</v>
      </c>
    </row>
    <row r="170" spans="1:18" x14ac:dyDescent="0.25">
      <c r="A170" s="7">
        <f>Données!A170</f>
        <v>5692</v>
      </c>
      <c r="B170" s="27" t="str">
        <f>Données!B170</f>
        <v>Vucherens</v>
      </c>
      <c r="C170" s="8">
        <f>Données!C170+Données!D170</f>
        <v>1279606.25</v>
      </c>
      <c r="D170" s="8">
        <f>+Données!G170+Données!H170+Données!S170</f>
        <v>13251.939999999999</v>
      </c>
      <c r="E170" s="8">
        <f>+Données!E170</f>
        <v>0</v>
      </c>
      <c r="F170" s="8">
        <f>+Données!I170</f>
        <v>0</v>
      </c>
      <c r="G170" s="8">
        <f>+Données!J170</f>
        <v>13077.56</v>
      </c>
      <c r="H170" s="8">
        <f>Données!U170</f>
        <v>-4576.22</v>
      </c>
      <c r="I170" s="152">
        <f>Données!V170</f>
        <v>0</v>
      </c>
      <c r="J170" s="152">
        <f>Données!W170</f>
        <v>-83.35</v>
      </c>
      <c r="K170" s="8">
        <f>+Données!Q170</f>
        <v>207.6</v>
      </c>
      <c r="L170" s="343">
        <f t="shared" si="7"/>
        <v>1301483.78</v>
      </c>
      <c r="M170" s="8">
        <f>+Données!F170</f>
        <v>0</v>
      </c>
      <c r="N170" s="8">
        <f>+Données!K170</f>
        <v>4697</v>
      </c>
      <c r="O170" s="8">
        <f>(Données!L170/Données!Y170)*1</f>
        <v>111261</v>
      </c>
      <c r="P170" s="343">
        <f t="shared" si="8"/>
        <v>1417441.78</v>
      </c>
      <c r="Q170" s="173">
        <f>+Données!X170</f>
        <v>77</v>
      </c>
      <c r="R170" s="343">
        <f t="shared" si="9"/>
        <v>18408.334805194805</v>
      </c>
    </row>
    <row r="171" spans="1:18" x14ac:dyDescent="0.25">
      <c r="A171" s="7">
        <f>Données!A171</f>
        <v>5693</v>
      </c>
      <c r="B171" s="27" t="str">
        <f>Données!B171</f>
        <v>Montanaire</v>
      </c>
      <c r="C171" s="8">
        <f>Données!C171+Données!D171</f>
        <v>4685646.25</v>
      </c>
      <c r="D171" s="8">
        <f>+Données!G171+Données!H171+Données!S171</f>
        <v>116000.21</v>
      </c>
      <c r="E171" s="8">
        <f>+Données!E171</f>
        <v>0</v>
      </c>
      <c r="F171" s="8">
        <f>+Données!I171</f>
        <v>0</v>
      </c>
      <c r="G171" s="8">
        <f>+Données!J171</f>
        <v>71180.95</v>
      </c>
      <c r="H171" s="8">
        <f>Données!U171</f>
        <v>-137067.68</v>
      </c>
      <c r="I171" s="152">
        <f>Données!V171</f>
        <v>0</v>
      </c>
      <c r="J171" s="152">
        <f>Données!W171</f>
        <v>-550.04999999999995</v>
      </c>
      <c r="K171" s="8">
        <f>+Données!Q171</f>
        <v>17664.240000000002</v>
      </c>
      <c r="L171" s="343">
        <f t="shared" si="7"/>
        <v>4752873.9200000009</v>
      </c>
      <c r="M171" s="8">
        <f>+Données!F171</f>
        <v>0</v>
      </c>
      <c r="N171" s="8">
        <f>+Données!K171</f>
        <v>13313.85</v>
      </c>
      <c r="O171" s="8">
        <f>(Données!L171/Données!Y171)*1</f>
        <v>455543.2</v>
      </c>
      <c r="P171" s="343">
        <f t="shared" si="8"/>
        <v>5221730.9700000007</v>
      </c>
      <c r="Q171" s="173">
        <f>+Données!X171</f>
        <v>70</v>
      </c>
      <c r="R171" s="343">
        <f t="shared" si="9"/>
        <v>74596.156714285724</v>
      </c>
    </row>
    <row r="172" spans="1:18" x14ac:dyDescent="0.25">
      <c r="A172" s="7">
        <f>Données!A172</f>
        <v>5701</v>
      </c>
      <c r="B172" s="27" t="str">
        <f>Données!B172</f>
        <v>Arnex-sur-Nyon</v>
      </c>
      <c r="C172" s="8">
        <f>Données!C172+Données!D172</f>
        <v>843469.1</v>
      </c>
      <c r="D172" s="8">
        <f>+Données!G172+Données!H172+Données!S172</f>
        <v>6116.88</v>
      </c>
      <c r="E172" s="8">
        <f>+Données!E172</f>
        <v>0</v>
      </c>
      <c r="F172" s="8">
        <f>+Données!I172</f>
        <v>65333.35</v>
      </c>
      <c r="G172" s="8">
        <f>+Données!J172</f>
        <v>23111.19</v>
      </c>
      <c r="H172" s="8">
        <f>Données!U172</f>
        <v>-915.64</v>
      </c>
      <c r="I172" s="152">
        <f>Données!V172</f>
        <v>0</v>
      </c>
      <c r="J172" s="152">
        <f>Données!W172</f>
        <v>-2239.6999999999998</v>
      </c>
      <c r="K172" s="8">
        <f>+Données!Q172</f>
        <v>0</v>
      </c>
      <c r="L172" s="343">
        <f t="shared" si="7"/>
        <v>934875.17999999993</v>
      </c>
      <c r="M172" s="8">
        <f>+Données!F172</f>
        <v>0</v>
      </c>
      <c r="N172" s="8">
        <f>+Données!K172</f>
        <v>508.25</v>
      </c>
      <c r="O172" s="8">
        <f>(Données!L172/Données!Y172)*1</f>
        <v>74620.600000000006</v>
      </c>
      <c r="P172" s="343">
        <f t="shared" si="8"/>
        <v>1010004.0299999999</v>
      </c>
      <c r="Q172" s="173">
        <f>+Données!X172</f>
        <v>70</v>
      </c>
      <c r="R172" s="343">
        <f t="shared" si="9"/>
        <v>14428.628999999999</v>
      </c>
    </row>
    <row r="173" spans="1:18" x14ac:dyDescent="0.25">
      <c r="A173" s="7">
        <f>Données!A173</f>
        <v>5702</v>
      </c>
      <c r="B173" s="27" t="str">
        <f>Données!B173</f>
        <v>Arzier-Le Muids</v>
      </c>
      <c r="C173" s="8">
        <f>Données!C173+Données!D173</f>
        <v>10771825.82</v>
      </c>
      <c r="D173" s="8">
        <f>+Données!G173+Données!H173+Données!S173</f>
        <v>84507.76999999999</v>
      </c>
      <c r="E173" s="8">
        <f>+Données!E173</f>
        <v>0</v>
      </c>
      <c r="F173" s="8">
        <f>+Données!I173</f>
        <v>288892.77</v>
      </c>
      <c r="G173" s="8">
        <f>+Données!J173</f>
        <v>147798.74</v>
      </c>
      <c r="H173" s="8">
        <f>Données!U173</f>
        <v>-90238.83</v>
      </c>
      <c r="I173" s="152">
        <f>Données!V173</f>
        <v>0</v>
      </c>
      <c r="J173" s="152">
        <f>Données!W173</f>
        <v>-47380.87</v>
      </c>
      <c r="K173" s="8">
        <f>+Données!Q173</f>
        <v>1225.52</v>
      </c>
      <c r="L173" s="343">
        <f t="shared" si="7"/>
        <v>11156630.92</v>
      </c>
      <c r="M173" s="8">
        <f>+Données!F173</f>
        <v>0</v>
      </c>
      <c r="N173" s="8">
        <f>+Données!K173</f>
        <v>22249.55</v>
      </c>
      <c r="O173" s="8">
        <f>(Données!L173/Données!Y173)*1</f>
        <v>894231.9</v>
      </c>
      <c r="P173" s="343">
        <f t="shared" si="8"/>
        <v>12073112.370000001</v>
      </c>
      <c r="Q173" s="173">
        <f>+Données!X173</f>
        <v>64</v>
      </c>
      <c r="R173" s="343">
        <f t="shared" si="9"/>
        <v>188642.38078125002</v>
      </c>
    </row>
    <row r="174" spans="1:18" x14ac:dyDescent="0.25">
      <c r="A174" s="7">
        <f>Données!A174</f>
        <v>5703</v>
      </c>
      <c r="B174" s="27" t="str">
        <f>Données!B174</f>
        <v>Bassins</v>
      </c>
      <c r="C174" s="8">
        <f>Données!C174+Données!D174</f>
        <v>4388316.1899999995</v>
      </c>
      <c r="D174" s="8">
        <f>+Données!G174+Données!H174+Données!S174</f>
        <v>59439.58</v>
      </c>
      <c r="E174" s="8">
        <f>+Données!E174</f>
        <v>0</v>
      </c>
      <c r="F174" s="8">
        <f>+Données!I174</f>
        <v>0</v>
      </c>
      <c r="G174" s="8">
        <f>+Données!J174</f>
        <v>39480.65</v>
      </c>
      <c r="H174" s="8">
        <f>Données!U174</f>
        <v>-63883.09</v>
      </c>
      <c r="I174" s="152">
        <f>Données!V174</f>
        <v>0</v>
      </c>
      <c r="J174" s="152">
        <f>Données!W174</f>
        <v>-2696.96</v>
      </c>
      <c r="K174" s="8">
        <f>+Données!Q174</f>
        <v>17148.919999999998</v>
      </c>
      <c r="L174" s="343">
        <f t="shared" si="7"/>
        <v>4437805.29</v>
      </c>
      <c r="M174" s="8">
        <f>+Données!F174</f>
        <v>0</v>
      </c>
      <c r="N174" s="8">
        <f>+Données!K174</f>
        <v>3008.25</v>
      </c>
      <c r="O174" s="8">
        <f>(Données!L174/Données!Y174)*1</f>
        <v>352910.57142857142</v>
      </c>
      <c r="P174" s="343">
        <f t="shared" si="8"/>
        <v>4793724.1114285719</v>
      </c>
      <c r="Q174" s="173">
        <f>+Données!X174</f>
        <v>72.5</v>
      </c>
      <c r="R174" s="343">
        <f t="shared" si="9"/>
        <v>66120.332571428575</v>
      </c>
    </row>
    <row r="175" spans="1:18" x14ac:dyDescent="0.25">
      <c r="A175" s="7">
        <f>Données!A175</f>
        <v>5704</v>
      </c>
      <c r="B175" s="27" t="str">
        <f>Données!B175</f>
        <v>Begnins</v>
      </c>
      <c r="C175" s="8">
        <f>Données!C175+Données!D175</f>
        <v>7994840.8900000006</v>
      </c>
      <c r="D175" s="8">
        <f>+Données!G175+Données!H175+Données!S175</f>
        <v>58183.240000000005</v>
      </c>
      <c r="E175" s="8">
        <f>+Données!E175</f>
        <v>0</v>
      </c>
      <c r="F175" s="8">
        <f>+Données!I175</f>
        <v>298727.25</v>
      </c>
      <c r="G175" s="8">
        <f>+Données!J175</f>
        <v>35971.32</v>
      </c>
      <c r="H175" s="8">
        <f>Données!U175</f>
        <v>-24500.82</v>
      </c>
      <c r="I175" s="152">
        <f>Données!V175</f>
        <v>0</v>
      </c>
      <c r="J175" s="152">
        <f>Données!W175</f>
        <v>-174357.69</v>
      </c>
      <c r="K175" s="8">
        <f>+Données!Q175</f>
        <v>140.05000000000001</v>
      </c>
      <c r="L175" s="343">
        <f t="shared" si="7"/>
        <v>8189004.2400000002</v>
      </c>
      <c r="M175" s="8">
        <f>+Données!F175</f>
        <v>0</v>
      </c>
      <c r="N175" s="8">
        <f>+Données!K175</f>
        <v>19361.05</v>
      </c>
      <c r="O175" s="8">
        <f>(Données!L175/Données!Y175)*1</f>
        <v>562760.56666666665</v>
      </c>
      <c r="P175" s="343">
        <f t="shared" si="8"/>
        <v>8771125.8566666674</v>
      </c>
      <c r="Q175" s="173">
        <f>+Données!X175</f>
        <v>62.5</v>
      </c>
      <c r="R175" s="343">
        <f t="shared" si="9"/>
        <v>140338.01370666668</v>
      </c>
    </row>
    <row r="176" spans="1:18" x14ac:dyDescent="0.25">
      <c r="A176" s="7">
        <f>Données!A176</f>
        <v>5705</v>
      </c>
      <c r="B176" s="27" t="str">
        <f>Données!B176</f>
        <v>Bogis-Bossey</v>
      </c>
      <c r="C176" s="8">
        <f>Données!C176+Données!D176</f>
        <v>3672057.77</v>
      </c>
      <c r="D176" s="8">
        <f>+Données!G176+Données!H176+Données!S176</f>
        <v>20551.25</v>
      </c>
      <c r="E176" s="8">
        <f>+Données!E176</f>
        <v>0</v>
      </c>
      <c r="F176" s="8">
        <f>+Données!I176</f>
        <v>59427.65</v>
      </c>
      <c r="G176" s="8">
        <f>+Données!J176</f>
        <v>53425.11</v>
      </c>
      <c r="H176" s="8">
        <f>Données!U176</f>
        <v>-28507.59</v>
      </c>
      <c r="I176" s="152">
        <f>Données!V176</f>
        <v>0</v>
      </c>
      <c r="J176" s="152">
        <f>Données!W176</f>
        <v>-13302.25</v>
      </c>
      <c r="K176" s="8">
        <f>+Données!Q176</f>
        <v>0</v>
      </c>
      <c r="L176" s="343">
        <f t="shared" si="7"/>
        <v>3763651.94</v>
      </c>
      <c r="M176" s="8">
        <f>+Données!F176</f>
        <v>0</v>
      </c>
      <c r="N176" s="8">
        <f>+Données!K176</f>
        <v>10468.75</v>
      </c>
      <c r="O176" s="8">
        <f>(Données!L176/Données!Y176)*1</f>
        <v>244728</v>
      </c>
      <c r="P176" s="343">
        <f t="shared" si="8"/>
        <v>4018848.69</v>
      </c>
      <c r="Q176" s="173">
        <f>+Données!X176</f>
        <v>72</v>
      </c>
      <c r="R176" s="343">
        <f t="shared" si="9"/>
        <v>55817.342916666668</v>
      </c>
    </row>
    <row r="177" spans="1:18" x14ac:dyDescent="0.25">
      <c r="A177" s="7">
        <f>Données!A177</f>
        <v>5706</v>
      </c>
      <c r="B177" s="27" t="str">
        <f>Données!B177</f>
        <v>Borex</v>
      </c>
      <c r="C177" s="8">
        <f>Données!C177+Données!D177</f>
        <v>3672750.5300000003</v>
      </c>
      <c r="D177" s="8">
        <f>+Données!G177+Données!H177+Données!S177</f>
        <v>36295.81</v>
      </c>
      <c r="E177" s="8">
        <f>+Données!E177</f>
        <v>0</v>
      </c>
      <c r="F177" s="8">
        <f>+Données!I177</f>
        <v>51552.75</v>
      </c>
      <c r="G177" s="8">
        <f>+Données!J177</f>
        <v>47848.47</v>
      </c>
      <c r="H177" s="8">
        <f>Données!U177</f>
        <v>-32011.53</v>
      </c>
      <c r="I177" s="152">
        <f>Données!V177</f>
        <v>0</v>
      </c>
      <c r="J177" s="152">
        <f>Données!W177</f>
        <v>-9450.0300000000007</v>
      </c>
      <c r="K177" s="8">
        <f>+Données!Q177</f>
        <v>0</v>
      </c>
      <c r="L177" s="343">
        <f t="shared" si="7"/>
        <v>3766986.0000000009</v>
      </c>
      <c r="M177" s="8">
        <f>+Données!F177</f>
        <v>0</v>
      </c>
      <c r="N177" s="8">
        <f>+Données!K177</f>
        <v>11338</v>
      </c>
      <c r="O177" s="8">
        <f>(Données!L177/Données!Y177)*1</f>
        <v>299150</v>
      </c>
      <c r="P177" s="343">
        <f t="shared" si="8"/>
        <v>4077474.0000000009</v>
      </c>
      <c r="Q177" s="173">
        <f>+Données!X177</f>
        <v>57</v>
      </c>
      <c r="R177" s="343">
        <f t="shared" si="9"/>
        <v>71534.631578947388</v>
      </c>
    </row>
    <row r="178" spans="1:18" x14ac:dyDescent="0.25">
      <c r="A178" s="7">
        <f>Données!A178</f>
        <v>5707</v>
      </c>
      <c r="B178" s="27" t="str">
        <f>Données!B178</f>
        <v>Chavannes-de-Bogis</v>
      </c>
      <c r="C178" s="8">
        <f>Données!C178+Données!D178</f>
        <v>4161529.7</v>
      </c>
      <c r="D178" s="8">
        <f>+Données!G178+Données!H178+Données!S178</f>
        <v>533575.97</v>
      </c>
      <c r="E178" s="8">
        <f>+Données!E178</f>
        <v>0</v>
      </c>
      <c r="F178" s="8">
        <f>+Données!I178</f>
        <v>33622.6</v>
      </c>
      <c r="G178" s="8">
        <f>+Données!J178</f>
        <v>57933.73</v>
      </c>
      <c r="H178" s="8">
        <f>Données!U178</f>
        <v>-9223.33</v>
      </c>
      <c r="I178" s="152">
        <f>Données!V178</f>
        <v>0</v>
      </c>
      <c r="J178" s="152">
        <f>Données!W178</f>
        <v>-5906.6</v>
      </c>
      <c r="K178" s="8">
        <f>+Données!Q178</f>
        <v>11503.31</v>
      </c>
      <c r="L178" s="343">
        <f t="shared" si="7"/>
        <v>4783035.38</v>
      </c>
      <c r="M178" s="8">
        <f>+Données!F178</f>
        <v>0</v>
      </c>
      <c r="N178" s="8">
        <f>+Données!K178</f>
        <v>69865.100000000006</v>
      </c>
      <c r="O178" s="8">
        <f>(Données!L178/Données!Y178)*1</f>
        <v>507252.03333333338</v>
      </c>
      <c r="P178" s="343">
        <f t="shared" si="8"/>
        <v>5360152.5133333327</v>
      </c>
      <c r="Q178" s="173">
        <f>+Données!X178</f>
        <v>58</v>
      </c>
      <c r="R178" s="343">
        <f t="shared" si="9"/>
        <v>92416.422643678146</v>
      </c>
    </row>
    <row r="179" spans="1:18" x14ac:dyDescent="0.25">
      <c r="A179" s="7">
        <f>Données!A179</f>
        <v>5708</v>
      </c>
      <c r="B179" s="27" t="str">
        <f>Données!B179</f>
        <v>Chavannes-des-Bois</v>
      </c>
      <c r="C179" s="8">
        <f>Données!C179+Données!D179</f>
        <v>4957281.43</v>
      </c>
      <c r="D179" s="8">
        <f>+Données!G179+Données!H179+Données!S179</f>
        <v>45726.400000000001</v>
      </c>
      <c r="E179" s="8">
        <f>+Données!E179</f>
        <v>0</v>
      </c>
      <c r="F179" s="8">
        <f>+Données!I179</f>
        <v>0</v>
      </c>
      <c r="G179" s="8">
        <f>+Données!J179</f>
        <v>34636.53</v>
      </c>
      <c r="H179" s="8">
        <f>Données!U179</f>
        <v>-19162.98</v>
      </c>
      <c r="I179" s="152">
        <f>Données!V179</f>
        <v>0</v>
      </c>
      <c r="J179" s="152">
        <f>Données!W179</f>
        <v>-9550.61</v>
      </c>
      <c r="K179" s="8">
        <f>+Données!Q179</f>
        <v>2276.8200000000002</v>
      </c>
      <c r="L179" s="343">
        <f t="shared" si="7"/>
        <v>5011207.59</v>
      </c>
      <c r="M179" s="8">
        <f>+Données!F179</f>
        <v>0</v>
      </c>
      <c r="N179" s="8">
        <f>+Données!K179</f>
        <v>13294.3</v>
      </c>
      <c r="O179" s="8">
        <f>(Données!L179/Données!Y179)*1</f>
        <v>301305.2</v>
      </c>
      <c r="P179" s="343">
        <f t="shared" si="8"/>
        <v>5325807.09</v>
      </c>
      <c r="Q179" s="173">
        <f>+Données!X179</f>
        <v>68</v>
      </c>
      <c r="R179" s="343">
        <f t="shared" si="9"/>
        <v>78320.692500000005</v>
      </c>
    </row>
    <row r="180" spans="1:18" x14ac:dyDescent="0.25">
      <c r="A180" s="7">
        <f>Données!A180</f>
        <v>5709</v>
      </c>
      <c r="B180" s="27" t="str">
        <f>Données!B180</f>
        <v>Chéserex</v>
      </c>
      <c r="C180" s="8">
        <f>Données!C180+Données!D180</f>
        <v>5237597.46</v>
      </c>
      <c r="D180" s="8">
        <f>+Données!G180+Données!H180+Données!S180</f>
        <v>22158.97</v>
      </c>
      <c r="E180" s="8">
        <f>+Données!E180</f>
        <v>0</v>
      </c>
      <c r="F180" s="8">
        <f>+Données!I180</f>
        <v>608390.30000000005</v>
      </c>
      <c r="G180" s="8">
        <f>+Données!J180</f>
        <v>59012.22</v>
      </c>
      <c r="H180" s="8">
        <f>Données!U180</f>
        <v>-7442.2</v>
      </c>
      <c r="I180" s="152">
        <f>Données!V180</f>
        <v>0</v>
      </c>
      <c r="J180" s="152">
        <f>Données!W180</f>
        <v>-81102.720000000001</v>
      </c>
      <c r="K180" s="8">
        <f>+Données!Q180</f>
        <v>38409.35</v>
      </c>
      <c r="L180" s="343">
        <f t="shared" si="7"/>
        <v>5877023.379999999</v>
      </c>
      <c r="M180" s="8">
        <f>+Données!F180</f>
        <v>0</v>
      </c>
      <c r="N180" s="8">
        <f>+Données!K180</f>
        <v>6731.85</v>
      </c>
      <c r="O180" s="8">
        <f>(Données!L180/Données!Y180)*1</f>
        <v>411991.85</v>
      </c>
      <c r="P180" s="343">
        <f t="shared" si="8"/>
        <v>6295747.0799999982</v>
      </c>
      <c r="Q180" s="173">
        <f>+Données!X180</f>
        <v>57</v>
      </c>
      <c r="R180" s="343">
        <f t="shared" si="9"/>
        <v>110451.70315789471</v>
      </c>
    </row>
    <row r="181" spans="1:18" x14ac:dyDescent="0.25">
      <c r="A181" s="7">
        <f>Données!A181</f>
        <v>5710</v>
      </c>
      <c r="B181" s="27" t="str">
        <f>Données!B181</f>
        <v>Coinsins</v>
      </c>
      <c r="C181" s="8">
        <f>Données!C181+Données!D181</f>
        <v>1243776.8500000001</v>
      </c>
      <c r="D181" s="8">
        <f>+Données!G181+Données!H181+Données!S181</f>
        <v>114328.09</v>
      </c>
      <c r="E181" s="8">
        <f>+Données!E181</f>
        <v>0</v>
      </c>
      <c r="F181" s="8">
        <f>+Données!I181</f>
        <v>110710.39999999999</v>
      </c>
      <c r="G181" s="8">
        <f>+Données!J181</f>
        <v>-4662.34</v>
      </c>
      <c r="H181" s="8">
        <f>Données!U181</f>
        <v>-1038</v>
      </c>
      <c r="I181" s="152">
        <f>Données!V181</f>
        <v>0</v>
      </c>
      <c r="J181" s="152">
        <f>Données!W181</f>
        <v>-12181.65</v>
      </c>
      <c r="K181" s="8">
        <f>+Données!Q181</f>
        <v>0</v>
      </c>
      <c r="L181" s="343">
        <f t="shared" si="7"/>
        <v>1450933.35</v>
      </c>
      <c r="M181" s="8">
        <f>+Données!F181</f>
        <v>0</v>
      </c>
      <c r="N181" s="8">
        <f>+Données!K181</f>
        <v>3534.45</v>
      </c>
      <c r="O181" s="8">
        <f>(Données!L181/Données!Y181)*1</f>
        <v>139132.79999999999</v>
      </c>
      <c r="P181" s="343">
        <f t="shared" si="8"/>
        <v>1593600.6</v>
      </c>
      <c r="Q181" s="173">
        <f>+Données!X181</f>
        <v>51</v>
      </c>
      <c r="R181" s="343">
        <f t="shared" si="9"/>
        <v>31247.070588235296</v>
      </c>
    </row>
    <row r="182" spans="1:18" x14ac:dyDescent="0.25">
      <c r="A182" s="7">
        <f>Données!A182</f>
        <v>5711</v>
      </c>
      <c r="B182" s="27" t="str">
        <f>Données!B182</f>
        <v>Commugny</v>
      </c>
      <c r="C182" s="8">
        <f>Données!C182+Données!D182</f>
        <v>13724594.130000001</v>
      </c>
      <c r="D182" s="8">
        <f>+Données!G182+Données!H182+Données!S182</f>
        <v>118354.02</v>
      </c>
      <c r="E182" s="8">
        <f>+Données!E182</f>
        <v>0</v>
      </c>
      <c r="F182" s="8">
        <f>+Données!I182</f>
        <v>108732.25</v>
      </c>
      <c r="G182" s="8">
        <f>+Données!J182</f>
        <v>163384.32000000001</v>
      </c>
      <c r="H182" s="8">
        <f>Données!U182</f>
        <v>-70831.350000000006</v>
      </c>
      <c r="I182" s="152">
        <f>Données!V182</f>
        <v>0</v>
      </c>
      <c r="J182" s="152">
        <f>Données!W182</f>
        <v>-31136.63</v>
      </c>
      <c r="K182" s="8">
        <f>+Données!Q182</f>
        <v>14723.17</v>
      </c>
      <c r="L182" s="343">
        <f t="shared" si="7"/>
        <v>14027819.91</v>
      </c>
      <c r="M182" s="8">
        <f>+Données!F182</f>
        <v>0</v>
      </c>
      <c r="N182" s="8">
        <f>+Données!K182</f>
        <v>19732.099999999999</v>
      </c>
      <c r="O182" s="8">
        <f>(Données!L182/Données!Y182)*1</f>
        <v>1011968.6153846153</v>
      </c>
      <c r="P182" s="343">
        <f t="shared" si="8"/>
        <v>15059520.625384616</v>
      </c>
      <c r="Q182" s="173">
        <f>+Données!X182</f>
        <v>57</v>
      </c>
      <c r="R182" s="343">
        <f t="shared" si="9"/>
        <v>264202.11623481783</v>
      </c>
    </row>
    <row r="183" spans="1:18" x14ac:dyDescent="0.25">
      <c r="A183" s="7">
        <f>Données!A183</f>
        <v>5712</v>
      </c>
      <c r="B183" s="27" t="str">
        <f>Données!B183</f>
        <v>Coppet</v>
      </c>
      <c r="C183" s="8">
        <f>Données!C183+Données!D183</f>
        <v>18703315.080000002</v>
      </c>
      <c r="D183" s="8">
        <f>+Données!G183+Données!H183+Données!S183</f>
        <v>150648.20000000001</v>
      </c>
      <c r="E183" s="8">
        <f>+Données!E183</f>
        <v>0</v>
      </c>
      <c r="F183" s="8">
        <f>+Données!I183</f>
        <v>975397.99</v>
      </c>
      <c r="G183" s="8">
        <f>+Données!J183</f>
        <v>-38537.07</v>
      </c>
      <c r="H183" s="8">
        <f>Données!U183</f>
        <v>-44326.69</v>
      </c>
      <c r="I183" s="152">
        <f>Données!V183</f>
        <v>0</v>
      </c>
      <c r="J183" s="152">
        <f>Données!W183</f>
        <v>-72429.73</v>
      </c>
      <c r="K183" s="8">
        <f>+Données!Q183</f>
        <v>38116.120000000003</v>
      </c>
      <c r="L183" s="343">
        <f t="shared" si="7"/>
        <v>19712183.899999999</v>
      </c>
      <c r="M183" s="8">
        <f>+Données!F183</f>
        <v>0</v>
      </c>
      <c r="N183" s="8">
        <f>+Données!K183</f>
        <v>30075.5</v>
      </c>
      <c r="O183" s="8">
        <f>(Données!L183/Données!Y183)*1</f>
        <v>1261727.0333333334</v>
      </c>
      <c r="P183" s="343">
        <f t="shared" si="8"/>
        <v>21003986.433333334</v>
      </c>
      <c r="Q183" s="173">
        <f>+Données!X183</f>
        <v>55</v>
      </c>
      <c r="R183" s="343">
        <f t="shared" si="9"/>
        <v>381890.66242424241</v>
      </c>
    </row>
    <row r="184" spans="1:18" x14ac:dyDescent="0.25">
      <c r="A184" s="7">
        <f>Données!A184</f>
        <v>5713</v>
      </c>
      <c r="B184" s="27" t="str">
        <f>Données!B184</f>
        <v>Crans</v>
      </c>
      <c r="C184" s="8">
        <f>Données!C184+Données!D184</f>
        <v>15935474.43</v>
      </c>
      <c r="D184" s="8">
        <f>+Données!G184+Données!H184+Données!S184</f>
        <v>83434.11</v>
      </c>
      <c r="E184" s="8">
        <f>+Données!E184</f>
        <v>0</v>
      </c>
      <c r="F184" s="8">
        <f>+Données!I184</f>
        <v>635764.32999999996</v>
      </c>
      <c r="G184" s="8">
        <f>+Données!J184</f>
        <v>357684.29</v>
      </c>
      <c r="H184" s="8">
        <f>Données!U184</f>
        <v>-62248.04</v>
      </c>
      <c r="I184" s="152">
        <f>Données!V184</f>
        <v>0</v>
      </c>
      <c r="J184" s="152">
        <f>Données!W184</f>
        <v>-45187.98</v>
      </c>
      <c r="K184" s="8">
        <f>+Données!Q184</f>
        <v>16378.57</v>
      </c>
      <c r="L184" s="343">
        <f t="shared" si="7"/>
        <v>16921299.710000001</v>
      </c>
      <c r="M184" s="8">
        <f>+Données!F184</f>
        <v>0</v>
      </c>
      <c r="N184" s="8">
        <f>+Données!K184</f>
        <v>23053.7</v>
      </c>
      <c r="O184" s="8">
        <f>(Données!L184/Données!Y184)*1</f>
        <v>946716.45</v>
      </c>
      <c r="P184" s="343">
        <f t="shared" si="8"/>
        <v>17891069.859999999</v>
      </c>
      <c r="Q184" s="173">
        <f>+Données!X184</f>
        <v>59</v>
      </c>
      <c r="R184" s="343">
        <f t="shared" si="9"/>
        <v>303238.4722033898</v>
      </c>
    </row>
    <row r="185" spans="1:18" x14ac:dyDescent="0.25">
      <c r="A185" s="7">
        <f>Données!A185</f>
        <v>5714</v>
      </c>
      <c r="B185" s="27" t="str">
        <f>Données!B185</f>
        <v>Crassier</v>
      </c>
      <c r="C185" s="8">
        <f>Données!C185+Données!D185</f>
        <v>3930520.3899999997</v>
      </c>
      <c r="D185" s="8">
        <f>+Données!G185+Données!H185+Données!S185</f>
        <v>32073.13</v>
      </c>
      <c r="E185" s="8">
        <f>+Données!E185</f>
        <v>0</v>
      </c>
      <c r="F185" s="8">
        <f>+Données!I185</f>
        <v>122162.05</v>
      </c>
      <c r="G185" s="8">
        <f>+Données!J185</f>
        <v>7231.75</v>
      </c>
      <c r="H185" s="8">
        <f>Données!U185</f>
        <v>-15282.32</v>
      </c>
      <c r="I185" s="152">
        <f>Données!V185</f>
        <v>0</v>
      </c>
      <c r="J185" s="152">
        <f>Données!W185</f>
        <v>-3468.65</v>
      </c>
      <c r="K185" s="8">
        <f>+Données!Q185</f>
        <v>2519.4499999999998</v>
      </c>
      <c r="L185" s="343">
        <f t="shared" si="7"/>
        <v>4075755.8</v>
      </c>
      <c r="M185" s="8">
        <f>+Données!F185</f>
        <v>0</v>
      </c>
      <c r="N185" s="8">
        <f>+Données!K185</f>
        <v>5824</v>
      </c>
      <c r="O185" s="8">
        <f>(Données!L185/Données!Y185)*1</f>
        <v>315462.65000000002</v>
      </c>
      <c r="P185" s="343">
        <f t="shared" si="8"/>
        <v>4397042.45</v>
      </c>
      <c r="Q185" s="173">
        <f>+Données!X185</f>
        <v>66.5</v>
      </c>
      <c r="R185" s="343">
        <f t="shared" si="9"/>
        <v>66120.939097744369</v>
      </c>
    </row>
    <row r="186" spans="1:18" x14ac:dyDescent="0.25">
      <c r="A186" s="7">
        <f>Données!A186</f>
        <v>5715</v>
      </c>
      <c r="B186" s="27" t="str">
        <f>Données!B186</f>
        <v>Duillier</v>
      </c>
      <c r="C186" s="8">
        <f>Données!C186+Données!D186</f>
        <v>3669356.92</v>
      </c>
      <c r="D186" s="8">
        <f>+Données!G186+Données!H186+Données!S186</f>
        <v>74898.97</v>
      </c>
      <c r="E186" s="8">
        <f>+Données!E186</f>
        <v>0</v>
      </c>
      <c r="F186" s="8">
        <f>+Données!I186</f>
        <v>0</v>
      </c>
      <c r="G186" s="8">
        <f>+Données!J186</f>
        <v>75369.919999999998</v>
      </c>
      <c r="H186" s="8">
        <f>Données!U186</f>
        <v>-27405.85</v>
      </c>
      <c r="I186" s="152">
        <f>Données!V186</f>
        <v>0</v>
      </c>
      <c r="J186" s="152">
        <f>Données!W186</f>
        <v>-6675.3</v>
      </c>
      <c r="K186" s="8">
        <f>+Données!Q186</f>
        <v>3707.56</v>
      </c>
      <c r="L186" s="343">
        <f t="shared" si="7"/>
        <v>3789252.22</v>
      </c>
      <c r="M186" s="8">
        <f>+Données!F186</f>
        <v>0</v>
      </c>
      <c r="N186" s="8">
        <f>+Données!K186</f>
        <v>7927.5</v>
      </c>
      <c r="O186" s="8">
        <f>(Données!L186/Données!Y186)*1</f>
        <v>300494.59999999998</v>
      </c>
      <c r="P186" s="343">
        <f t="shared" si="8"/>
        <v>4097674.3200000003</v>
      </c>
      <c r="Q186" s="173">
        <f>+Données!X186</f>
        <v>66</v>
      </c>
      <c r="R186" s="343">
        <f t="shared" si="9"/>
        <v>62085.974545454548</v>
      </c>
    </row>
    <row r="187" spans="1:18" x14ac:dyDescent="0.25">
      <c r="A187" s="7">
        <f>Données!A187</f>
        <v>5716</v>
      </c>
      <c r="B187" s="27" t="str">
        <f>Données!B187</f>
        <v>Eysins</v>
      </c>
      <c r="C187" s="8">
        <f>Données!C187+Données!D187</f>
        <v>4896845.8100000005</v>
      </c>
      <c r="D187" s="8">
        <f>+Données!G187+Données!H187+Données!S187</f>
        <v>9659500.7400000002</v>
      </c>
      <c r="E187" s="8">
        <f>+Données!E187</f>
        <v>0</v>
      </c>
      <c r="F187" s="8">
        <f>+Données!I187</f>
        <v>0</v>
      </c>
      <c r="G187" s="8">
        <f>+Données!J187</f>
        <v>430449.81</v>
      </c>
      <c r="H187" s="8">
        <f>Données!U187</f>
        <v>-44276.800000000003</v>
      </c>
      <c r="I187" s="152">
        <f>Données!V187</f>
        <v>0</v>
      </c>
      <c r="J187" s="152">
        <f>Données!W187</f>
        <v>-112403.95</v>
      </c>
      <c r="K187" s="8">
        <f>+Données!Q187</f>
        <v>0</v>
      </c>
      <c r="L187" s="343">
        <f t="shared" si="7"/>
        <v>14830115.610000001</v>
      </c>
      <c r="M187" s="8">
        <f>+Données!F187</f>
        <v>0</v>
      </c>
      <c r="N187" s="8">
        <f>+Données!K187</f>
        <v>178108.5</v>
      </c>
      <c r="O187" s="8">
        <f>(Données!L187/Données!Y187)*1</f>
        <v>720290.05</v>
      </c>
      <c r="P187" s="343">
        <f t="shared" si="8"/>
        <v>15728514.160000002</v>
      </c>
      <c r="Q187" s="173">
        <f>+Données!X187</f>
        <v>59.5</v>
      </c>
      <c r="R187" s="343">
        <f t="shared" si="9"/>
        <v>264344.77579831937</v>
      </c>
    </row>
    <row r="188" spans="1:18" x14ac:dyDescent="0.25">
      <c r="A188" s="7">
        <f>Données!A188</f>
        <v>5717</v>
      </c>
      <c r="B188" s="27" t="str">
        <f>Données!B188</f>
        <v>Founex</v>
      </c>
      <c r="C188" s="8">
        <f>Données!C188+Données!D188</f>
        <v>19706731.350000001</v>
      </c>
      <c r="D188" s="8">
        <f>+Données!G188+Données!H188+Données!S188</f>
        <v>115893.57999999999</v>
      </c>
      <c r="E188" s="8">
        <f>+Données!E188</f>
        <v>0</v>
      </c>
      <c r="F188" s="8">
        <f>+Données!I188</f>
        <v>1165805.67</v>
      </c>
      <c r="G188" s="8">
        <f>+Données!J188</f>
        <v>-18148.27</v>
      </c>
      <c r="H188" s="8">
        <f>Données!U188</f>
        <v>-98451.99</v>
      </c>
      <c r="I188" s="152">
        <f>Données!V188</f>
        <v>0</v>
      </c>
      <c r="J188" s="152">
        <f>Données!W188</f>
        <v>-71476.77</v>
      </c>
      <c r="K188" s="8">
        <f>+Données!Q188</f>
        <v>9375.27</v>
      </c>
      <c r="L188" s="343">
        <f t="shared" si="7"/>
        <v>20809728.840000004</v>
      </c>
      <c r="M188" s="8">
        <f>+Données!F188</f>
        <v>0</v>
      </c>
      <c r="N188" s="8">
        <f>+Données!K188</f>
        <v>56728</v>
      </c>
      <c r="O188" s="8">
        <f>(Données!L188/Données!Y188)*1</f>
        <v>1430339.5</v>
      </c>
      <c r="P188" s="343">
        <f t="shared" si="8"/>
        <v>22296796.340000004</v>
      </c>
      <c r="Q188" s="173">
        <f>+Données!X188</f>
        <v>57</v>
      </c>
      <c r="R188" s="343">
        <f t="shared" si="9"/>
        <v>391171.86561403517</v>
      </c>
    </row>
    <row r="189" spans="1:18" x14ac:dyDescent="0.25">
      <c r="A189" s="7">
        <f>Données!A189</f>
        <v>5718</v>
      </c>
      <c r="B189" s="27" t="str">
        <f>Données!B189</f>
        <v>Genolier</v>
      </c>
      <c r="C189" s="8">
        <f>Données!C189+Données!D189</f>
        <v>8626689.5199999996</v>
      </c>
      <c r="D189" s="8">
        <f>+Données!G189+Données!H189+Données!S189</f>
        <v>343072.43</v>
      </c>
      <c r="E189" s="8">
        <f>+Données!E189</f>
        <v>0</v>
      </c>
      <c r="F189" s="8">
        <f>+Données!I189</f>
        <v>495140.24</v>
      </c>
      <c r="G189" s="8">
        <f>+Données!J189</f>
        <v>207032.59</v>
      </c>
      <c r="H189" s="8">
        <f>Données!U189</f>
        <v>-35336.800000000003</v>
      </c>
      <c r="I189" s="152">
        <f>Données!V189</f>
        <v>0</v>
      </c>
      <c r="J189" s="152">
        <f>Données!W189</f>
        <v>-43714.3</v>
      </c>
      <c r="K189" s="8">
        <f>+Données!Q189</f>
        <v>12915.81</v>
      </c>
      <c r="L189" s="343">
        <f t="shared" si="7"/>
        <v>9605799.4899999984</v>
      </c>
      <c r="M189" s="8">
        <f>+Données!F189</f>
        <v>0</v>
      </c>
      <c r="N189" s="8">
        <f>+Données!K189</f>
        <v>46164</v>
      </c>
      <c r="O189" s="8">
        <f>(Données!L189/Données!Y189)*1</f>
        <v>727872.85</v>
      </c>
      <c r="P189" s="343">
        <f t="shared" si="8"/>
        <v>10379836.339999998</v>
      </c>
      <c r="Q189" s="173">
        <f>+Données!X189</f>
        <v>52</v>
      </c>
      <c r="R189" s="343">
        <f t="shared" si="9"/>
        <v>199612.23730769227</v>
      </c>
    </row>
    <row r="190" spans="1:18" x14ac:dyDescent="0.25">
      <c r="A190" s="7">
        <f>Données!A190</f>
        <v>5719</v>
      </c>
      <c r="B190" s="27" t="str">
        <f>Données!B190</f>
        <v>Gingins</v>
      </c>
      <c r="C190" s="8">
        <f>Données!C190+Données!D190</f>
        <v>7760181.7199999997</v>
      </c>
      <c r="D190" s="8">
        <f>+Données!G190+Données!H190+Données!S190</f>
        <v>59048.32</v>
      </c>
      <c r="E190" s="8">
        <f>+Données!E190</f>
        <v>0</v>
      </c>
      <c r="F190" s="8">
        <f>+Données!I190</f>
        <v>341609.8</v>
      </c>
      <c r="G190" s="8">
        <f>+Données!J190</f>
        <v>23810.17</v>
      </c>
      <c r="H190" s="8">
        <f>Données!U190</f>
        <v>-9585.7800000000007</v>
      </c>
      <c r="I190" s="152">
        <f>Données!V190</f>
        <v>0</v>
      </c>
      <c r="J190" s="152">
        <f>Données!W190</f>
        <v>-6320.45</v>
      </c>
      <c r="K190" s="8">
        <f>+Données!Q190</f>
        <v>3827.03</v>
      </c>
      <c r="L190" s="343">
        <f t="shared" si="7"/>
        <v>8172570.8099999996</v>
      </c>
      <c r="M190" s="8">
        <f>+Données!F190</f>
        <v>0</v>
      </c>
      <c r="N190" s="8">
        <f>+Données!K190</f>
        <v>17314.3</v>
      </c>
      <c r="O190" s="8">
        <f>(Données!L190/Données!Y190)*1</f>
        <v>451574.16666666669</v>
      </c>
      <c r="P190" s="343">
        <f t="shared" si="8"/>
        <v>8641459.2766666654</v>
      </c>
      <c r="Q190" s="173">
        <f>+Données!X190</f>
        <v>60</v>
      </c>
      <c r="R190" s="343">
        <f t="shared" si="9"/>
        <v>144024.32127777775</v>
      </c>
    </row>
    <row r="191" spans="1:18" x14ac:dyDescent="0.25">
      <c r="A191" s="7">
        <f>Données!A191</f>
        <v>5720</v>
      </c>
      <c r="B191" s="27" t="str">
        <f>Données!B191</f>
        <v>Givrins</v>
      </c>
      <c r="C191" s="8">
        <f>Données!C191+Données!D191</f>
        <v>4372534.9399999995</v>
      </c>
      <c r="D191" s="8">
        <f>+Données!G191+Données!H191+Données!S191</f>
        <v>81961.700000000012</v>
      </c>
      <c r="E191" s="8">
        <f>+Données!E191</f>
        <v>0</v>
      </c>
      <c r="F191" s="8">
        <f>+Données!I191</f>
        <v>507247.03</v>
      </c>
      <c r="G191" s="8">
        <f>+Données!J191</f>
        <v>45102.46</v>
      </c>
      <c r="H191" s="8">
        <f>Données!U191</f>
        <v>-8732.19</v>
      </c>
      <c r="I191" s="152">
        <f>Données!V191</f>
        <v>0</v>
      </c>
      <c r="J191" s="152">
        <f>Données!W191</f>
        <v>-8239.7900000000009</v>
      </c>
      <c r="K191" s="8">
        <f>+Données!Q191</f>
        <v>0</v>
      </c>
      <c r="L191" s="343">
        <f t="shared" si="7"/>
        <v>4989874.1499999994</v>
      </c>
      <c r="M191" s="8">
        <f>+Données!F191</f>
        <v>0</v>
      </c>
      <c r="N191" s="8">
        <f>+Données!K191</f>
        <v>0</v>
      </c>
      <c r="O191" s="8">
        <f>(Données!L191/Données!Y191)*1</f>
        <v>333202.33333333331</v>
      </c>
      <c r="P191" s="343">
        <f t="shared" si="8"/>
        <v>5323076.4833333325</v>
      </c>
      <c r="Q191" s="173">
        <f>+Données!X191</f>
        <v>67</v>
      </c>
      <c r="R191" s="343">
        <f t="shared" si="9"/>
        <v>79448.9027363184</v>
      </c>
    </row>
    <row r="192" spans="1:18" x14ac:dyDescent="0.25">
      <c r="A192" s="7">
        <f>Données!A192</f>
        <v>5721</v>
      </c>
      <c r="B192" s="27" t="str">
        <f>Données!B192</f>
        <v>Gland</v>
      </c>
      <c r="C192" s="8">
        <f>Données!C192+Données!D192</f>
        <v>32882195.839999996</v>
      </c>
      <c r="D192" s="8">
        <f>+Données!G192+Données!H192+Données!S192</f>
        <v>6448729.6600000001</v>
      </c>
      <c r="E192" s="8">
        <f>+Données!E192</f>
        <v>0</v>
      </c>
      <c r="F192" s="8">
        <f>+Données!I192</f>
        <v>720410.71</v>
      </c>
      <c r="G192" s="8">
        <f>+Données!J192</f>
        <v>1089934.51</v>
      </c>
      <c r="H192" s="8">
        <f>Données!U192</f>
        <v>-266531.78999999998</v>
      </c>
      <c r="I192" s="152">
        <f>Données!V192</f>
        <v>0</v>
      </c>
      <c r="J192" s="152">
        <f>Données!W192</f>
        <v>-30385.09</v>
      </c>
      <c r="K192" s="8">
        <f>+Données!Q192</f>
        <v>35783.67</v>
      </c>
      <c r="L192" s="343">
        <f t="shared" si="7"/>
        <v>40880137.509999998</v>
      </c>
      <c r="M192" s="8">
        <f>+Données!F192</f>
        <v>0</v>
      </c>
      <c r="N192" s="8">
        <f>+Données!K192</f>
        <v>461919.25</v>
      </c>
      <c r="O192" s="8">
        <f>(Données!L192/Données!Y192)*1</f>
        <v>3183907.45</v>
      </c>
      <c r="P192" s="343">
        <f t="shared" si="8"/>
        <v>44525964.210000001</v>
      </c>
      <c r="Q192" s="173">
        <f>+Données!X192</f>
        <v>61</v>
      </c>
      <c r="R192" s="343">
        <f t="shared" si="9"/>
        <v>729933.83950819669</v>
      </c>
    </row>
    <row r="193" spans="1:18" x14ac:dyDescent="0.25">
      <c r="A193" s="7">
        <f>Données!A193</f>
        <v>5722</v>
      </c>
      <c r="B193" s="27" t="str">
        <f>Données!B193</f>
        <v>Grens</v>
      </c>
      <c r="C193" s="8">
        <f>Données!C193+Données!D193</f>
        <v>1113294.54</v>
      </c>
      <c r="D193" s="8">
        <f>+Données!G193+Données!H193+Données!S193</f>
        <v>31931.589999999997</v>
      </c>
      <c r="E193" s="8">
        <f>+Données!E193</f>
        <v>0</v>
      </c>
      <c r="F193" s="8">
        <f>+Données!I193</f>
        <v>0</v>
      </c>
      <c r="G193" s="8">
        <f>+Données!J193</f>
        <v>36514.58</v>
      </c>
      <c r="H193" s="8">
        <f>Données!U193</f>
        <v>-3782.15</v>
      </c>
      <c r="I193" s="152">
        <f>Données!V193</f>
        <v>0</v>
      </c>
      <c r="J193" s="152">
        <f>Données!W193</f>
        <v>-2537.0500000000002</v>
      </c>
      <c r="K193" s="8">
        <f>+Données!Q193</f>
        <v>0</v>
      </c>
      <c r="L193" s="343">
        <f t="shared" si="7"/>
        <v>1175421.5100000002</v>
      </c>
      <c r="M193" s="8">
        <f>+Données!F193</f>
        <v>0</v>
      </c>
      <c r="N193" s="8">
        <f>+Données!K193</f>
        <v>33018.1</v>
      </c>
      <c r="O193" s="8">
        <f>(Données!L193/Données!Y193)*1</f>
        <v>145624.04999999999</v>
      </c>
      <c r="P193" s="343">
        <f t="shared" si="8"/>
        <v>1354063.6600000004</v>
      </c>
      <c r="Q193" s="173">
        <f>+Données!X193</f>
        <v>62</v>
      </c>
      <c r="R193" s="343">
        <f t="shared" si="9"/>
        <v>21839.736451612909</v>
      </c>
    </row>
    <row r="194" spans="1:18" x14ac:dyDescent="0.25">
      <c r="A194" s="7">
        <f>Données!A194</f>
        <v>5723</v>
      </c>
      <c r="B194" s="27" t="str">
        <f>Données!B194</f>
        <v>Mies</v>
      </c>
      <c r="C194" s="8">
        <f>Données!C194+Données!D194</f>
        <v>10686043.91</v>
      </c>
      <c r="D194" s="8">
        <f>+Données!G194+Données!H194+Données!S194</f>
        <v>238828.92</v>
      </c>
      <c r="E194" s="8">
        <f>+Données!E194</f>
        <v>0</v>
      </c>
      <c r="F194" s="8">
        <f>+Données!I194</f>
        <v>1125584.27</v>
      </c>
      <c r="G194" s="8">
        <f>+Données!J194</f>
        <v>131358.5</v>
      </c>
      <c r="H194" s="8">
        <f>Données!U194</f>
        <v>-2508.56</v>
      </c>
      <c r="I194" s="152">
        <f>Données!V194</f>
        <v>0</v>
      </c>
      <c r="J194" s="152">
        <f>Données!W194</f>
        <v>-45849.53</v>
      </c>
      <c r="K194" s="8">
        <f>+Données!Q194</f>
        <v>22277.1</v>
      </c>
      <c r="L194" s="343">
        <f t="shared" si="7"/>
        <v>12155734.609999999</v>
      </c>
      <c r="M194" s="8">
        <f>+Données!F194</f>
        <v>0</v>
      </c>
      <c r="N194" s="8">
        <f>+Données!K194</f>
        <v>58940.35</v>
      </c>
      <c r="O194" s="8">
        <f>(Données!L194/Données!Y194)*1</f>
        <v>951702.75</v>
      </c>
      <c r="P194" s="343">
        <f t="shared" si="8"/>
        <v>13166377.709999999</v>
      </c>
      <c r="Q194" s="173">
        <f>+Données!X194</f>
        <v>52</v>
      </c>
      <c r="R194" s="343">
        <f t="shared" si="9"/>
        <v>253199.57134615383</v>
      </c>
    </row>
    <row r="195" spans="1:18" x14ac:dyDescent="0.25">
      <c r="A195" s="7">
        <f>Données!A195</f>
        <v>5724</v>
      </c>
      <c r="B195" s="27" t="str">
        <f>Données!B195</f>
        <v>Nyon</v>
      </c>
      <c r="C195" s="8">
        <f>Données!C195+Données!D195</f>
        <v>74083027.760000005</v>
      </c>
      <c r="D195" s="8">
        <f>+Données!G195+Données!H195+Données!S195</f>
        <v>16532345.489999998</v>
      </c>
      <c r="E195" s="8">
        <f>+Données!E195</f>
        <v>0</v>
      </c>
      <c r="F195" s="8">
        <f>+Données!I195</f>
        <v>1277070.54</v>
      </c>
      <c r="G195" s="8">
        <f>+Données!J195</f>
        <v>3170522.81</v>
      </c>
      <c r="H195" s="8">
        <f>Données!U195</f>
        <v>-574085.26</v>
      </c>
      <c r="I195" s="152">
        <f>Données!V195</f>
        <v>0</v>
      </c>
      <c r="J195" s="152">
        <f>Données!W195</f>
        <v>-245866.84</v>
      </c>
      <c r="K195" s="8">
        <f>+Données!Q195</f>
        <v>201793.85</v>
      </c>
      <c r="L195" s="343">
        <f t="shared" si="7"/>
        <v>94444808.349999994</v>
      </c>
      <c r="M195" s="8">
        <f>+Données!F195</f>
        <v>0</v>
      </c>
      <c r="N195" s="8">
        <f>+Données!K195</f>
        <v>1029414.25</v>
      </c>
      <c r="O195" s="8">
        <f>(Données!L195/Données!Y195)*1</f>
        <v>5974268.333333333</v>
      </c>
      <c r="P195" s="343">
        <f t="shared" si="8"/>
        <v>101448490.93333332</v>
      </c>
      <c r="Q195" s="173">
        <f>+Données!X195</f>
        <v>61</v>
      </c>
      <c r="R195" s="343">
        <f t="shared" si="9"/>
        <v>1663090.0153005463</v>
      </c>
    </row>
    <row r="196" spans="1:18" x14ac:dyDescent="0.25">
      <c r="A196" s="7">
        <f>Données!A196</f>
        <v>5725</v>
      </c>
      <c r="B196" s="27" t="str">
        <f>Données!B196</f>
        <v>Prangins</v>
      </c>
      <c r="C196" s="8">
        <f>Données!C196+Données!D196</f>
        <v>16420459.75</v>
      </c>
      <c r="D196" s="8">
        <f>+Données!G196+Données!H196+Données!S196</f>
        <v>825976.6</v>
      </c>
      <c r="E196" s="8">
        <f>+Données!E196</f>
        <v>0</v>
      </c>
      <c r="F196" s="8">
        <f>+Données!I196</f>
        <v>300477.23</v>
      </c>
      <c r="G196" s="8">
        <f>+Données!J196</f>
        <v>118236.86</v>
      </c>
      <c r="H196" s="8">
        <f>Données!U196</f>
        <v>-124628</v>
      </c>
      <c r="I196" s="152">
        <f>Données!V196</f>
        <v>0</v>
      </c>
      <c r="J196" s="152">
        <f>Données!W196</f>
        <v>-48791.74</v>
      </c>
      <c r="K196" s="8">
        <f>+Données!Q196</f>
        <v>0</v>
      </c>
      <c r="L196" s="343">
        <f t="shared" si="7"/>
        <v>17491730.700000003</v>
      </c>
      <c r="M196" s="8">
        <f>+Données!F196</f>
        <v>0</v>
      </c>
      <c r="N196" s="8">
        <f>+Données!K196</f>
        <v>67141.649999999994</v>
      </c>
      <c r="O196" s="8">
        <f>(Données!L196/Données!Y196)*1</f>
        <v>1233245.7142857143</v>
      </c>
      <c r="P196" s="343">
        <f t="shared" si="8"/>
        <v>18792118.064285714</v>
      </c>
      <c r="Q196" s="173">
        <f>+Données!X196</f>
        <v>55</v>
      </c>
      <c r="R196" s="343">
        <f t="shared" si="9"/>
        <v>341674.87389610388</v>
      </c>
    </row>
    <row r="197" spans="1:18" x14ac:dyDescent="0.25">
      <c r="A197" s="7">
        <f>Données!A197</f>
        <v>5726</v>
      </c>
      <c r="B197" s="27" t="str">
        <f>Données!B197</f>
        <v>La Rippe</v>
      </c>
      <c r="C197" s="8">
        <f>Données!C197+Données!D197</f>
        <v>4133048.7699999996</v>
      </c>
      <c r="D197" s="8">
        <f>+Données!G197+Données!H197+Données!S197</f>
        <v>76788.58</v>
      </c>
      <c r="E197" s="8">
        <f>+Données!E197</f>
        <v>0</v>
      </c>
      <c r="F197" s="8">
        <f>+Données!I197</f>
        <v>0</v>
      </c>
      <c r="G197" s="8">
        <f>+Données!J197</f>
        <v>51807.81</v>
      </c>
      <c r="H197" s="8">
        <f>Données!U197</f>
        <v>-21549.59</v>
      </c>
      <c r="I197" s="152">
        <f>Données!V197</f>
        <v>0</v>
      </c>
      <c r="J197" s="152">
        <f>Données!W197</f>
        <v>-11033.51</v>
      </c>
      <c r="K197" s="8">
        <f>+Données!Q197</f>
        <v>1822.03</v>
      </c>
      <c r="L197" s="343">
        <f t="shared" si="7"/>
        <v>4230884.09</v>
      </c>
      <c r="M197" s="8">
        <f>+Données!F197</f>
        <v>0</v>
      </c>
      <c r="N197" s="8">
        <f>+Données!K197</f>
        <v>463.2</v>
      </c>
      <c r="O197" s="8">
        <f>(Données!L197/Données!Y197)*1</f>
        <v>285475.75</v>
      </c>
      <c r="P197" s="343">
        <f t="shared" si="8"/>
        <v>4516823.04</v>
      </c>
      <c r="Q197" s="173">
        <f>+Données!X197</f>
        <v>63.5</v>
      </c>
      <c r="R197" s="343">
        <f t="shared" si="9"/>
        <v>71131.071496062999</v>
      </c>
    </row>
    <row r="198" spans="1:18" x14ac:dyDescent="0.25">
      <c r="A198" s="7">
        <f>Données!A198</f>
        <v>5727</v>
      </c>
      <c r="B198" s="27" t="str">
        <f>Données!B198</f>
        <v>Saint-Cergue</v>
      </c>
      <c r="C198" s="8">
        <f>Données!C198+Données!D198</f>
        <v>6511907.8799999999</v>
      </c>
      <c r="D198" s="8">
        <f>+Données!G198+Données!H198+Données!S198</f>
        <v>56125.979999999996</v>
      </c>
      <c r="E198" s="8">
        <f>+Données!E198</f>
        <v>0</v>
      </c>
      <c r="F198" s="8">
        <f>+Données!I198</f>
        <v>124319.25</v>
      </c>
      <c r="G198" s="8">
        <f>+Données!J198</f>
        <v>59527.17</v>
      </c>
      <c r="H198" s="8">
        <f>Données!U198</f>
        <v>-165660.65</v>
      </c>
      <c r="I198" s="152">
        <f>Données!V198</f>
        <v>0</v>
      </c>
      <c r="J198" s="152">
        <f>Données!W198</f>
        <v>-1913.03</v>
      </c>
      <c r="K198" s="8">
        <f>+Données!Q198</f>
        <v>2131.08</v>
      </c>
      <c r="L198" s="343">
        <f t="shared" si="7"/>
        <v>6586437.6799999997</v>
      </c>
      <c r="M198" s="8">
        <f>+Données!F198</f>
        <v>0</v>
      </c>
      <c r="N198" s="8">
        <f>+Données!K198</f>
        <v>12877.25</v>
      </c>
      <c r="O198" s="8">
        <f>(Données!L198/Données!Y198)*1</f>
        <v>579301.73333333328</v>
      </c>
      <c r="P198" s="343">
        <f t="shared" si="8"/>
        <v>7178616.6633333331</v>
      </c>
      <c r="Q198" s="173">
        <f>+Données!X198</f>
        <v>66</v>
      </c>
      <c r="R198" s="343">
        <f t="shared" si="9"/>
        <v>108766.91914141414</v>
      </c>
    </row>
    <row r="199" spans="1:18" x14ac:dyDescent="0.25">
      <c r="A199" s="7">
        <f>Données!A199</f>
        <v>5728</v>
      </c>
      <c r="B199" s="27" t="str">
        <f>Données!B199</f>
        <v>Signy-Avenex</v>
      </c>
      <c r="C199" s="8">
        <f>Données!C199+Données!D199</f>
        <v>1566995.5899999999</v>
      </c>
      <c r="D199" s="8">
        <f>+Données!G199+Données!H199+Données!S199</f>
        <v>1234620.8</v>
      </c>
      <c r="E199" s="8">
        <f>+Données!E199</f>
        <v>0</v>
      </c>
      <c r="F199" s="8">
        <f>+Données!I199</f>
        <v>33622.6</v>
      </c>
      <c r="G199" s="8">
        <f>+Données!J199</f>
        <v>41224.58</v>
      </c>
      <c r="H199" s="8">
        <f>Données!U199</f>
        <v>13827.01</v>
      </c>
      <c r="I199" s="152">
        <f>Données!V199</f>
        <v>0</v>
      </c>
      <c r="J199" s="152">
        <f>Données!W199</f>
        <v>-1395.62</v>
      </c>
      <c r="K199" s="8">
        <f>+Données!Q199</f>
        <v>753.43</v>
      </c>
      <c r="L199" s="343">
        <f t="shared" ref="L199:L262" si="10">SUM(C199:K199)</f>
        <v>2889648.3899999997</v>
      </c>
      <c r="M199" s="8">
        <f>+Données!F199</f>
        <v>0</v>
      </c>
      <c r="N199" s="8">
        <f>+Données!K199</f>
        <v>58273.95</v>
      </c>
      <c r="O199" s="8">
        <f>(Données!L199/Données!Y199)*1</f>
        <v>238321</v>
      </c>
      <c r="P199" s="343">
        <f t="shared" ref="P199:P262" si="11">SUM(L199:O199)</f>
        <v>3186243.34</v>
      </c>
      <c r="Q199" s="173">
        <f>+Données!X199</f>
        <v>58</v>
      </c>
      <c r="R199" s="343">
        <f t="shared" ref="R199:R262" si="12">P199/Q199</f>
        <v>54935.229999999996</v>
      </c>
    </row>
    <row r="200" spans="1:18" x14ac:dyDescent="0.25">
      <c r="A200" s="7">
        <f>Données!A200</f>
        <v>5729</v>
      </c>
      <c r="B200" s="27" t="str">
        <f>Données!B200</f>
        <v>Tannay</v>
      </c>
      <c r="C200" s="8">
        <f>Données!C200+Données!D200</f>
        <v>10766933.310000001</v>
      </c>
      <c r="D200" s="8">
        <f>+Données!G200+Données!H200+Données!S200</f>
        <v>373495.76</v>
      </c>
      <c r="E200" s="8">
        <f>+Données!E200</f>
        <v>0</v>
      </c>
      <c r="F200" s="8">
        <f>+Données!I200</f>
        <v>259526.16</v>
      </c>
      <c r="G200" s="8">
        <f>+Données!J200</f>
        <v>129769.34</v>
      </c>
      <c r="H200" s="8">
        <f>Données!U200</f>
        <v>-10380.64</v>
      </c>
      <c r="I200" s="152">
        <f>Données!V200</f>
        <v>0</v>
      </c>
      <c r="J200" s="152">
        <f>Données!W200</f>
        <v>-31851.08</v>
      </c>
      <c r="K200" s="8">
        <f>+Données!Q200</f>
        <v>610.4</v>
      </c>
      <c r="L200" s="343">
        <f t="shared" si="10"/>
        <v>11488103.25</v>
      </c>
      <c r="M200" s="8">
        <f>+Données!F200</f>
        <v>0</v>
      </c>
      <c r="N200" s="8">
        <f>+Données!K200</f>
        <v>9352.25</v>
      </c>
      <c r="O200" s="8">
        <f>(Données!L200/Données!Y200)*1</f>
        <v>649512.5</v>
      </c>
      <c r="P200" s="343">
        <f t="shared" si="11"/>
        <v>12146968</v>
      </c>
      <c r="Q200" s="173">
        <f>+Données!X200</f>
        <v>60.5</v>
      </c>
      <c r="R200" s="343">
        <f t="shared" si="12"/>
        <v>200776.3305785124</v>
      </c>
    </row>
    <row r="201" spans="1:18" x14ac:dyDescent="0.25">
      <c r="A201" s="7">
        <f>Données!A201</f>
        <v>5730</v>
      </c>
      <c r="B201" s="27" t="str">
        <f>Données!B201</f>
        <v>Trélex</v>
      </c>
      <c r="C201" s="8">
        <f>Données!C201+Données!D201</f>
        <v>7510628.3399999999</v>
      </c>
      <c r="D201" s="8">
        <f>+Données!G201+Données!H201+Données!S201</f>
        <v>83318.44</v>
      </c>
      <c r="E201" s="8">
        <f>+Données!E201</f>
        <v>0</v>
      </c>
      <c r="F201" s="8">
        <f>+Données!I201</f>
        <v>33477.980000000003</v>
      </c>
      <c r="G201" s="8">
        <f>+Données!J201</f>
        <v>52163.72</v>
      </c>
      <c r="H201" s="8">
        <f>Données!U201</f>
        <v>-23391.439999999999</v>
      </c>
      <c r="I201" s="152">
        <f>Données!V201</f>
        <v>0</v>
      </c>
      <c r="J201" s="152">
        <f>Données!W201</f>
        <v>-19389.919999999998</v>
      </c>
      <c r="K201" s="8">
        <f>+Données!Q201</f>
        <v>0</v>
      </c>
      <c r="L201" s="343">
        <f t="shared" si="10"/>
        <v>7636807.1200000001</v>
      </c>
      <c r="M201" s="8">
        <f>+Données!F201</f>
        <v>0</v>
      </c>
      <c r="N201" s="8">
        <f>+Données!K201</f>
        <v>11233.35</v>
      </c>
      <c r="O201" s="8">
        <f>(Données!L201/Données!Y201)*1</f>
        <v>480636.94444444444</v>
      </c>
      <c r="P201" s="343">
        <f t="shared" si="11"/>
        <v>8128677.4144444438</v>
      </c>
      <c r="Q201" s="173">
        <f>+Données!X201</f>
        <v>55.5</v>
      </c>
      <c r="R201" s="343">
        <f t="shared" si="12"/>
        <v>146462.65611611609</v>
      </c>
    </row>
    <row r="202" spans="1:18" x14ac:dyDescent="0.25">
      <c r="A202" s="7">
        <f>Données!A202</f>
        <v>5731</v>
      </c>
      <c r="B202" s="27" t="str">
        <f>Données!B202</f>
        <v>Le Vaud</v>
      </c>
      <c r="C202" s="8">
        <f>Données!C202+Données!D202</f>
        <v>4811873.2600000007</v>
      </c>
      <c r="D202" s="8">
        <f>+Données!G202+Données!H202+Données!S202</f>
        <v>30318.339999999997</v>
      </c>
      <c r="E202" s="8">
        <f>+Données!E202</f>
        <v>0</v>
      </c>
      <c r="F202" s="8">
        <f>+Données!I202</f>
        <v>0</v>
      </c>
      <c r="G202" s="8">
        <f>+Données!J202</f>
        <v>44328.41</v>
      </c>
      <c r="H202" s="8">
        <f>Données!U202</f>
        <v>-25345.96</v>
      </c>
      <c r="I202" s="152">
        <f>Données!V202</f>
        <v>0</v>
      </c>
      <c r="J202" s="152">
        <f>Données!W202</f>
        <v>-8131.55</v>
      </c>
      <c r="K202" s="8">
        <f>+Données!Q202</f>
        <v>10950.27</v>
      </c>
      <c r="L202" s="343">
        <f t="shared" si="10"/>
        <v>4863992.7700000005</v>
      </c>
      <c r="M202" s="8">
        <f>+Données!F202</f>
        <v>0</v>
      </c>
      <c r="N202" s="8">
        <f>+Données!K202</f>
        <v>4710.5</v>
      </c>
      <c r="O202" s="8">
        <f>(Données!L202/Données!Y202)*1</f>
        <v>306939.73333333334</v>
      </c>
      <c r="P202" s="343">
        <f t="shared" si="11"/>
        <v>5175643.0033333339</v>
      </c>
      <c r="Q202" s="173">
        <f>+Données!X202</f>
        <v>73</v>
      </c>
      <c r="R202" s="343">
        <f t="shared" si="12"/>
        <v>70899.219223744294</v>
      </c>
    </row>
    <row r="203" spans="1:18" x14ac:dyDescent="0.25">
      <c r="A203" s="7">
        <f>Données!A203</f>
        <v>5732</v>
      </c>
      <c r="B203" s="27" t="str">
        <f>Données!B203</f>
        <v>Vich</v>
      </c>
      <c r="C203" s="8">
        <f>Données!C203+Données!D203</f>
        <v>4583836.5600000005</v>
      </c>
      <c r="D203" s="8">
        <f>+Données!G203+Données!H203+Données!S203</f>
        <v>167764.00000000003</v>
      </c>
      <c r="E203" s="8">
        <f>+Données!E203</f>
        <v>0</v>
      </c>
      <c r="F203" s="8">
        <f>+Données!I203</f>
        <v>95037.7</v>
      </c>
      <c r="G203" s="8">
        <f>+Données!J203</f>
        <v>69196.67</v>
      </c>
      <c r="H203" s="8">
        <f>Données!U203</f>
        <v>-28024.58</v>
      </c>
      <c r="I203" s="152">
        <f>Données!V203</f>
        <v>0</v>
      </c>
      <c r="J203" s="152">
        <f>Données!W203</f>
        <v>-18928.45</v>
      </c>
      <c r="K203" s="8">
        <f>+Données!Q203</f>
        <v>10006.18</v>
      </c>
      <c r="L203" s="343">
        <f t="shared" si="10"/>
        <v>4878888.08</v>
      </c>
      <c r="M203" s="8">
        <f>+Données!F203</f>
        <v>0</v>
      </c>
      <c r="N203" s="8">
        <f>+Données!K203</f>
        <v>19277.8</v>
      </c>
      <c r="O203" s="8">
        <f>(Données!L203/Données!Y203)*1</f>
        <v>388403.75</v>
      </c>
      <c r="P203" s="343">
        <f t="shared" si="11"/>
        <v>5286569.63</v>
      </c>
      <c r="Q203" s="173">
        <f>+Données!X203</f>
        <v>63</v>
      </c>
      <c r="R203" s="343">
        <f t="shared" si="12"/>
        <v>83913.803650793649</v>
      </c>
    </row>
    <row r="204" spans="1:18" x14ac:dyDescent="0.25">
      <c r="A204" s="7">
        <f>Données!A204</f>
        <v>5741</v>
      </c>
      <c r="B204" s="27" t="str">
        <f>Données!B204</f>
        <v>L'Abergement</v>
      </c>
      <c r="C204" s="8">
        <f>Données!C204+Données!D204</f>
        <v>624029.73</v>
      </c>
      <c r="D204" s="8">
        <f>+Données!G204+Données!H204+Données!S204</f>
        <v>5195.5999999999995</v>
      </c>
      <c r="E204" s="8">
        <f>+Données!E204</f>
        <v>0</v>
      </c>
      <c r="F204" s="8">
        <f>+Données!I204</f>
        <v>0</v>
      </c>
      <c r="G204" s="8">
        <f>+Données!J204</f>
        <v>4612.1400000000003</v>
      </c>
      <c r="H204" s="8">
        <f>Données!U204</f>
        <v>-4279.99</v>
      </c>
      <c r="I204" s="152">
        <f>Données!V204</f>
        <v>0</v>
      </c>
      <c r="J204" s="152">
        <f>Données!W204</f>
        <v>-11853.6</v>
      </c>
      <c r="K204" s="8">
        <f>+Données!Q204</f>
        <v>0</v>
      </c>
      <c r="L204" s="343">
        <f t="shared" si="10"/>
        <v>617703.88</v>
      </c>
      <c r="M204" s="8">
        <f>+Données!F204</f>
        <v>1510</v>
      </c>
      <c r="N204" s="8">
        <f>+Données!K204</f>
        <v>0</v>
      </c>
      <c r="O204" s="8">
        <f>(Données!L204/Données!Y204)*1</f>
        <v>42843.625</v>
      </c>
      <c r="P204" s="343">
        <f t="shared" si="11"/>
        <v>662057.505</v>
      </c>
      <c r="Q204" s="173">
        <f>+Données!X204</f>
        <v>80</v>
      </c>
      <c r="R204" s="343">
        <f t="shared" si="12"/>
        <v>8275.7188124999993</v>
      </c>
    </row>
    <row r="205" spans="1:18" x14ac:dyDescent="0.25">
      <c r="A205" s="7">
        <f>Données!A205</f>
        <v>5742</v>
      </c>
      <c r="B205" s="27" t="str">
        <f>Données!B205</f>
        <v>Agiez</v>
      </c>
      <c r="C205" s="8">
        <f>Données!C205+Données!D205</f>
        <v>620441.69000000006</v>
      </c>
      <c r="D205" s="8">
        <f>+Données!G205+Données!H205+Données!S205</f>
        <v>8255.17</v>
      </c>
      <c r="E205" s="8">
        <f>+Données!E205</f>
        <v>0</v>
      </c>
      <c r="F205" s="8">
        <f>+Données!I205</f>
        <v>0</v>
      </c>
      <c r="G205" s="8">
        <f>+Données!J205</f>
        <v>17618.8</v>
      </c>
      <c r="H205" s="8">
        <f>Données!U205</f>
        <v>-7942.15</v>
      </c>
      <c r="I205" s="152">
        <f>Données!V205</f>
        <v>0</v>
      </c>
      <c r="J205" s="152">
        <f>Données!W205</f>
        <v>-283.39999999999998</v>
      </c>
      <c r="K205" s="8">
        <f>+Données!Q205</f>
        <v>0</v>
      </c>
      <c r="L205" s="343">
        <f t="shared" si="10"/>
        <v>638090.1100000001</v>
      </c>
      <c r="M205" s="8">
        <f>+Données!F205</f>
        <v>0</v>
      </c>
      <c r="N205" s="8">
        <f>+Données!K205</f>
        <v>1672.3</v>
      </c>
      <c r="O205" s="8">
        <f>(Données!L205/Données!Y205)*1</f>
        <v>60094.400000000001</v>
      </c>
      <c r="P205" s="343">
        <f t="shared" si="11"/>
        <v>699856.81000000017</v>
      </c>
      <c r="Q205" s="173">
        <f>+Données!X205</f>
        <v>76</v>
      </c>
      <c r="R205" s="343">
        <f t="shared" si="12"/>
        <v>9208.6422368421081</v>
      </c>
    </row>
    <row r="206" spans="1:18" x14ac:dyDescent="0.25">
      <c r="A206" s="7">
        <f>Données!A206</f>
        <v>5743</v>
      </c>
      <c r="B206" s="27" t="str">
        <f>Données!B206</f>
        <v>Arnex-sur-Orbe</v>
      </c>
      <c r="C206" s="8">
        <f>Données!C206+Données!D206</f>
        <v>1242436.1200000001</v>
      </c>
      <c r="D206" s="8">
        <f>+Données!G206+Données!H206+Données!S206</f>
        <v>26285.629999999997</v>
      </c>
      <c r="E206" s="8">
        <f>+Données!E206</f>
        <v>0</v>
      </c>
      <c r="F206" s="8">
        <f>+Données!I206</f>
        <v>0</v>
      </c>
      <c r="G206" s="8">
        <f>+Données!J206</f>
        <v>8745.65</v>
      </c>
      <c r="H206" s="8">
        <f>Données!U206</f>
        <v>-19194.919999999998</v>
      </c>
      <c r="I206" s="152">
        <f>Données!V206</f>
        <v>0</v>
      </c>
      <c r="J206" s="152">
        <f>Données!W206</f>
        <v>-102.9</v>
      </c>
      <c r="K206" s="8">
        <f>+Données!Q206</f>
        <v>0</v>
      </c>
      <c r="L206" s="343">
        <f t="shared" si="10"/>
        <v>1258169.58</v>
      </c>
      <c r="M206" s="8">
        <f>+Données!F206</f>
        <v>0</v>
      </c>
      <c r="N206" s="8">
        <f>+Données!K206</f>
        <v>0</v>
      </c>
      <c r="O206" s="8">
        <f>(Données!L206/Données!Y206)*1</f>
        <v>99497.1875</v>
      </c>
      <c r="P206" s="343">
        <f t="shared" si="11"/>
        <v>1357666.7675000001</v>
      </c>
      <c r="Q206" s="173">
        <f>+Données!X206</f>
        <v>71</v>
      </c>
      <c r="R206" s="343">
        <f t="shared" si="12"/>
        <v>19122.067147887326</v>
      </c>
    </row>
    <row r="207" spans="1:18" x14ac:dyDescent="0.25">
      <c r="A207" s="7">
        <f>Données!A207</f>
        <v>5744</v>
      </c>
      <c r="B207" s="27" t="str">
        <f>Données!B207</f>
        <v>Ballaigues</v>
      </c>
      <c r="C207" s="8">
        <f>Données!C207+Données!D207</f>
        <v>1684861.63</v>
      </c>
      <c r="D207" s="8">
        <f>+Données!G207+Données!H207+Données!S207</f>
        <v>2005039.9699999997</v>
      </c>
      <c r="E207" s="8">
        <f>+Données!E207</f>
        <v>0</v>
      </c>
      <c r="F207" s="8">
        <f>+Données!I207</f>
        <v>0</v>
      </c>
      <c r="G207" s="8">
        <f>+Données!J207</f>
        <v>102686.51</v>
      </c>
      <c r="H207" s="8">
        <f>Données!U207</f>
        <v>-26235.54</v>
      </c>
      <c r="I207" s="152">
        <f>Données!V207</f>
        <v>0</v>
      </c>
      <c r="J207" s="152">
        <f>Données!W207</f>
        <v>-1090.3</v>
      </c>
      <c r="K207" s="8">
        <f>+Données!Q207</f>
        <v>1757.59</v>
      </c>
      <c r="L207" s="343">
        <f t="shared" si="10"/>
        <v>3767019.8599999994</v>
      </c>
      <c r="M207" s="8">
        <f>+Données!F207</f>
        <v>0</v>
      </c>
      <c r="N207" s="8">
        <f>+Données!K207</f>
        <v>0</v>
      </c>
      <c r="O207" s="8">
        <f>(Données!L207/Données!Y207)*1</f>
        <v>197901.05</v>
      </c>
      <c r="P207" s="343">
        <f t="shared" si="11"/>
        <v>3964920.9099999992</v>
      </c>
      <c r="Q207" s="173">
        <f>+Données!X207</f>
        <v>65</v>
      </c>
      <c r="R207" s="343">
        <f t="shared" si="12"/>
        <v>60998.783230769215</v>
      </c>
    </row>
    <row r="208" spans="1:18" x14ac:dyDescent="0.25">
      <c r="A208" s="7">
        <f>Données!A208</f>
        <v>5745</v>
      </c>
      <c r="B208" s="27" t="str">
        <f>Données!B208</f>
        <v>Baulmes</v>
      </c>
      <c r="C208" s="8">
        <f>Données!C208+Données!D208</f>
        <v>1992682.27</v>
      </c>
      <c r="D208" s="8">
        <f>+Données!G208+Données!H208+Données!S208</f>
        <v>46565.440000000002</v>
      </c>
      <c r="E208" s="8">
        <f>+Données!E208</f>
        <v>0</v>
      </c>
      <c r="F208" s="8">
        <f>+Données!I208</f>
        <v>0</v>
      </c>
      <c r="G208" s="8">
        <f>+Données!J208</f>
        <v>48881.17</v>
      </c>
      <c r="H208" s="8">
        <f>Données!U208</f>
        <v>-24073.72</v>
      </c>
      <c r="I208" s="152">
        <f>Données!V208</f>
        <v>0</v>
      </c>
      <c r="J208" s="152">
        <f>Données!W208</f>
        <v>-35.450000000000003</v>
      </c>
      <c r="K208" s="8">
        <f>+Données!Q208</f>
        <v>2708.92</v>
      </c>
      <c r="L208" s="343">
        <f t="shared" si="10"/>
        <v>2066728.63</v>
      </c>
      <c r="M208" s="8">
        <f>+Données!F208</f>
        <v>0</v>
      </c>
      <c r="N208" s="8">
        <f>+Données!K208</f>
        <v>0</v>
      </c>
      <c r="O208" s="8">
        <f>(Données!L208/Données!Y208)*1</f>
        <v>163091.85</v>
      </c>
      <c r="P208" s="343">
        <f t="shared" si="11"/>
        <v>2229820.48</v>
      </c>
      <c r="Q208" s="173">
        <f>+Données!X208</f>
        <v>76.5</v>
      </c>
      <c r="R208" s="343">
        <f t="shared" si="12"/>
        <v>29147.980130718955</v>
      </c>
    </row>
    <row r="209" spans="1:18" x14ac:dyDescent="0.25">
      <c r="A209" s="7">
        <f>Données!A209</f>
        <v>5746</v>
      </c>
      <c r="B209" s="27" t="str">
        <f>Données!B209</f>
        <v>Bavois</v>
      </c>
      <c r="C209" s="8">
        <f>Données!C209+Données!D209</f>
        <v>2123364.4699999997</v>
      </c>
      <c r="D209" s="8">
        <f>+Données!G209+Données!H209+Données!S209</f>
        <v>89202.74</v>
      </c>
      <c r="E209" s="8">
        <f>+Données!E209</f>
        <v>0</v>
      </c>
      <c r="F209" s="8">
        <f>+Données!I209</f>
        <v>0</v>
      </c>
      <c r="G209" s="8">
        <f>+Données!J209</f>
        <v>27857.08</v>
      </c>
      <c r="H209" s="8">
        <f>Données!U209</f>
        <v>-27980.68</v>
      </c>
      <c r="I209" s="152">
        <f>Données!V209</f>
        <v>0</v>
      </c>
      <c r="J209" s="152">
        <f>Données!W209</f>
        <v>-181.85</v>
      </c>
      <c r="K209" s="8">
        <f>+Données!Q209</f>
        <v>911.75</v>
      </c>
      <c r="L209" s="343">
        <f t="shared" si="10"/>
        <v>2213173.5099999998</v>
      </c>
      <c r="M209" s="8">
        <f>+Données!F209</f>
        <v>0</v>
      </c>
      <c r="N209" s="8">
        <f>+Données!K209</f>
        <v>20011.8</v>
      </c>
      <c r="O209" s="8">
        <f>(Données!L209/Données!Y209)*1</f>
        <v>204152.33333333334</v>
      </c>
      <c r="P209" s="343">
        <f t="shared" si="11"/>
        <v>2437337.6433333331</v>
      </c>
      <c r="Q209" s="173">
        <f>+Données!X209</f>
        <v>72</v>
      </c>
      <c r="R209" s="343">
        <f t="shared" si="12"/>
        <v>33851.911712962959</v>
      </c>
    </row>
    <row r="210" spans="1:18" x14ac:dyDescent="0.25">
      <c r="A210" s="7">
        <f>Données!A210</f>
        <v>5747</v>
      </c>
      <c r="B210" s="27" t="str">
        <f>Données!B210</f>
        <v>Bofflens</v>
      </c>
      <c r="C210" s="8">
        <f>Données!C210+Données!D210</f>
        <v>390466.51</v>
      </c>
      <c r="D210" s="8">
        <f>+Données!G210+Données!H210+Données!S210</f>
        <v>63814.479999999996</v>
      </c>
      <c r="E210" s="8">
        <f>+Données!E210</f>
        <v>0</v>
      </c>
      <c r="F210" s="8">
        <f>+Données!I210</f>
        <v>0</v>
      </c>
      <c r="G210" s="8">
        <f>+Données!J210</f>
        <v>716.36</v>
      </c>
      <c r="H210" s="8">
        <f>Données!U210</f>
        <v>-3176.2</v>
      </c>
      <c r="I210" s="152">
        <f>Données!V210</f>
        <v>0</v>
      </c>
      <c r="J210" s="152">
        <f>Données!W210</f>
        <v>-25.85</v>
      </c>
      <c r="K210" s="8">
        <f>+Données!Q210</f>
        <v>0</v>
      </c>
      <c r="L210" s="343">
        <f t="shared" si="10"/>
        <v>451795.3</v>
      </c>
      <c r="M210" s="8">
        <f>+Données!F210</f>
        <v>0</v>
      </c>
      <c r="N210" s="8">
        <f>+Données!K210</f>
        <v>0</v>
      </c>
      <c r="O210" s="8">
        <f>(Données!L210/Données!Y210)*1</f>
        <v>35727.300000000003</v>
      </c>
      <c r="P210" s="343">
        <f t="shared" si="11"/>
        <v>487522.6</v>
      </c>
      <c r="Q210" s="173">
        <f>+Données!X210</f>
        <v>69</v>
      </c>
      <c r="R210" s="343">
        <f t="shared" si="12"/>
        <v>7065.5449275362316</v>
      </c>
    </row>
    <row r="211" spans="1:18" x14ac:dyDescent="0.25">
      <c r="A211" s="7">
        <f>Données!A211</f>
        <v>5748</v>
      </c>
      <c r="B211" s="27" t="str">
        <f>Données!B211</f>
        <v>Bretonnières</v>
      </c>
      <c r="C211" s="8">
        <f>Données!C211+Données!D211</f>
        <v>444870.54</v>
      </c>
      <c r="D211" s="8">
        <f>+Données!G211+Données!H211+Données!S211</f>
        <v>-4589.43</v>
      </c>
      <c r="E211" s="8">
        <f>+Données!E211</f>
        <v>0</v>
      </c>
      <c r="F211" s="8">
        <f>+Données!I211</f>
        <v>0</v>
      </c>
      <c r="G211" s="8">
        <f>+Données!J211</f>
        <v>824.19</v>
      </c>
      <c r="H211" s="8">
        <f>Données!U211</f>
        <v>722.15</v>
      </c>
      <c r="I211" s="152">
        <f>Données!V211</f>
        <v>0</v>
      </c>
      <c r="J211" s="152">
        <f>Données!W211</f>
        <v>0</v>
      </c>
      <c r="K211" s="8">
        <f>+Données!Q211</f>
        <v>0</v>
      </c>
      <c r="L211" s="343">
        <f t="shared" si="10"/>
        <v>441827.45</v>
      </c>
      <c r="M211" s="8">
        <f>+Données!F211</f>
        <v>2100</v>
      </c>
      <c r="N211" s="8">
        <f>+Données!K211</f>
        <v>0</v>
      </c>
      <c r="O211" s="8">
        <f>(Données!L211/Données!Y211)*1</f>
        <v>40049.25</v>
      </c>
      <c r="P211" s="343">
        <f t="shared" si="11"/>
        <v>483976.7</v>
      </c>
      <c r="Q211" s="173">
        <f>+Données!X211</f>
        <v>70.5</v>
      </c>
      <c r="R211" s="343">
        <f t="shared" si="12"/>
        <v>6864.9177304964542</v>
      </c>
    </row>
    <row r="212" spans="1:18" x14ac:dyDescent="0.25">
      <c r="A212" s="7">
        <f>Données!A212</f>
        <v>5749</v>
      </c>
      <c r="B212" s="27" t="str">
        <f>Données!B212</f>
        <v>Chavornay</v>
      </c>
      <c r="C212" s="8">
        <f>Données!C212+Données!D212</f>
        <v>9085471.3399999999</v>
      </c>
      <c r="D212" s="8">
        <f>+Données!G212+Données!H212+Données!S212</f>
        <v>475704.66000000003</v>
      </c>
      <c r="E212" s="8">
        <f>+Données!E212</f>
        <v>0</v>
      </c>
      <c r="F212" s="8">
        <f>+Données!I212</f>
        <v>0</v>
      </c>
      <c r="G212" s="8">
        <f>+Données!J212</f>
        <v>189483.49</v>
      </c>
      <c r="H212" s="8">
        <f>Données!U212</f>
        <v>-246311.84</v>
      </c>
      <c r="I212" s="152">
        <f>Données!V212</f>
        <v>0</v>
      </c>
      <c r="J212" s="152">
        <f>Données!W212</f>
        <v>-1284.8800000000001</v>
      </c>
      <c r="K212" s="8">
        <f>+Données!Q212</f>
        <v>44334.26</v>
      </c>
      <c r="L212" s="343">
        <f t="shared" si="10"/>
        <v>9547397.0299999993</v>
      </c>
      <c r="M212" s="8">
        <f>+Données!F212</f>
        <v>0</v>
      </c>
      <c r="N212" s="8">
        <f>+Données!K212</f>
        <v>85667.9</v>
      </c>
      <c r="O212" s="8">
        <f>(Données!L212/Données!Y212)*1</f>
        <v>912314.25</v>
      </c>
      <c r="P212" s="343">
        <f t="shared" si="11"/>
        <v>10545379.18</v>
      </c>
      <c r="Q212" s="173">
        <f>+Données!X212</f>
        <v>70.5</v>
      </c>
      <c r="R212" s="343">
        <f t="shared" si="12"/>
        <v>149579.8465248227</v>
      </c>
    </row>
    <row r="213" spans="1:18" x14ac:dyDescent="0.25">
      <c r="A213" s="7">
        <f>Données!A213</f>
        <v>5750</v>
      </c>
      <c r="B213" s="27" t="str">
        <f>Données!B213</f>
        <v>Les Clées</v>
      </c>
      <c r="C213" s="8">
        <f>Données!C213+Données!D213</f>
        <v>400799.56</v>
      </c>
      <c r="D213" s="8">
        <f>+Données!G213+Données!H213+Données!S213</f>
        <v>750.95</v>
      </c>
      <c r="E213" s="8">
        <f>+Données!E213</f>
        <v>0</v>
      </c>
      <c r="F213" s="8">
        <f>+Données!I213</f>
        <v>0</v>
      </c>
      <c r="G213" s="8">
        <f>+Données!J213</f>
        <v>-827.72</v>
      </c>
      <c r="H213" s="8">
        <f>Données!U213</f>
        <v>-5180.74</v>
      </c>
      <c r="I213" s="152">
        <f>Données!V213</f>
        <v>0</v>
      </c>
      <c r="J213" s="152">
        <f>Données!W213</f>
        <v>-864.25</v>
      </c>
      <c r="K213" s="8">
        <f>+Données!Q213</f>
        <v>5065.57</v>
      </c>
      <c r="L213" s="343">
        <f t="shared" si="10"/>
        <v>399743.37000000005</v>
      </c>
      <c r="M213" s="8">
        <f>+Données!F213</f>
        <v>1160</v>
      </c>
      <c r="N213" s="8">
        <f>+Données!K213</f>
        <v>4.4000000000000004</v>
      </c>
      <c r="O213" s="8">
        <f>(Données!L213/Données!Y213)*1</f>
        <v>24734.583333333336</v>
      </c>
      <c r="P213" s="343">
        <f t="shared" si="11"/>
        <v>425642.35333333339</v>
      </c>
      <c r="Q213" s="173">
        <f>+Données!X213</f>
        <v>80</v>
      </c>
      <c r="R213" s="343">
        <f t="shared" si="12"/>
        <v>5320.5294166666672</v>
      </c>
    </row>
    <row r="214" spans="1:18" x14ac:dyDescent="0.25">
      <c r="A214" s="7">
        <f>Données!A214</f>
        <v>5752</v>
      </c>
      <c r="B214" s="27" t="str">
        <f>Données!B214</f>
        <v>Croy</v>
      </c>
      <c r="C214" s="8">
        <f>Données!C214+Données!D214</f>
        <v>660768.65999999992</v>
      </c>
      <c r="D214" s="8">
        <f>+Données!G214+Données!H214+Données!S214</f>
        <v>6216.35</v>
      </c>
      <c r="E214" s="8">
        <f>+Données!E214</f>
        <v>0</v>
      </c>
      <c r="F214" s="8">
        <f>+Données!I214</f>
        <v>0</v>
      </c>
      <c r="G214" s="8">
        <f>+Données!J214</f>
        <v>6599.81</v>
      </c>
      <c r="H214" s="8">
        <f>Données!U214</f>
        <v>-5212.62</v>
      </c>
      <c r="I214" s="152">
        <f>Données!V214</f>
        <v>0</v>
      </c>
      <c r="J214" s="152">
        <f>Données!W214</f>
        <v>-3162.3</v>
      </c>
      <c r="K214" s="8">
        <f>+Données!Q214</f>
        <v>15.83</v>
      </c>
      <c r="L214" s="343">
        <f t="shared" si="10"/>
        <v>665225.72999999986</v>
      </c>
      <c r="M214" s="8">
        <f>+Données!F214</f>
        <v>0</v>
      </c>
      <c r="N214" s="8">
        <f>+Données!K214</f>
        <v>833.4</v>
      </c>
      <c r="O214" s="8">
        <f>(Données!L214/Données!Y214)*1</f>
        <v>63459.428571428572</v>
      </c>
      <c r="P214" s="343">
        <f t="shared" si="11"/>
        <v>729518.55857142841</v>
      </c>
      <c r="Q214" s="173">
        <f>+Données!X214</f>
        <v>74</v>
      </c>
      <c r="R214" s="343">
        <f t="shared" si="12"/>
        <v>9858.3588996138969</v>
      </c>
    </row>
    <row r="215" spans="1:18" x14ac:dyDescent="0.25">
      <c r="A215" s="7">
        <f>Données!A215</f>
        <v>5754</v>
      </c>
      <c r="B215" s="27" t="str">
        <f>Données!B215</f>
        <v>Juriens</v>
      </c>
      <c r="C215" s="8">
        <f>Données!C215+Données!D215</f>
        <v>633864.22</v>
      </c>
      <c r="D215" s="8">
        <f>+Données!G215+Données!H215+Données!S215</f>
        <v>4069.9700000000003</v>
      </c>
      <c r="E215" s="8">
        <f>+Données!E215</f>
        <v>0</v>
      </c>
      <c r="F215" s="8">
        <f>+Données!I215</f>
        <v>0</v>
      </c>
      <c r="G215" s="8">
        <f>+Données!J215</f>
        <v>3921.17</v>
      </c>
      <c r="H215" s="8">
        <f>Données!U215</f>
        <v>-3451.7</v>
      </c>
      <c r="I215" s="152">
        <f>Données!V215</f>
        <v>0</v>
      </c>
      <c r="J215" s="152">
        <f>Données!W215</f>
        <v>0</v>
      </c>
      <c r="K215" s="8">
        <f>+Données!Q215</f>
        <v>6796.24</v>
      </c>
      <c r="L215" s="343">
        <f t="shared" si="10"/>
        <v>645199.9</v>
      </c>
      <c r="M215" s="8">
        <f>+Données!F215</f>
        <v>0</v>
      </c>
      <c r="N215" s="8">
        <f>+Données!K215</f>
        <v>2096.5</v>
      </c>
      <c r="O215" s="8">
        <f>(Données!L215/Données!Y215)*1</f>
        <v>48869.1</v>
      </c>
      <c r="P215" s="343">
        <f t="shared" si="11"/>
        <v>696165.5</v>
      </c>
      <c r="Q215" s="173">
        <f>+Données!X215</f>
        <v>79</v>
      </c>
      <c r="R215" s="343">
        <f t="shared" si="12"/>
        <v>8812.2215189873423</v>
      </c>
    </row>
    <row r="216" spans="1:18" x14ac:dyDescent="0.25">
      <c r="A216" s="7">
        <f>Données!A216</f>
        <v>5755</v>
      </c>
      <c r="B216" s="27" t="str">
        <f>Données!B216</f>
        <v>Lignerolle</v>
      </c>
      <c r="C216" s="8">
        <f>Données!C216+Données!D216</f>
        <v>776869.15</v>
      </c>
      <c r="D216" s="8">
        <f>+Données!G216+Données!H216+Données!S216</f>
        <v>26594.489999999998</v>
      </c>
      <c r="E216" s="8">
        <f>+Données!E216</f>
        <v>0</v>
      </c>
      <c r="F216" s="8">
        <f>+Données!I216</f>
        <v>0</v>
      </c>
      <c r="G216" s="8">
        <f>+Données!J216</f>
        <v>9918.68</v>
      </c>
      <c r="H216" s="8">
        <f>Données!U216</f>
        <v>-17022.47</v>
      </c>
      <c r="I216" s="152">
        <f>Données!V216</f>
        <v>0</v>
      </c>
      <c r="J216" s="152">
        <f>Données!W216</f>
        <v>0</v>
      </c>
      <c r="K216" s="8">
        <f>+Données!Q216</f>
        <v>4346.1000000000004</v>
      </c>
      <c r="L216" s="343">
        <f t="shared" si="10"/>
        <v>800705.95000000007</v>
      </c>
      <c r="M216" s="8">
        <f>+Données!F216</f>
        <v>2250</v>
      </c>
      <c r="N216" s="8">
        <f>+Données!K216</f>
        <v>-2939.4</v>
      </c>
      <c r="O216" s="8">
        <f>(Données!L216/Données!Y216)*1</f>
        <v>72634.71428571429</v>
      </c>
      <c r="P216" s="343">
        <f t="shared" si="11"/>
        <v>872651.26428571437</v>
      </c>
      <c r="Q216" s="173">
        <f>+Données!X216</f>
        <v>78.5</v>
      </c>
      <c r="R216" s="343">
        <f t="shared" si="12"/>
        <v>11116.576615104641</v>
      </c>
    </row>
    <row r="217" spans="1:18" x14ac:dyDescent="0.25">
      <c r="A217" s="7">
        <f>Données!A217</f>
        <v>5756</v>
      </c>
      <c r="B217" s="27" t="str">
        <f>Données!B217</f>
        <v>Montcherand</v>
      </c>
      <c r="C217" s="8">
        <f>Données!C217+Données!D217</f>
        <v>1403593.83</v>
      </c>
      <c r="D217" s="8">
        <f>+Données!G217+Données!H217+Données!S217</f>
        <v>17107.16</v>
      </c>
      <c r="E217" s="8">
        <f>+Données!E217</f>
        <v>0</v>
      </c>
      <c r="F217" s="8">
        <f>+Données!I217</f>
        <v>0</v>
      </c>
      <c r="G217" s="8">
        <f>+Données!J217</f>
        <v>3558.24</v>
      </c>
      <c r="H217" s="8">
        <f>Données!U217</f>
        <v>-12845.4</v>
      </c>
      <c r="I217" s="152">
        <f>Données!V217</f>
        <v>0</v>
      </c>
      <c r="J217" s="152">
        <f>Données!W217</f>
        <v>-1860.45</v>
      </c>
      <c r="K217" s="8">
        <f>+Données!Q217</f>
        <v>7428.79</v>
      </c>
      <c r="L217" s="343">
        <f t="shared" si="10"/>
        <v>1416982.1700000002</v>
      </c>
      <c r="M217" s="8">
        <f>+Données!F217</f>
        <v>0</v>
      </c>
      <c r="N217" s="8">
        <f>+Données!K217</f>
        <v>212.4</v>
      </c>
      <c r="O217" s="8">
        <f>(Données!L217/Données!Y217)*1</f>
        <v>90600.2</v>
      </c>
      <c r="P217" s="343">
        <f t="shared" si="11"/>
        <v>1507794.77</v>
      </c>
      <c r="Q217" s="173">
        <f>+Données!X217</f>
        <v>72</v>
      </c>
      <c r="R217" s="343">
        <f t="shared" si="12"/>
        <v>20941.594027777777</v>
      </c>
    </row>
    <row r="218" spans="1:18" x14ac:dyDescent="0.25">
      <c r="A218" s="7">
        <f>Données!A218</f>
        <v>5757</v>
      </c>
      <c r="B218" s="27" t="str">
        <f>Données!B218</f>
        <v>Orbe</v>
      </c>
      <c r="C218" s="8">
        <f>Données!C218+Données!D218</f>
        <v>12798747.619999999</v>
      </c>
      <c r="D218" s="8">
        <f>+Données!G218+Données!H218+Données!S218</f>
        <v>2184290.4499999997</v>
      </c>
      <c r="E218" s="8">
        <f>+Données!E218</f>
        <v>0</v>
      </c>
      <c r="F218" s="8">
        <f>+Données!I218</f>
        <v>0</v>
      </c>
      <c r="G218" s="8">
        <f>+Données!J218</f>
        <v>549796.24</v>
      </c>
      <c r="H218" s="8">
        <f>Données!U218</f>
        <v>-217516.5</v>
      </c>
      <c r="I218" s="152">
        <f>Données!V218</f>
        <v>0</v>
      </c>
      <c r="J218" s="152">
        <f>Données!W218</f>
        <v>-2468.5300000000002</v>
      </c>
      <c r="K218" s="8">
        <f>+Données!Q218</f>
        <v>109036.63</v>
      </c>
      <c r="L218" s="343">
        <f t="shared" si="10"/>
        <v>15421885.91</v>
      </c>
      <c r="M218" s="8">
        <f>+Données!F218</f>
        <v>0</v>
      </c>
      <c r="N218" s="8">
        <f>+Données!K218</f>
        <v>157316.35</v>
      </c>
      <c r="O218" s="8">
        <f>(Données!L218/Données!Y218)*1</f>
        <v>1499594.4</v>
      </c>
      <c r="P218" s="343">
        <f t="shared" si="11"/>
        <v>17078796.66</v>
      </c>
      <c r="Q218" s="173">
        <f>+Données!X218</f>
        <v>75.5</v>
      </c>
      <c r="R218" s="343">
        <f t="shared" si="12"/>
        <v>226209.22728476822</v>
      </c>
    </row>
    <row r="219" spans="1:18" x14ac:dyDescent="0.25">
      <c r="A219" s="7">
        <f>Données!A219</f>
        <v>5758</v>
      </c>
      <c r="B219" s="27" t="str">
        <f>Données!B219</f>
        <v>La Praz</v>
      </c>
      <c r="C219" s="8">
        <f>Données!C219+Données!D219</f>
        <v>429631.68000000005</v>
      </c>
      <c r="D219" s="8">
        <f>+Données!G219+Données!H219+Données!S219</f>
        <v>2821.1200000000003</v>
      </c>
      <c r="E219" s="8">
        <f>+Données!E219</f>
        <v>0</v>
      </c>
      <c r="F219" s="8">
        <f>+Données!I219</f>
        <v>0</v>
      </c>
      <c r="G219" s="8">
        <f>+Données!J219</f>
        <v>10269.84</v>
      </c>
      <c r="H219" s="8">
        <f>Données!U219</f>
        <v>-10358.15</v>
      </c>
      <c r="I219" s="152">
        <f>Données!V219</f>
        <v>0</v>
      </c>
      <c r="J219" s="152">
        <f>Données!W219</f>
        <v>-52.55</v>
      </c>
      <c r="K219" s="8">
        <f>+Données!Q219</f>
        <v>113.94</v>
      </c>
      <c r="L219" s="343">
        <f t="shared" si="10"/>
        <v>432425.88000000006</v>
      </c>
      <c r="M219" s="8">
        <f>+Données!F219</f>
        <v>0</v>
      </c>
      <c r="N219" s="8">
        <f>+Données!K219</f>
        <v>0</v>
      </c>
      <c r="O219" s="8">
        <f>(Données!L219/Données!Y219)*1</f>
        <v>31801.200000000001</v>
      </c>
      <c r="P219" s="343">
        <f t="shared" si="11"/>
        <v>464227.08000000007</v>
      </c>
      <c r="Q219" s="173">
        <f>+Données!X219</f>
        <v>83</v>
      </c>
      <c r="R219" s="343">
        <f t="shared" si="12"/>
        <v>5593.0973493975916</v>
      </c>
    </row>
    <row r="220" spans="1:18" x14ac:dyDescent="0.25">
      <c r="A220" s="7">
        <f>Données!A220</f>
        <v>5759</v>
      </c>
      <c r="B220" s="27" t="str">
        <f>Données!B220</f>
        <v>Premier</v>
      </c>
      <c r="C220" s="8">
        <f>Données!C220+Données!D220</f>
        <v>392352.72000000003</v>
      </c>
      <c r="D220" s="8">
        <f>+Données!G220+Données!H220+Données!S220</f>
        <v>5345.14</v>
      </c>
      <c r="E220" s="8">
        <f>+Données!E220</f>
        <v>0</v>
      </c>
      <c r="F220" s="8">
        <f>+Données!I220</f>
        <v>0</v>
      </c>
      <c r="G220" s="8">
        <f>+Données!J220</f>
        <v>-1259.26</v>
      </c>
      <c r="H220" s="8">
        <f>Données!U220</f>
        <v>-4393.8500000000004</v>
      </c>
      <c r="I220" s="152">
        <f>Données!V220</f>
        <v>0</v>
      </c>
      <c r="J220" s="152">
        <f>Données!W220</f>
        <v>-315.8</v>
      </c>
      <c r="K220" s="8">
        <f>+Données!Q220</f>
        <v>0</v>
      </c>
      <c r="L220" s="343">
        <f t="shared" si="10"/>
        <v>391728.95000000007</v>
      </c>
      <c r="M220" s="8">
        <f>+Données!F220</f>
        <v>0</v>
      </c>
      <c r="N220" s="8">
        <f>+Données!K220</f>
        <v>289.45</v>
      </c>
      <c r="O220" s="8">
        <f>(Données!L220/Données!Y220)*1</f>
        <v>33438.699999999997</v>
      </c>
      <c r="P220" s="343">
        <f t="shared" si="11"/>
        <v>425457.10000000009</v>
      </c>
      <c r="Q220" s="173">
        <f>+Données!X220</f>
        <v>79.5</v>
      </c>
      <c r="R220" s="343">
        <f t="shared" si="12"/>
        <v>5351.6616352201272</v>
      </c>
    </row>
    <row r="221" spans="1:18" x14ac:dyDescent="0.25">
      <c r="A221" s="7">
        <f>Données!A221</f>
        <v>5760</v>
      </c>
      <c r="B221" s="27" t="str">
        <f>Données!B221</f>
        <v>Rances</v>
      </c>
      <c r="C221" s="8">
        <f>Données!C221+Données!D221</f>
        <v>1167084.95</v>
      </c>
      <c r="D221" s="8">
        <f>+Données!G221+Données!H221+Données!S221</f>
        <v>14094.27</v>
      </c>
      <c r="E221" s="8">
        <f>+Données!E221</f>
        <v>0</v>
      </c>
      <c r="F221" s="8">
        <f>+Données!I221</f>
        <v>0</v>
      </c>
      <c r="G221" s="8">
        <f>+Données!J221</f>
        <v>-1073.1300000000001</v>
      </c>
      <c r="H221" s="8">
        <f>Données!U221</f>
        <v>-16141.26</v>
      </c>
      <c r="I221" s="152">
        <f>Données!V221</f>
        <v>0</v>
      </c>
      <c r="J221" s="152">
        <f>Données!W221</f>
        <v>-44.85</v>
      </c>
      <c r="K221" s="8">
        <f>+Données!Q221</f>
        <v>2521.7399999999998</v>
      </c>
      <c r="L221" s="343">
        <f t="shared" si="10"/>
        <v>1166441.72</v>
      </c>
      <c r="M221" s="8">
        <f>+Données!F221</f>
        <v>0</v>
      </c>
      <c r="N221" s="8">
        <f>+Données!K221</f>
        <v>0</v>
      </c>
      <c r="O221" s="8">
        <f>(Données!L221/Données!Y221)*1</f>
        <v>86405</v>
      </c>
      <c r="P221" s="343">
        <f t="shared" si="11"/>
        <v>1252846.72</v>
      </c>
      <c r="Q221" s="173">
        <f>+Données!X221</f>
        <v>76.5</v>
      </c>
      <c r="R221" s="343">
        <f t="shared" si="12"/>
        <v>16377.081307189543</v>
      </c>
    </row>
    <row r="222" spans="1:18" x14ac:dyDescent="0.25">
      <c r="A222" s="7">
        <f>Données!A222</f>
        <v>5761</v>
      </c>
      <c r="B222" s="27" t="str">
        <f>Données!B222</f>
        <v>Romainmôtier-Envy</v>
      </c>
      <c r="C222" s="8">
        <f>Données!C222+Données!D222</f>
        <v>963204.97</v>
      </c>
      <c r="D222" s="8">
        <f>+Données!G222+Données!H222+Données!S222</f>
        <v>7230.81</v>
      </c>
      <c r="E222" s="8">
        <f>+Données!E222</f>
        <v>0</v>
      </c>
      <c r="F222" s="8">
        <f>+Données!I222</f>
        <v>0</v>
      </c>
      <c r="G222" s="8">
        <f>+Données!J222</f>
        <v>21728.78</v>
      </c>
      <c r="H222" s="8">
        <f>Données!U222</f>
        <v>-1785.52</v>
      </c>
      <c r="I222" s="152">
        <f>Données!V222</f>
        <v>0</v>
      </c>
      <c r="J222" s="152">
        <f>Données!W222</f>
        <v>-219.8</v>
      </c>
      <c r="K222" s="8">
        <f>+Données!Q222</f>
        <v>4952.38</v>
      </c>
      <c r="L222" s="343">
        <f t="shared" si="10"/>
        <v>995111.62</v>
      </c>
      <c r="M222" s="8">
        <f>+Données!F222</f>
        <v>0</v>
      </c>
      <c r="N222" s="8">
        <f>+Données!K222</f>
        <v>5321.8</v>
      </c>
      <c r="O222" s="8">
        <f>(Données!L222/Données!Y222)*1</f>
        <v>90784.636363636368</v>
      </c>
      <c r="P222" s="343">
        <f t="shared" si="11"/>
        <v>1091218.0563636364</v>
      </c>
      <c r="Q222" s="173">
        <f>+Données!X222</f>
        <v>81</v>
      </c>
      <c r="R222" s="343">
        <f t="shared" si="12"/>
        <v>13471.82785634119</v>
      </c>
    </row>
    <row r="223" spans="1:18" x14ac:dyDescent="0.25">
      <c r="A223" s="7">
        <f>Données!A223</f>
        <v>5762</v>
      </c>
      <c r="B223" s="27" t="str">
        <f>Données!B223</f>
        <v>Sergey</v>
      </c>
      <c r="C223" s="8">
        <f>Données!C223+Données!D223</f>
        <v>252085.96</v>
      </c>
      <c r="D223" s="8">
        <f>+Données!G223+Données!H223+Données!S223</f>
        <v>3553.47</v>
      </c>
      <c r="E223" s="8">
        <f>+Données!E223</f>
        <v>0</v>
      </c>
      <c r="F223" s="8">
        <f>+Données!I223</f>
        <v>0</v>
      </c>
      <c r="G223" s="8">
        <f>+Données!J223</f>
        <v>531.54</v>
      </c>
      <c r="H223" s="8">
        <f>Données!U223</f>
        <v>-62.61</v>
      </c>
      <c r="I223" s="152">
        <f>Données!V223</f>
        <v>0</v>
      </c>
      <c r="J223" s="152">
        <f>Données!W223</f>
        <v>0</v>
      </c>
      <c r="K223" s="8">
        <f>+Données!Q223</f>
        <v>0</v>
      </c>
      <c r="L223" s="343">
        <f t="shared" si="10"/>
        <v>256108.36000000002</v>
      </c>
      <c r="M223" s="8">
        <f>+Données!F223</f>
        <v>0</v>
      </c>
      <c r="N223" s="8">
        <f>+Données!K223</f>
        <v>0</v>
      </c>
      <c r="O223" s="8">
        <f>(Données!L223/Données!Y223)*1</f>
        <v>21901.599999999999</v>
      </c>
      <c r="P223" s="343">
        <f t="shared" si="11"/>
        <v>278009.96000000002</v>
      </c>
      <c r="Q223" s="173">
        <f>+Données!X223</f>
        <v>78</v>
      </c>
      <c r="R223" s="343">
        <f t="shared" si="12"/>
        <v>3564.2302564102565</v>
      </c>
    </row>
    <row r="224" spans="1:18" x14ac:dyDescent="0.25">
      <c r="A224" s="7">
        <f>Données!A224</f>
        <v>5763</v>
      </c>
      <c r="B224" s="27" t="str">
        <f>Données!B224</f>
        <v>Valeyres-sous-Rances</v>
      </c>
      <c r="C224" s="8">
        <f>Données!C224+Données!D224</f>
        <v>1354546.17</v>
      </c>
      <c r="D224" s="8">
        <f>+Données!G224+Données!H224+Données!S224</f>
        <v>26833.32</v>
      </c>
      <c r="E224" s="8">
        <f>+Données!E224</f>
        <v>0</v>
      </c>
      <c r="F224" s="8">
        <f>+Données!I224</f>
        <v>0</v>
      </c>
      <c r="G224" s="8">
        <f>+Données!J224</f>
        <v>30678.97</v>
      </c>
      <c r="H224" s="8">
        <f>Données!U224</f>
        <v>-3088.07</v>
      </c>
      <c r="I224" s="152">
        <f>Données!V224</f>
        <v>0</v>
      </c>
      <c r="J224" s="152">
        <f>Données!W224</f>
        <v>-461.95</v>
      </c>
      <c r="K224" s="8">
        <f>+Données!Q224</f>
        <v>1724.6</v>
      </c>
      <c r="L224" s="343">
        <f t="shared" si="10"/>
        <v>1410233.04</v>
      </c>
      <c r="M224" s="8">
        <f>+Données!F224</f>
        <v>3520</v>
      </c>
      <c r="N224" s="8">
        <f>+Données!K224</f>
        <v>4048.65</v>
      </c>
      <c r="O224" s="8">
        <f>(Données!L224/Données!Y224)*1</f>
        <v>93013</v>
      </c>
      <c r="P224" s="343">
        <f t="shared" si="11"/>
        <v>1510814.69</v>
      </c>
      <c r="Q224" s="173">
        <f>+Données!X224</f>
        <v>71</v>
      </c>
      <c r="R224" s="343">
        <f t="shared" si="12"/>
        <v>21279.080140845068</v>
      </c>
    </row>
    <row r="225" spans="1:18" x14ac:dyDescent="0.25">
      <c r="A225" s="7">
        <f>Données!A225</f>
        <v>5764</v>
      </c>
      <c r="B225" s="27" t="str">
        <f>Données!B225</f>
        <v>Vallorbe</v>
      </c>
      <c r="C225" s="8">
        <f>Données!C225+Données!D225</f>
        <v>5657284.0899999999</v>
      </c>
      <c r="D225" s="8">
        <f>+Données!G225+Données!H225+Données!S225</f>
        <v>373988.30000000005</v>
      </c>
      <c r="E225" s="8">
        <f>+Données!E225</f>
        <v>0</v>
      </c>
      <c r="F225" s="8">
        <f>+Données!I225</f>
        <v>0</v>
      </c>
      <c r="G225" s="8">
        <f>+Données!J225</f>
        <v>251118.58</v>
      </c>
      <c r="H225" s="8">
        <f>Données!U225</f>
        <v>-175133.43</v>
      </c>
      <c r="I225" s="152">
        <f>Données!V225</f>
        <v>0</v>
      </c>
      <c r="J225" s="152">
        <f>Données!W225</f>
        <v>-123.45</v>
      </c>
      <c r="K225" s="8">
        <f>+Données!Q225</f>
        <v>54092.55</v>
      </c>
      <c r="L225" s="343">
        <f t="shared" si="10"/>
        <v>6161226.6399999997</v>
      </c>
      <c r="M225" s="8">
        <f>+Données!F225</f>
        <v>0</v>
      </c>
      <c r="N225" s="8">
        <f>+Données!K225</f>
        <v>53553.5</v>
      </c>
      <c r="O225" s="8">
        <f>(Données!L225/Données!Y225)*1</f>
        <v>536097.5</v>
      </c>
      <c r="P225" s="343">
        <f t="shared" si="11"/>
        <v>6750877.6399999997</v>
      </c>
      <c r="Q225" s="173">
        <f>+Données!X225</f>
        <v>71.5</v>
      </c>
      <c r="R225" s="343">
        <f t="shared" si="12"/>
        <v>94417.86909090908</v>
      </c>
    </row>
    <row r="226" spans="1:18" x14ac:dyDescent="0.25">
      <c r="A226" s="7">
        <f>Données!A226</f>
        <v>5765</v>
      </c>
      <c r="B226" s="27" t="str">
        <f>Données!B226</f>
        <v>Vaulion</v>
      </c>
      <c r="C226" s="8">
        <f>Données!C226+Données!D226</f>
        <v>828833.3</v>
      </c>
      <c r="D226" s="8">
        <f>+Données!G226+Données!H226+Données!S226</f>
        <v>13169.759999999998</v>
      </c>
      <c r="E226" s="8">
        <f>+Données!E226</f>
        <v>0</v>
      </c>
      <c r="F226" s="8">
        <f>+Données!I226</f>
        <v>0</v>
      </c>
      <c r="G226" s="8">
        <f>+Données!J226</f>
        <v>27700.63</v>
      </c>
      <c r="H226" s="8">
        <f>Données!U226</f>
        <v>-7464.06</v>
      </c>
      <c r="I226" s="152">
        <f>Données!V226</f>
        <v>0</v>
      </c>
      <c r="J226" s="152">
        <f>Données!W226</f>
        <v>-3.63</v>
      </c>
      <c r="K226" s="8">
        <f>+Données!Q226</f>
        <v>3759.41</v>
      </c>
      <c r="L226" s="343">
        <f t="shared" si="10"/>
        <v>865995.41</v>
      </c>
      <c r="M226" s="8">
        <f>+Données!F226</f>
        <v>0</v>
      </c>
      <c r="N226" s="8">
        <f>+Données!K226</f>
        <v>0</v>
      </c>
      <c r="O226" s="8">
        <f>(Données!L226/Données!Y226)*1</f>
        <v>70284.5</v>
      </c>
      <c r="P226" s="343">
        <f t="shared" si="11"/>
        <v>936279.91</v>
      </c>
      <c r="Q226" s="173">
        <f>+Données!X226</f>
        <v>81</v>
      </c>
      <c r="R226" s="343">
        <f t="shared" si="12"/>
        <v>11559.011234567901</v>
      </c>
    </row>
    <row r="227" spans="1:18" x14ac:dyDescent="0.25">
      <c r="A227" s="7">
        <f>Données!A227</f>
        <v>5766</v>
      </c>
      <c r="B227" s="27" t="str">
        <f>Données!B227</f>
        <v>Vuiteboeuf</v>
      </c>
      <c r="C227" s="8">
        <f>Données!C227+Données!D227</f>
        <v>906746.52999999991</v>
      </c>
      <c r="D227" s="8">
        <f>+Données!G227+Données!H227+Données!S227</f>
        <v>77333.8</v>
      </c>
      <c r="E227" s="8">
        <f>+Données!E227</f>
        <v>0</v>
      </c>
      <c r="F227" s="8">
        <f>+Données!I227</f>
        <v>0</v>
      </c>
      <c r="G227" s="8">
        <f>+Données!J227</f>
        <v>10197.82</v>
      </c>
      <c r="H227" s="8">
        <f>Données!U227</f>
        <v>-6777.06</v>
      </c>
      <c r="I227" s="152">
        <f>Données!V227</f>
        <v>0</v>
      </c>
      <c r="J227" s="152">
        <f>Données!W227</f>
        <v>-72.5</v>
      </c>
      <c r="K227" s="8">
        <f>+Données!Q227</f>
        <v>1.83</v>
      </c>
      <c r="L227" s="343">
        <f t="shared" si="10"/>
        <v>987430.41999999981</v>
      </c>
      <c r="M227" s="8">
        <f>+Données!F227</f>
        <v>3701.65</v>
      </c>
      <c r="N227" s="8">
        <f>+Données!K227</f>
        <v>9032.5499999999993</v>
      </c>
      <c r="O227" s="8">
        <f>(Données!L227/Données!Y227)*1</f>
        <v>96422.857142857145</v>
      </c>
      <c r="P227" s="343">
        <f t="shared" si="11"/>
        <v>1096587.4771428569</v>
      </c>
      <c r="Q227" s="173">
        <f>+Données!X227</f>
        <v>75</v>
      </c>
      <c r="R227" s="343">
        <f t="shared" si="12"/>
        <v>14621.166361904759</v>
      </c>
    </row>
    <row r="228" spans="1:18" x14ac:dyDescent="0.25">
      <c r="A228" s="7">
        <f>Données!A228</f>
        <v>5785</v>
      </c>
      <c r="B228" s="27" t="str">
        <f>Données!B228</f>
        <v>Corcelles-le-Jorat</v>
      </c>
      <c r="C228" s="8">
        <f>Données!C228+Données!D228</f>
        <v>1197360.0899999999</v>
      </c>
      <c r="D228" s="8">
        <f>+Données!G228+Données!H228+Données!S228</f>
        <v>38696.89</v>
      </c>
      <c r="E228" s="8">
        <f>+Données!E228</f>
        <v>0</v>
      </c>
      <c r="F228" s="8">
        <f>+Données!I228</f>
        <v>0</v>
      </c>
      <c r="G228" s="8">
        <f>+Données!J228</f>
        <v>38437.519999999997</v>
      </c>
      <c r="H228" s="8">
        <f>Données!U228</f>
        <v>-5356.15</v>
      </c>
      <c r="I228" s="152">
        <f>Données!V228</f>
        <v>0</v>
      </c>
      <c r="J228" s="152">
        <f>Données!W228</f>
        <v>-3584.15</v>
      </c>
      <c r="K228" s="8">
        <f>+Données!Q228</f>
        <v>13.82</v>
      </c>
      <c r="L228" s="343">
        <f t="shared" si="10"/>
        <v>1265568.02</v>
      </c>
      <c r="M228" s="8">
        <f>+Données!F228</f>
        <v>0</v>
      </c>
      <c r="N228" s="8">
        <f>+Données!K228</f>
        <v>1068.5999999999999</v>
      </c>
      <c r="O228" s="8">
        <f>(Données!L228/Données!Y228)*1</f>
        <v>80950.350000000006</v>
      </c>
      <c r="P228" s="343">
        <f t="shared" si="11"/>
        <v>1347586.9700000002</v>
      </c>
      <c r="Q228" s="173">
        <f>+Données!X228</f>
        <v>75</v>
      </c>
      <c r="R228" s="343">
        <f t="shared" si="12"/>
        <v>17967.826266666671</v>
      </c>
    </row>
    <row r="229" spans="1:18" x14ac:dyDescent="0.25">
      <c r="A229" s="7">
        <f>Données!A229</f>
        <v>5790</v>
      </c>
      <c r="B229" s="27" t="str">
        <f>Données!B229</f>
        <v>Maracon</v>
      </c>
      <c r="C229" s="8">
        <f>Données!C229+Données!D229</f>
        <v>1191409.8400000001</v>
      </c>
      <c r="D229" s="8">
        <f>+Données!G229+Données!H229+Données!S229</f>
        <v>12492.4</v>
      </c>
      <c r="E229" s="8">
        <f>+Données!E229</f>
        <v>0</v>
      </c>
      <c r="F229" s="8">
        <f>+Données!I229</f>
        <v>0</v>
      </c>
      <c r="G229" s="8">
        <f>+Données!J229</f>
        <v>16096.96</v>
      </c>
      <c r="H229" s="8">
        <f>Données!U229</f>
        <v>-17703.52</v>
      </c>
      <c r="I229" s="152">
        <f>Données!V229</f>
        <v>0</v>
      </c>
      <c r="J229" s="152">
        <f>Données!W229</f>
        <v>-3537.08</v>
      </c>
      <c r="K229" s="8">
        <f>+Données!Q229</f>
        <v>10928.28</v>
      </c>
      <c r="L229" s="343">
        <f t="shared" si="10"/>
        <v>1209686.8799999999</v>
      </c>
      <c r="M229" s="8">
        <f>+Données!F229</f>
        <v>0</v>
      </c>
      <c r="N229" s="8">
        <f>+Données!K229</f>
        <v>3188.6</v>
      </c>
      <c r="O229" s="8">
        <f>(Données!L229/Données!Y229)*1</f>
        <v>95075</v>
      </c>
      <c r="P229" s="343">
        <f t="shared" si="11"/>
        <v>1307950.48</v>
      </c>
      <c r="Q229" s="173">
        <f>+Données!X229</f>
        <v>74.5</v>
      </c>
      <c r="R229" s="343">
        <f t="shared" si="12"/>
        <v>17556.382281879196</v>
      </c>
    </row>
    <row r="230" spans="1:18" x14ac:dyDescent="0.25">
      <c r="A230" s="7">
        <f>Données!A230</f>
        <v>5792</v>
      </c>
      <c r="B230" s="27" t="str">
        <f>Données!B230</f>
        <v>Montpreveyres</v>
      </c>
      <c r="C230" s="8">
        <f>Données!C230+Données!D230</f>
        <v>1312828.8699999999</v>
      </c>
      <c r="D230" s="8">
        <f>+Données!G230+Données!H230+Données!S230</f>
        <v>43061.87</v>
      </c>
      <c r="E230" s="8">
        <f>+Données!E230</f>
        <v>0</v>
      </c>
      <c r="F230" s="8">
        <f>+Données!I230</f>
        <v>0</v>
      </c>
      <c r="G230" s="8">
        <f>+Données!J230</f>
        <v>13338.53</v>
      </c>
      <c r="H230" s="8">
        <f>Données!U230</f>
        <v>-22486.06</v>
      </c>
      <c r="I230" s="152">
        <f>Données!V230</f>
        <v>0</v>
      </c>
      <c r="J230" s="152">
        <f>Données!W230</f>
        <v>-5605.1</v>
      </c>
      <c r="K230" s="8">
        <f>+Données!Q230</f>
        <v>1072.75</v>
      </c>
      <c r="L230" s="343">
        <f t="shared" si="10"/>
        <v>1342210.8599999999</v>
      </c>
      <c r="M230" s="8">
        <f>+Données!F230</f>
        <v>0</v>
      </c>
      <c r="N230" s="8">
        <f>+Données!K230</f>
        <v>-2189</v>
      </c>
      <c r="O230" s="8">
        <f>(Données!L230/Données!Y230)*1</f>
        <v>122711.9</v>
      </c>
      <c r="P230" s="343">
        <f t="shared" si="11"/>
        <v>1462733.7599999998</v>
      </c>
      <c r="Q230" s="173">
        <f>+Données!X230</f>
        <v>75</v>
      </c>
      <c r="R230" s="343">
        <f t="shared" si="12"/>
        <v>19503.116799999996</v>
      </c>
    </row>
    <row r="231" spans="1:18" x14ac:dyDescent="0.25">
      <c r="A231" s="7">
        <f>Données!A231</f>
        <v>5798</v>
      </c>
      <c r="B231" s="27" t="str">
        <f>Données!B231</f>
        <v>Ropraz</v>
      </c>
      <c r="C231" s="8">
        <f>Données!C231+Données!D231</f>
        <v>1070170.3999999999</v>
      </c>
      <c r="D231" s="8">
        <f>+Données!G231+Données!H231+Données!S231</f>
        <v>36433.089999999997</v>
      </c>
      <c r="E231" s="8">
        <f>+Données!E231</f>
        <v>0</v>
      </c>
      <c r="F231" s="8">
        <f>+Données!I231</f>
        <v>0</v>
      </c>
      <c r="G231" s="8">
        <f>+Données!J231</f>
        <v>39003.64</v>
      </c>
      <c r="H231" s="8">
        <f>Données!U231</f>
        <v>-10977.25</v>
      </c>
      <c r="I231" s="152">
        <f>Données!V231</f>
        <v>0</v>
      </c>
      <c r="J231" s="152">
        <f>Données!W231</f>
        <v>-186.93</v>
      </c>
      <c r="K231" s="8">
        <f>+Données!Q231</f>
        <v>1494.65</v>
      </c>
      <c r="L231" s="343">
        <f t="shared" si="10"/>
        <v>1135937.5999999999</v>
      </c>
      <c r="M231" s="8">
        <f>+Données!F231</f>
        <v>0</v>
      </c>
      <c r="N231" s="8">
        <f>+Données!K231</f>
        <v>11618.05</v>
      </c>
      <c r="O231" s="8">
        <f>(Données!L231/Données!Y231)*1</f>
        <v>99952.1</v>
      </c>
      <c r="P231" s="343">
        <f t="shared" si="11"/>
        <v>1247507.75</v>
      </c>
      <c r="Q231" s="173">
        <f>+Données!X231</f>
        <v>77.5</v>
      </c>
      <c r="R231" s="343">
        <f t="shared" si="12"/>
        <v>16096.874193548387</v>
      </c>
    </row>
    <row r="232" spans="1:18" x14ac:dyDescent="0.25">
      <c r="A232" s="7">
        <f>Données!A232</f>
        <v>5799</v>
      </c>
      <c r="B232" s="27" t="str">
        <f>Données!B232</f>
        <v>Servion</v>
      </c>
      <c r="C232" s="8">
        <f>Données!C232+Données!D232</f>
        <v>4795540.63</v>
      </c>
      <c r="D232" s="8">
        <f>+Données!G232+Données!H232+Données!S232</f>
        <v>156149.65</v>
      </c>
      <c r="E232" s="8">
        <f>+Données!E232</f>
        <v>0</v>
      </c>
      <c r="F232" s="8">
        <f>+Données!I232</f>
        <v>0</v>
      </c>
      <c r="G232" s="8">
        <f>+Données!J232</f>
        <v>24883.15</v>
      </c>
      <c r="H232" s="8">
        <f>Données!U232</f>
        <v>-38965.74</v>
      </c>
      <c r="I232" s="152">
        <f>Données!V232</f>
        <v>0</v>
      </c>
      <c r="J232" s="152">
        <f>Données!W232</f>
        <v>-1495.09</v>
      </c>
      <c r="K232" s="8">
        <f>+Données!Q232</f>
        <v>12605.66</v>
      </c>
      <c r="L232" s="343">
        <f t="shared" si="10"/>
        <v>4948718.2600000007</v>
      </c>
      <c r="M232" s="8">
        <f>+Données!F232</f>
        <v>0</v>
      </c>
      <c r="N232" s="8">
        <f>+Données!K232</f>
        <v>13508.95</v>
      </c>
      <c r="O232" s="8">
        <f>(Données!L232/Données!Y232)*1</f>
        <v>447592.6</v>
      </c>
      <c r="P232" s="343">
        <f t="shared" si="11"/>
        <v>5409819.8100000005</v>
      </c>
      <c r="Q232" s="173">
        <f>+Données!X232</f>
        <v>69</v>
      </c>
      <c r="R232" s="343">
        <f t="shared" si="12"/>
        <v>78403.185652173925</v>
      </c>
    </row>
    <row r="233" spans="1:18" x14ac:dyDescent="0.25">
      <c r="A233" s="7">
        <f>Données!A233</f>
        <v>5803</v>
      </c>
      <c r="B233" s="27" t="str">
        <f>Données!B233</f>
        <v>Vulliens</v>
      </c>
      <c r="C233" s="8">
        <f>Données!C233+Données!D233</f>
        <v>1243323.2000000002</v>
      </c>
      <c r="D233" s="8">
        <f>+Données!G233+Données!H233+Données!S233</f>
        <v>7366.34</v>
      </c>
      <c r="E233" s="8">
        <f>+Données!E233</f>
        <v>0</v>
      </c>
      <c r="F233" s="8">
        <f>+Données!I233</f>
        <v>0</v>
      </c>
      <c r="G233" s="8">
        <f>+Données!J233</f>
        <v>14469.27</v>
      </c>
      <c r="H233" s="8">
        <f>Données!U233</f>
        <v>-7432.78</v>
      </c>
      <c r="I233" s="152">
        <f>Données!V233</f>
        <v>0</v>
      </c>
      <c r="J233" s="152">
        <f>Données!W233</f>
        <v>-518.5</v>
      </c>
      <c r="K233" s="8">
        <f>+Données!Q233</f>
        <v>743.99</v>
      </c>
      <c r="L233" s="343">
        <f t="shared" si="10"/>
        <v>1257951.5200000003</v>
      </c>
      <c r="M233" s="8">
        <f>+Données!F233</f>
        <v>0</v>
      </c>
      <c r="N233" s="8">
        <f>+Données!K233</f>
        <v>0</v>
      </c>
      <c r="O233" s="8">
        <f>(Données!L233/Données!Y233)*1</f>
        <v>111407.45</v>
      </c>
      <c r="P233" s="343">
        <f t="shared" si="11"/>
        <v>1369358.9700000002</v>
      </c>
      <c r="Q233" s="173">
        <f>+Données!X233</f>
        <v>74</v>
      </c>
      <c r="R233" s="343">
        <f t="shared" si="12"/>
        <v>18504.850945945949</v>
      </c>
    </row>
    <row r="234" spans="1:18" x14ac:dyDescent="0.25">
      <c r="A234" s="7">
        <f>Données!A234</f>
        <v>5804</v>
      </c>
      <c r="B234" s="27" t="str">
        <f>Données!B234</f>
        <v>Jorat-Menthue</v>
      </c>
      <c r="C234" s="8">
        <f>Données!C234+Données!D234</f>
        <v>3165522.67</v>
      </c>
      <c r="D234" s="8">
        <f>+Données!G234+Données!H234+Données!S234</f>
        <v>8096.4400000000005</v>
      </c>
      <c r="E234" s="8">
        <f>+Données!E234</f>
        <v>0</v>
      </c>
      <c r="F234" s="8">
        <f>+Données!I234</f>
        <v>0</v>
      </c>
      <c r="G234" s="8">
        <f>+Données!J234</f>
        <v>51743.65</v>
      </c>
      <c r="H234" s="8">
        <f>Données!U234</f>
        <v>-60575.13</v>
      </c>
      <c r="I234" s="152">
        <f>Données!V234</f>
        <v>0</v>
      </c>
      <c r="J234" s="152">
        <f>Données!W234</f>
        <v>-1547.15</v>
      </c>
      <c r="K234" s="8">
        <f>+Données!Q234</f>
        <v>6094.7</v>
      </c>
      <c r="L234" s="343">
        <f t="shared" si="10"/>
        <v>3169335.18</v>
      </c>
      <c r="M234" s="8">
        <f>+Données!F234</f>
        <v>0</v>
      </c>
      <c r="N234" s="8">
        <f>+Données!K234</f>
        <v>30.4</v>
      </c>
      <c r="O234" s="8">
        <f>(Données!L234/Données!Y234)*1</f>
        <v>285723.34999999998</v>
      </c>
      <c r="P234" s="343">
        <f t="shared" si="11"/>
        <v>3455088.93</v>
      </c>
      <c r="Q234" s="173">
        <f>+Données!X234</f>
        <v>70.5</v>
      </c>
      <c r="R234" s="343">
        <f t="shared" si="12"/>
        <v>49008.353617021276</v>
      </c>
    </row>
    <row r="235" spans="1:18" x14ac:dyDescent="0.25">
      <c r="A235" s="7">
        <f>Données!A235</f>
        <v>5805</v>
      </c>
      <c r="B235" s="27" t="str">
        <f>Données!B235</f>
        <v>Oron</v>
      </c>
      <c r="C235" s="8">
        <f>Données!C235+Données!D235</f>
        <v>10279266.219999999</v>
      </c>
      <c r="D235" s="8">
        <f>+Données!G235+Données!H235+Données!S235</f>
        <v>685383.34</v>
      </c>
      <c r="E235" s="8">
        <f>+Données!E235</f>
        <v>0</v>
      </c>
      <c r="F235" s="8">
        <f>+Données!I235</f>
        <v>45603.5</v>
      </c>
      <c r="G235" s="8">
        <f>+Données!J235</f>
        <v>225704.66</v>
      </c>
      <c r="H235" s="8">
        <f>Données!U235</f>
        <v>-204619.75</v>
      </c>
      <c r="I235" s="152">
        <f>Données!V235</f>
        <v>0</v>
      </c>
      <c r="J235" s="152">
        <f>Données!W235</f>
        <v>-24023</v>
      </c>
      <c r="K235" s="8">
        <f>+Données!Q235</f>
        <v>48035.55</v>
      </c>
      <c r="L235" s="343">
        <f t="shared" si="10"/>
        <v>11055350.52</v>
      </c>
      <c r="M235" s="8">
        <f>+Données!F235</f>
        <v>0</v>
      </c>
      <c r="N235" s="8">
        <f>+Données!K235</f>
        <v>91128.15</v>
      </c>
      <c r="O235" s="8">
        <f>(Données!L235/Données!Y235)*1</f>
        <v>1089781.6363636362</v>
      </c>
      <c r="P235" s="343">
        <f t="shared" si="11"/>
        <v>12236260.306363637</v>
      </c>
      <c r="Q235" s="173">
        <f>+Données!X235</f>
        <v>69</v>
      </c>
      <c r="R235" s="343">
        <f t="shared" si="12"/>
        <v>177337.10588932806</v>
      </c>
    </row>
    <row r="236" spans="1:18" x14ac:dyDescent="0.25">
      <c r="A236" s="7">
        <f>Données!A236</f>
        <v>5806</v>
      </c>
      <c r="B236" s="27" t="str">
        <f>Données!B236</f>
        <v>Jorat-Mézières</v>
      </c>
      <c r="C236" s="8">
        <f>Données!C236+Données!D236</f>
        <v>6387373.75</v>
      </c>
      <c r="D236" s="8">
        <f>+Données!G236+Données!H236+Données!S236</f>
        <v>129961.42000000001</v>
      </c>
      <c r="E236" s="8">
        <f>+Données!E236</f>
        <v>0</v>
      </c>
      <c r="F236" s="8">
        <f>+Données!I236</f>
        <v>53357.25</v>
      </c>
      <c r="G236" s="8">
        <f>+Données!J236</f>
        <v>81098.03</v>
      </c>
      <c r="H236" s="8">
        <f>Données!U236</f>
        <v>-96654.62</v>
      </c>
      <c r="I236" s="152">
        <f>Données!V236</f>
        <v>0</v>
      </c>
      <c r="J236" s="152">
        <f>Données!W236</f>
        <v>-2757.8</v>
      </c>
      <c r="K236" s="8">
        <f>+Données!Q236</f>
        <v>9128.4599999999991</v>
      </c>
      <c r="L236" s="343">
        <f t="shared" si="10"/>
        <v>6561506.4900000002</v>
      </c>
      <c r="M236" s="8">
        <f>+Données!F236</f>
        <v>0</v>
      </c>
      <c r="N236" s="8">
        <f>+Données!K236</f>
        <v>30351.05</v>
      </c>
      <c r="O236" s="8">
        <f>(Données!L236/Données!Y236)*1</f>
        <v>600163.4</v>
      </c>
      <c r="P236" s="343">
        <f t="shared" si="11"/>
        <v>7192020.9400000004</v>
      </c>
      <c r="Q236" s="173">
        <f>+Données!X236</f>
        <v>73</v>
      </c>
      <c r="R236" s="343">
        <f t="shared" si="12"/>
        <v>98520.834794520561</v>
      </c>
    </row>
    <row r="237" spans="1:18" x14ac:dyDescent="0.25">
      <c r="A237" s="7">
        <f>Données!A237</f>
        <v>5812</v>
      </c>
      <c r="B237" s="27" t="str">
        <f>Données!B237</f>
        <v>Champtauroz</v>
      </c>
      <c r="C237" s="8">
        <f>Données!C237+Données!D237</f>
        <v>255962.65000000002</v>
      </c>
      <c r="D237" s="8">
        <f>+Données!G237+Données!H237+Données!S237</f>
        <v>1554.5900000000001</v>
      </c>
      <c r="E237" s="8">
        <f>+Données!E237</f>
        <v>0</v>
      </c>
      <c r="F237" s="8">
        <f>+Données!I237</f>
        <v>0</v>
      </c>
      <c r="G237" s="8">
        <f>+Données!J237</f>
        <v>2027.51</v>
      </c>
      <c r="H237" s="8">
        <f>Données!U237</f>
        <v>-11300.44</v>
      </c>
      <c r="I237" s="152">
        <f>Données!V237</f>
        <v>0</v>
      </c>
      <c r="J237" s="152">
        <f>Données!W237</f>
        <v>0</v>
      </c>
      <c r="K237" s="8">
        <f>+Données!Q237</f>
        <v>773.01</v>
      </c>
      <c r="L237" s="343">
        <f t="shared" si="10"/>
        <v>249017.32000000004</v>
      </c>
      <c r="M237" s="8">
        <f>+Données!F237</f>
        <v>0</v>
      </c>
      <c r="N237" s="8">
        <f>+Données!K237</f>
        <v>894.75</v>
      </c>
      <c r="O237" s="8">
        <f>(Données!L237/Données!Y237)*1</f>
        <v>24168.75</v>
      </c>
      <c r="P237" s="343">
        <f t="shared" si="11"/>
        <v>274080.82000000007</v>
      </c>
      <c r="Q237" s="173">
        <f>+Données!X237</f>
        <v>77</v>
      </c>
      <c r="R237" s="343">
        <f t="shared" si="12"/>
        <v>3559.4911688311695</v>
      </c>
    </row>
    <row r="238" spans="1:18" x14ac:dyDescent="0.25">
      <c r="A238" s="7">
        <f>Données!A238</f>
        <v>5813</v>
      </c>
      <c r="B238" s="27" t="str">
        <f>Données!B238</f>
        <v>Chevroux</v>
      </c>
      <c r="C238" s="8">
        <f>Données!C238+Données!D238</f>
        <v>1093511.76</v>
      </c>
      <c r="D238" s="8">
        <f>+Données!G238+Données!H238+Données!S238</f>
        <v>128699.48999999999</v>
      </c>
      <c r="E238" s="8">
        <f>+Données!E238</f>
        <v>0</v>
      </c>
      <c r="F238" s="8">
        <f>+Données!I238</f>
        <v>0</v>
      </c>
      <c r="G238" s="8">
        <f>+Données!J238</f>
        <v>3948.58</v>
      </c>
      <c r="H238" s="8">
        <f>Données!U238</f>
        <v>-15373.45</v>
      </c>
      <c r="I238" s="152">
        <f>Données!V238</f>
        <v>0</v>
      </c>
      <c r="J238" s="152">
        <f>Données!W238</f>
        <v>0</v>
      </c>
      <c r="K238" s="8">
        <f>+Données!Q238</f>
        <v>561.05999999999995</v>
      </c>
      <c r="L238" s="343">
        <f t="shared" si="10"/>
        <v>1211347.4400000002</v>
      </c>
      <c r="M238" s="8">
        <f>+Données!F238</f>
        <v>3400</v>
      </c>
      <c r="N238" s="8">
        <f>+Données!K238</f>
        <v>0</v>
      </c>
      <c r="O238" s="8">
        <f>(Données!L238/Données!Y238)*1</f>
        <v>101675.125</v>
      </c>
      <c r="P238" s="343">
        <f t="shared" si="11"/>
        <v>1316422.5650000002</v>
      </c>
      <c r="Q238" s="173">
        <f>+Données!X238</f>
        <v>68.5</v>
      </c>
      <c r="R238" s="343">
        <f t="shared" si="12"/>
        <v>19217.847664233581</v>
      </c>
    </row>
    <row r="239" spans="1:18" x14ac:dyDescent="0.25">
      <c r="A239" s="7">
        <f>Données!A239</f>
        <v>5816</v>
      </c>
      <c r="B239" s="27" t="str">
        <f>Données!B239</f>
        <v>Corcelles-près-Payerne</v>
      </c>
      <c r="C239" s="8">
        <f>Données!C239+Données!D239</f>
        <v>3769101.8099999996</v>
      </c>
      <c r="D239" s="8">
        <f>+Données!G239+Données!H239+Données!S239</f>
        <v>230524.84</v>
      </c>
      <c r="E239" s="8">
        <f>+Données!E239</f>
        <v>0</v>
      </c>
      <c r="F239" s="8">
        <f>+Données!I239</f>
        <v>0</v>
      </c>
      <c r="G239" s="8">
        <f>+Données!J239</f>
        <v>159184.49</v>
      </c>
      <c r="H239" s="8">
        <f>Données!U239</f>
        <v>-74877.399999999994</v>
      </c>
      <c r="I239" s="152">
        <f>Données!V239</f>
        <v>0</v>
      </c>
      <c r="J239" s="152">
        <f>Données!W239</f>
        <v>-45.05</v>
      </c>
      <c r="K239" s="8">
        <f>+Données!Q239</f>
        <v>18256.63</v>
      </c>
      <c r="L239" s="343">
        <f t="shared" si="10"/>
        <v>4102145.32</v>
      </c>
      <c r="M239" s="8">
        <f>+Données!F239</f>
        <v>0</v>
      </c>
      <c r="N239" s="8">
        <f>+Données!K239</f>
        <v>42937.599999999999</v>
      </c>
      <c r="O239" s="8">
        <f>(Données!L239/Données!Y239)*1</f>
        <v>428509.71428571432</v>
      </c>
      <c r="P239" s="343">
        <f t="shared" si="11"/>
        <v>4573592.6342857145</v>
      </c>
      <c r="Q239" s="173">
        <f>+Données!X239</f>
        <v>65</v>
      </c>
      <c r="R239" s="343">
        <f t="shared" si="12"/>
        <v>70362.963604395612</v>
      </c>
    </row>
    <row r="240" spans="1:18" x14ac:dyDescent="0.25">
      <c r="A240" s="7">
        <f>Données!A240</f>
        <v>5817</v>
      </c>
      <c r="B240" s="27" t="str">
        <f>Données!B240</f>
        <v>Grandcour</v>
      </c>
      <c r="C240" s="8">
        <f>Données!C240+Données!D240</f>
        <v>1693246.58</v>
      </c>
      <c r="D240" s="8">
        <f>+Données!G240+Données!H240+Données!S240</f>
        <v>17795.46</v>
      </c>
      <c r="E240" s="8">
        <f>+Données!E240</f>
        <v>0</v>
      </c>
      <c r="F240" s="8">
        <f>+Données!I240</f>
        <v>0</v>
      </c>
      <c r="G240" s="8">
        <f>+Données!J240</f>
        <v>43934.95</v>
      </c>
      <c r="H240" s="8">
        <f>Données!U240</f>
        <v>-71141.41</v>
      </c>
      <c r="I240" s="152">
        <f>Données!V240</f>
        <v>0</v>
      </c>
      <c r="J240" s="152">
        <f>Données!W240</f>
        <v>-69.349999999999994</v>
      </c>
      <c r="K240" s="8">
        <f>+Données!Q240</f>
        <v>1270.8499999999999</v>
      </c>
      <c r="L240" s="343">
        <f t="shared" si="10"/>
        <v>1685037.08</v>
      </c>
      <c r="M240" s="8">
        <f>+Données!F240</f>
        <v>5910</v>
      </c>
      <c r="N240" s="8">
        <f>+Données!K240</f>
        <v>8654.65</v>
      </c>
      <c r="O240" s="8">
        <f>(Données!L240/Données!Y240)*1</f>
        <v>140277.04999999999</v>
      </c>
      <c r="P240" s="343">
        <f t="shared" si="11"/>
        <v>1839878.78</v>
      </c>
      <c r="Q240" s="173">
        <f>+Données!X240</f>
        <v>73.5</v>
      </c>
      <c r="R240" s="343">
        <f t="shared" si="12"/>
        <v>25032.364353741497</v>
      </c>
    </row>
    <row r="241" spans="1:18" x14ac:dyDescent="0.25">
      <c r="A241" s="7">
        <f>Données!A241</f>
        <v>5819</v>
      </c>
      <c r="B241" s="27" t="str">
        <f>Données!B241</f>
        <v>Henniez</v>
      </c>
      <c r="C241" s="8">
        <f>Données!C241+Données!D241</f>
        <v>1043594.84</v>
      </c>
      <c r="D241" s="8">
        <f>+Données!G241+Données!H241+Données!S241</f>
        <v>80129.540000000008</v>
      </c>
      <c r="E241" s="8">
        <f>+Données!E241</f>
        <v>0</v>
      </c>
      <c r="F241" s="8">
        <f>+Données!I241</f>
        <v>0</v>
      </c>
      <c r="G241" s="8">
        <f>+Données!J241</f>
        <v>26990.73</v>
      </c>
      <c r="H241" s="8">
        <f>Données!U241</f>
        <v>-11988.14</v>
      </c>
      <c r="I241" s="152">
        <f>Données!V241</f>
        <v>0</v>
      </c>
      <c r="J241" s="152">
        <f>Données!W241</f>
        <v>-7167.85</v>
      </c>
      <c r="K241" s="8">
        <f>+Données!Q241</f>
        <v>813.77</v>
      </c>
      <c r="L241" s="343">
        <f t="shared" si="10"/>
        <v>1132372.8899999999</v>
      </c>
      <c r="M241" s="8">
        <f>+Données!F241</f>
        <v>0</v>
      </c>
      <c r="N241" s="8">
        <f>+Données!K241</f>
        <v>2134.9499999999998</v>
      </c>
      <c r="O241" s="8">
        <f>(Données!L241/Données!Y241)*1</f>
        <v>98613.8</v>
      </c>
      <c r="P241" s="343">
        <f t="shared" si="11"/>
        <v>1233121.6399999999</v>
      </c>
      <c r="Q241" s="173">
        <f>+Données!X241</f>
        <v>69</v>
      </c>
      <c r="R241" s="343">
        <f t="shared" si="12"/>
        <v>17871.328115942026</v>
      </c>
    </row>
    <row r="242" spans="1:18" x14ac:dyDescent="0.25">
      <c r="A242" s="7">
        <f>Données!A242</f>
        <v>5821</v>
      </c>
      <c r="B242" s="27" t="str">
        <f>Données!B242</f>
        <v>Missy</v>
      </c>
      <c r="C242" s="8">
        <f>Données!C242+Données!D242</f>
        <v>584277.84</v>
      </c>
      <c r="D242" s="8">
        <f>+Données!G242+Données!H242+Données!S242</f>
        <v>3923.61</v>
      </c>
      <c r="E242" s="8">
        <f>+Données!E242</f>
        <v>0</v>
      </c>
      <c r="F242" s="8">
        <f>+Données!I242</f>
        <v>0</v>
      </c>
      <c r="G242" s="8">
        <f>+Données!J242</f>
        <v>11835.33</v>
      </c>
      <c r="H242" s="8">
        <f>Données!U242</f>
        <v>-52664.18</v>
      </c>
      <c r="I242" s="152">
        <f>Données!V242</f>
        <v>0</v>
      </c>
      <c r="J242" s="152">
        <f>Données!W242</f>
        <v>0</v>
      </c>
      <c r="K242" s="8">
        <f>+Données!Q242</f>
        <v>19573.59</v>
      </c>
      <c r="L242" s="343">
        <f t="shared" si="10"/>
        <v>566946.18999999983</v>
      </c>
      <c r="M242" s="8">
        <f>+Données!F242</f>
        <v>2190</v>
      </c>
      <c r="N242" s="8">
        <f>+Données!K242</f>
        <v>1460</v>
      </c>
      <c r="O242" s="8">
        <f>(Données!L242/Données!Y242)*1</f>
        <v>55103.7</v>
      </c>
      <c r="P242" s="343">
        <f t="shared" si="11"/>
        <v>625699.88999999978</v>
      </c>
      <c r="Q242" s="173">
        <f>+Données!X242</f>
        <v>72</v>
      </c>
      <c r="R242" s="343">
        <f t="shared" si="12"/>
        <v>8690.2762499999972</v>
      </c>
    </row>
    <row r="243" spans="1:18" x14ac:dyDescent="0.25">
      <c r="A243" s="7">
        <f>Données!A243</f>
        <v>5822</v>
      </c>
      <c r="B243" s="27" t="str">
        <f>Données!B243</f>
        <v>Payerne</v>
      </c>
      <c r="C243" s="8">
        <f>Données!C243+Données!D243</f>
        <v>14532497.050000001</v>
      </c>
      <c r="D243" s="8">
        <f>+Données!G243+Données!H243+Données!S243</f>
        <v>1634883.14</v>
      </c>
      <c r="E243" s="8">
        <f>+Données!E243</f>
        <v>0</v>
      </c>
      <c r="F243" s="8">
        <f>+Données!I243</f>
        <v>0</v>
      </c>
      <c r="G243" s="8">
        <f>+Données!J243</f>
        <v>818011.44</v>
      </c>
      <c r="H243" s="8">
        <f>Données!U243</f>
        <v>-506809.56</v>
      </c>
      <c r="I243" s="152">
        <f>Données!V243</f>
        <v>0</v>
      </c>
      <c r="J243" s="152">
        <f>Données!W243</f>
        <v>-972.14</v>
      </c>
      <c r="K243" s="8">
        <f>+Données!Q243</f>
        <v>107270.34</v>
      </c>
      <c r="L243" s="343">
        <f t="shared" si="10"/>
        <v>16584880.270000001</v>
      </c>
      <c r="M243" s="8">
        <f>+Données!F243</f>
        <v>0</v>
      </c>
      <c r="N243" s="8">
        <f>+Données!K243</f>
        <v>244834.4</v>
      </c>
      <c r="O243" s="8">
        <f>(Données!L243/Données!Y243)*1</f>
        <v>1657102.9</v>
      </c>
      <c r="P243" s="343">
        <f t="shared" si="11"/>
        <v>18486817.57</v>
      </c>
      <c r="Q243" s="173">
        <f>+Données!X243</f>
        <v>70</v>
      </c>
      <c r="R243" s="343">
        <f t="shared" si="12"/>
        <v>264097.39385714289</v>
      </c>
    </row>
    <row r="244" spans="1:18" x14ac:dyDescent="0.25">
      <c r="A244" s="7">
        <f>Données!A244</f>
        <v>5827</v>
      </c>
      <c r="B244" s="27" t="str">
        <f>Données!B244</f>
        <v>Trey</v>
      </c>
      <c r="C244" s="8">
        <f>Données!C244+Données!D244</f>
        <v>550245.54</v>
      </c>
      <c r="D244" s="8">
        <f>+Données!G244+Données!H244+Données!S244</f>
        <v>11969.220000000001</v>
      </c>
      <c r="E244" s="8">
        <f>+Données!E244</f>
        <v>0</v>
      </c>
      <c r="F244" s="8">
        <f>+Données!I244</f>
        <v>0</v>
      </c>
      <c r="G244" s="8">
        <f>+Données!J244</f>
        <v>17940.78</v>
      </c>
      <c r="H244" s="8">
        <f>Données!U244</f>
        <v>-41819.800000000003</v>
      </c>
      <c r="I244" s="152">
        <f>Données!V244</f>
        <v>0</v>
      </c>
      <c r="J244" s="152">
        <f>Données!W244</f>
        <v>0</v>
      </c>
      <c r="K244" s="8">
        <f>+Données!Q244</f>
        <v>9740.76</v>
      </c>
      <c r="L244" s="343">
        <f t="shared" si="10"/>
        <v>548076.5</v>
      </c>
      <c r="M244" s="8">
        <f>+Données!F244</f>
        <v>1570</v>
      </c>
      <c r="N244" s="8">
        <f>+Données!K244</f>
        <v>1659.35</v>
      </c>
      <c r="O244" s="8">
        <f>(Données!L244/Données!Y244)*1</f>
        <v>47239.75</v>
      </c>
      <c r="P244" s="343">
        <f t="shared" si="11"/>
        <v>598545.6</v>
      </c>
      <c r="Q244" s="173">
        <f>+Données!X244</f>
        <v>78</v>
      </c>
      <c r="R244" s="343">
        <f t="shared" si="12"/>
        <v>7673.6615384615379</v>
      </c>
    </row>
    <row r="245" spans="1:18" x14ac:dyDescent="0.25">
      <c r="A245" s="7">
        <f>Données!A245</f>
        <v>5828</v>
      </c>
      <c r="B245" s="27" t="str">
        <f>Données!B245</f>
        <v>Treytorrens (Payerne)</v>
      </c>
      <c r="C245" s="8">
        <f>Données!C245+Données!D245</f>
        <v>203940</v>
      </c>
      <c r="D245" s="8">
        <f>+Données!G245+Données!H245+Données!S245</f>
        <v>318.93</v>
      </c>
      <c r="E245" s="8">
        <f>+Données!E245</f>
        <v>0</v>
      </c>
      <c r="F245" s="8">
        <f>+Données!I245</f>
        <v>0</v>
      </c>
      <c r="G245" s="8">
        <f>+Données!J245</f>
        <v>455.75</v>
      </c>
      <c r="H245" s="8">
        <f>Données!U245</f>
        <v>-462.44</v>
      </c>
      <c r="I245" s="152">
        <f>Données!V245</f>
        <v>0</v>
      </c>
      <c r="J245" s="152">
        <f>Données!W245</f>
        <v>0</v>
      </c>
      <c r="K245" s="8">
        <f>+Données!Q245</f>
        <v>0</v>
      </c>
      <c r="L245" s="343">
        <f t="shared" si="10"/>
        <v>204252.24</v>
      </c>
      <c r="M245" s="8">
        <f>+Données!F245</f>
        <v>0</v>
      </c>
      <c r="N245" s="8">
        <f>+Données!K245</f>
        <v>0</v>
      </c>
      <c r="O245" s="8">
        <f>(Données!L245/Données!Y245)*1</f>
        <v>17805.733333333334</v>
      </c>
      <c r="P245" s="343">
        <f t="shared" si="11"/>
        <v>222057.97333333333</v>
      </c>
      <c r="Q245" s="173">
        <f>+Données!X245</f>
        <v>81.5</v>
      </c>
      <c r="R245" s="343">
        <f t="shared" si="12"/>
        <v>2724.637709611452</v>
      </c>
    </row>
    <row r="246" spans="1:18" x14ac:dyDescent="0.25">
      <c r="A246" s="7">
        <f>Données!A246</f>
        <v>5830</v>
      </c>
      <c r="B246" s="27" t="str">
        <f>Données!B246</f>
        <v>Villarzel</v>
      </c>
      <c r="C246" s="8">
        <f>Données!C246+Données!D246</f>
        <v>850512.17999999993</v>
      </c>
      <c r="D246" s="8">
        <f>+Données!G246+Données!H246+Données!S246</f>
        <v>27098.74</v>
      </c>
      <c r="E246" s="8">
        <f>+Données!E246</f>
        <v>0</v>
      </c>
      <c r="F246" s="8">
        <f>+Données!I246</f>
        <v>0</v>
      </c>
      <c r="G246" s="8">
        <f>+Données!J246</f>
        <v>13099.79</v>
      </c>
      <c r="H246" s="8">
        <f>Données!U246</f>
        <v>-5832.27</v>
      </c>
      <c r="I246" s="152">
        <f>Données!V246</f>
        <v>0</v>
      </c>
      <c r="J246" s="152">
        <f>Données!W246</f>
        <v>-61.9</v>
      </c>
      <c r="K246" s="8">
        <f>+Données!Q246</f>
        <v>0</v>
      </c>
      <c r="L246" s="343">
        <f t="shared" si="10"/>
        <v>884816.53999999992</v>
      </c>
      <c r="M246" s="8">
        <f>+Données!F246</f>
        <v>0</v>
      </c>
      <c r="N246" s="8">
        <f>+Données!K246</f>
        <v>-843.8</v>
      </c>
      <c r="O246" s="8">
        <f>(Données!L246/Données!Y246)*1</f>
        <v>67356.850000000006</v>
      </c>
      <c r="P246" s="343">
        <f t="shared" si="11"/>
        <v>951329.58999999985</v>
      </c>
      <c r="Q246" s="173">
        <f>+Données!X246</f>
        <v>75</v>
      </c>
      <c r="R246" s="343">
        <f t="shared" si="12"/>
        <v>12684.394533333332</v>
      </c>
    </row>
    <row r="247" spans="1:18" x14ac:dyDescent="0.25">
      <c r="A247" s="7">
        <f>Données!A247</f>
        <v>5831</v>
      </c>
      <c r="B247" s="27" t="str">
        <f>Données!B247</f>
        <v>Valbroye</v>
      </c>
      <c r="C247" s="8">
        <f>Données!C247+Données!D247</f>
        <v>5246615.4700000007</v>
      </c>
      <c r="D247" s="8">
        <f>+Données!G247+Données!H247+Données!S247</f>
        <v>509853.7</v>
      </c>
      <c r="E247" s="8">
        <f>+Données!E247</f>
        <v>0</v>
      </c>
      <c r="F247" s="8">
        <f>+Données!I247</f>
        <v>0</v>
      </c>
      <c r="G247" s="8">
        <f>+Données!J247</f>
        <v>164268.84</v>
      </c>
      <c r="H247" s="8">
        <f>Données!U247</f>
        <v>-105721.29</v>
      </c>
      <c r="I247" s="152">
        <f>Données!V247</f>
        <v>0</v>
      </c>
      <c r="J247" s="152">
        <f>Données!W247</f>
        <v>-703.48</v>
      </c>
      <c r="K247" s="8">
        <f>+Données!Q247</f>
        <v>12137.79</v>
      </c>
      <c r="L247" s="343">
        <f t="shared" si="10"/>
        <v>5826451.0300000003</v>
      </c>
      <c r="M247" s="8">
        <f>+Données!F247</f>
        <v>0</v>
      </c>
      <c r="N247" s="8">
        <f>+Données!K247</f>
        <v>34348.550000000003</v>
      </c>
      <c r="O247" s="8">
        <f>(Données!L247/Données!Y247)*1</f>
        <v>554556.41666666663</v>
      </c>
      <c r="P247" s="343">
        <f t="shared" si="11"/>
        <v>6415355.9966666671</v>
      </c>
      <c r="Q247" s="173">
        <f>+Données!X247</f>
        <v>70.5</v>
      </c>
      <c r="R247" s="343">
        <f t="shared" si="12"/>
        <v>90997.957399527193</v>
      </c>
    </row>
    <row r="248" spans="1:18" x14ac:dyDescent="0.25">
      <c r="A248" s="7">
        <f>Données!A248</f>
        <v>5841</v>
      </c>
      <c r="B248" s="27" t="str">
        <f>Données!B248</f>
        <v>Château-d'Oex</v>
      </c>
      <c r="C248" s="8">
        <f>Données!C248+Données!D248</f>
        <v>7840446.3700000001</v>
      </c>
      <c r="D248" s="8">
        <f>+Données!G248+Données!H248+Données!S248</f>
        <v>341161.97000000003</v>
      </c>
      <c r="E248" s="8">
        <f>+Données!E248</f>
        <v>0</v>
      </c>
      <c r="F248" s="8">
        <f>+Données!I248</f>
        <v>1114271.6399999999</v>
      </c>
      <c r="G248" s="8">
        <f>+Données!J248</f>
        <v>430253.99</v>
      </c>
      <c r="H248" s="8">
        <f>Données!U248</f>
        <v>-88719.48</v>
      </c>
      <c r="I248" s="152">
        <f>Données!V248</f>
        <v>0</v>
      </c>
      <c r="J248" s="152">
        <f>Données!W248</f>
        <v>-12159.23</v>
      </c>
      <c r="K248" s="8">
        <f>+Données!Q248</f>
        <v>24649.81</v>
      </c>
      <c r="L248" s="343">
        <f t="shared" si="10"/>
        <v>9649905.0700000003</v>
      </c>
      <c r="M248" s="8">
        <f>+Données!F248</f>
        <v>0</v>
      </c>
      <c r="N248" s="8">
        <f>+Données!K248</f>
        <v>22439.200000000001</v>
      </c>
      <c r="O248" s="8">
        <f>(Données!L248/Données!Y248)*1</f>
        <v>1073833.5466666666</v>
      </c>
      <c r="P248" s="343">
        <f t="shared" si="11"/>
        <v>10746177.816666666</v>
      </c>
      <c r="Q248" s="173">
        <f>+Données!X248</f>
        <v>81.5</v>
      </c>
      <c r="R248" s="343">
        <f t="shared" si="12"/>
        <v>131854.94253578733</v>
      </c>
    </row>
    <row r="249" spans="1:18" x14ac:dyDescent="0.25">
      <c r="A249" s="7">
        <f>Données!A249</f>
        <v>5842</v>
      </c>
      <c r="B249" s="27" t="str">
        <f>Données!B249</f>
        <v>Rossinière</v>
      </c>
      <c r="C249" s="8">
        <f>Données!C249+Données!D249</f>
        <v>1340515.08</v>
      </c>
      <c r="D249" s="8">
        <f>+Données!G249+Données!H249+Données!S249</f>
        <v>108574.07999999999</v>
      </c>
      <c r="E249" s="8">
        <f>+Données!E249</f>
        <v>0</v>
      </c>
      <c r="F249" s="8">
        <f>+Données!I249</f>
        <v>40726.51</v>
      </c>
      <c r="G249" s="8">
        <f>+Données!J249</f>
        <v>9322.93</v>
      </c>
      <c r="H249" s="8">
        <f>Données!U249</f>
        <v>-2700.36</v>
      </c>
      <c r="I249" s="152">
        <f>Données!V249</f>
        <v>0</v>
      </c>
      <c r="J249" s="152">
        <f>Données!W249</f>
        <v>-1.29</v>
      </c>
      <c r="K249" s="8">
        <f>+Données!Q249</f>
        <v>1351.14</v>
      </c>
      <c r="L249" s="343">
        <f t="shared" si="10"/>
        <v>1497788.0899999999</v>
      </c>
      <c r="M249" s="8">
        <f>+Données!F249</f>
        <v>0</v>
      </c>
      <c r="N249" s="8">
        <f>+Données!K249</f>
        <v>544.85</v>
      </c>
      <c r="O249" s="8">
        <f>(Données!L249/Données!Y249)*1</f>
        <v>98937.733333333337</v>
      </c>
      <c r="P249" s="343">
        <f t="shared" si="11"/>
        <v>1597270.6733333333</v>
      </c>
      <c r="Q249" s="173">
        <f>+Données!X249</f>
        <v>81</v>
      </c>
      <c r="R249" s="343">
        <f t="shared" si="12"/>
        <v>19719.391028806585</v>
      </c>
    </row>
    <row r="250" spans="1:18" x14ac:dyDescent="0.25">
      <c r="A250" s="7">
        <f>Données!A250</f>
        <v>5843</v>
      </c>
      <c r="B250" s="27" t="str">
        <f>Données!B250</f>
        <v>Rougemont</v>
      </c>
      <c r="C250" s="8">
        <f>Données!C250+Données!D250</f>
        <v>4280517.42</v>
      </c>
      <c r="D250" s="8">
        <f>+Données!G250+Données!H250+Données!S250</f>
        <v>194379.28</v>
      </c>
      <c r="E250" s="8">
        <f>+Données!E250</f>
        <v>0</v>
      </c>
      <c r="F250" s="8">
        <f>+Données!I250</f>
        <v>1601657.67</v>
      </c>
      <c r="G250" s="8">
        <f>+Données!J250</f>
        <v>129341.75999999999</v>
      </c>
      <c r="H250" s="8">
        <f>Données!U250</f>
        <v>-11943.04</v>
      </c>
      <c r="I250" s="152">
        <f>Données!V250</f>
        <v>0</v>
      </c>
      <c r="J250" s="152">
        <f>Données!W250</f>
        <v>-69999.460000000006</v>
      </c>
      <c r="K250" s="8">
        <f>+Données!Q250</f>
        <v>239.91</v>
      </c>
      <c r="L250" s="343">
        <f t="shared" si="10"/>
        <v>6124193.54</v>
      </c>
      <c r="M250" s="8">
        <f>+Données!F250</f>
        <v>0</v>
      </c>
      <c r="N250" s="8">
        <f>+Données!K250</f>
        <v>32589.65</v>
      </c>
      <c r="O250" s="8">
        <f>(Données!L250/Données!Y250)*1</f>
        <v>852298.46666666667</v>
      </c>
      <c r="P250" s="343">
        <f t="shared" si="11"/>
        <v>7009081.6566666672</v>
      </c>
      <c r="Q250" s="173">
        <f>+Données!X250</f>
        <v>79</v>
      </c>
      <c r="R250" s="343">
        <f t="shared" si="12"/>
        <v>88722.552616033761</v>
      </c>
    </row>
    <row r="251" spans="1:18" x14ac:dyDescent="0.25">
      <c r="A251" s="7">
        <f>Données!A251</f>
        <v>5851</v>
      </c>
      <c r="B251" s="27" t="str">
        <f>Données!B251</f>
        <v>Allaman</v>
      </c>
      <c r="C251" s="8">
        <f>Données!C251+Données!D251</f>
        <v>965624</v>
      </c>
      <c r="D251" s="8">
        <f>+Données!G251+Données!H251+Données!S251</f>
        <v>99198.85</v>
      </c>
      <c r="E251" s="8">
        <f>+Données!E251</f>
        <v>0</v>
      </c>
      <c r="F251" s="8">
        <f>+Données!I251</f>
        <v>79141.149999999994</v>
      </c>
      <c r="G251" s="8">
        <f>+Données!J251</f>
        <v>59596.25</v>
      </c>
      <c r="H251" s="8">
        <f>Données!U251</f>
        <v>-17229.66</v>
      </c>
      <c r="I251" s="152">
        <f>Données!V251</f>
        <v>0</v>
      </c>
      <c r="J251" s="152">
        <f>Données!W251</f>
        <v>-1364.4</v>
      </c>
      <c r="K251" s="8">
        <f>+Données!Q251</f>
        <v>1138.3399999999999</v>
      </c>
      <c r="L251" s="343">
        <f t="shared" si="10"/>
        <v>1186104.5300000003</v>
      </c>
      <c r="M251" s="8">
        <f>+Données!F251</f>
        <v>0</v>
      </c>
      <c r="N251" s="8">
        <f>+Données!K251</f>
        <v>25553.4</v>
      </c>
      <c r="O251" s="8">
        <f>(Données!L251/Données!Y251)*1</f>
        <v>222899.41666666666</v>
      </c>
      <c r="P251" s="343">
        <f t="shared" si="11"/>
        <v>1434557.3466666669</v>
      </c>
      <c r="Q251" s="173">
        <f>+Données!X251</f>
        <v>65</v>
      </c>
      <c r="R251" s="343">
        <f t="shared" si="12"/>
        <v>22070.113025641029</v>
      </c>
    </row>
    <row r="252" spans="1:18" x14ac:dyDescent="0.25">
      <c r="A252" s="7">
        <f>Données!A252</f>
        <v>5852</v>
      </c>
      <c r="B252" s="27" t="str">
        <f>Données!B252</f>
        <v>Bursinel</v>
      </c>
      <c r="C252" s="8">
        <f>Données!C252+Données!D252</f>
        <v>1820199.12</v>
      </c>
      <c r="D252" s="8">
        <f>+Données!G252+Données!H252+Données!S252</f>
        <v>37329.519999999997</v>
      </c>
      <c r="E252" s="8">
        <f>+Données!E252</f>
        <v>0</v>
      </c>
      <c r="F252" s="8">
        <f>+Données!I252</f>
        <v>152450.5</v>
      </c>
      <c r="G252" s="8">
        <f>+Données!J252</f>
        <v>60415.92</v>
      </c>
      <c r="H252" s="8">
        <f>Données!U252</f>
        <v>-3293.81</v>
      </c>
      <c r="I252" s="152">
        <f>Données!V252</f>
        <v>0</v>
      </c>
      <c r="J252" s="152">
        <f>Données!W252</f>
        <v>-5518.22</v>
      </c>
      <c r="K252" s="8">
        <f>+Données!Q252</f>
        <v>-9680</v>
      </c>
      <c r="L252" s="343">
        <f t="shared" si="10"/>
        <v>2051903.03</v>
      </c>
      <c r="M252" s="8">
        <f>+Données!F252</f>
        <v>0</v>
      </c>
      <c r="N252" s="8">
        <f>+Données!K252</f>
        <v>11979.35</v>
      </c>
      <c r="O252" s="8">
        <f>(Données!L252/Données!Y252)*1</f>
        <v>202163.80000000002</v>
      </c>
      <c r="P252" s="343">
        <f t="shared" si="11"/>
        <v>2266046.1800000002</v>
      </c>
      <c r="Q252" s="173">
        <f>+Données!X252</f>
        <v>62</v>
      </c>
      <c r="R252" s="343">
        <f t="shared" si="12"/>
        <v>36549.131935483871</v>
      </c>
    </row>
    <row r="253" spans="1:18" x14ac:dyDescent="0.25">
      <c r="A253" s="7">
        <f>Données!A253</f>
        <v>5853</v>
      </c>
      <c r="B253" s="27" t="str">
        <f>Données!B253</f>
        <v>Bursins</v>
      </c>
      <c r="C253" s="8">
        <f>Données!C253+Données!D253</f>
        <v>2634460.2400000002</v>
      </c>
      <c r="D253" s="8">
        <f>+Données!G253+Données!H253+Données!S253</f>
        <v>122818.42000000001</v>
      </c>
      <c r="E253" s="8">
        <f>+Données!E253</f>
        <v>0</v>
      </c>
      <c r="F253" s="8">
        <f>+Données!I253</f>
        <v>117726.65</v>
      </c>
      <c r="G253" s="8">
        <f>+Données!J253</f>
        <v>19579.939999999999</v>
      </c>
      <c r="H253" s="8">
        <f>Données!U253</f>
        <v>-29778.06</v>
      </c>
      <c r="I253" s="152">
        <f>Données!V253</f>
        <v>0</v>
      </c>
      <c r="J253" s="152">
        <f>Données!W253</f>
        <v>-2027.3</v>
      </c>
      <c r="K253" s="8">
        <f>+Données!Q253</f>
        <v>1282.55</v>
      </c>
      <c r="L253" s="343">
        <f t="shared" si="10"/>
        <v>2864062.44</v>
      </c>
      <c r="M253" s="8">
        <f>+Données!F253</f>
        <v>0</v>
      </c>
      <c r="N253" s="8">
        <f>+Données!K253</f>
        <v>12130.3</v>
      </c>
      <c r="O253" s="8">
        <f>(Données!L253/Données!Y253)*1</f>
        <v>227275</v>
      </c>
      <c r="P253" s="343">
        <f t="shared" si="11"/>
        <v>3103467.7399999998</v>
      </c>
      <c r="Q253" s="173">
        <f>+Données!X253</f>
        <v>71</v>
      </c>
      <c r="R253" s="343">
        <f t="shared" si="12"/>
        <v>43710.813239436618</v>
      </c>
    </row>
    <row r="254" spans="1:18" x14ac:dyDescent="0.25">
      <c r="A254" s="7">
        <f>Données!A254</f>
        <v>5854</v>
      </c>
      <c r="B254" s="27" t="str">
        <f>Données!B254</f>
        <v>Burtigny</v>
      </c>
      <c r="C254" s="8">
        <f>Données!C254+Données!D254</f>
        <v>1088266.6100000001</v>
      </c>
      <c r="D254" s="8">
        <f>+Données!G254+Données!H254+Données!S254</f>
        <v>152936.22999999998</v>
      </c>
      <c r="E254" s="8">
        <f>+Données!E254</f>
        <v>0</v>
      </c>
      <c r="F254" s="8">
        <f>+Données!I254</f>
        <v>0</v>
      </c>
      <c r="G254" s="8">
        <f>+Données!J254</f>
        <v>10572.09</v>
      </c>
      <c r="H254" s="8">
        <f>Données!U254</f>
        <v>-160778.13</v>
      </c>
      <c r="I254" s="152">
        <f>Données!V254</f>
        <v>0</v>
      </c>
      <c r="J254" s="152">
        <f>Données!W254</f>
        <v>-563.75</v>
      </c>
      <c r="K254" s="8">
        <f>+Données!Q254</f>
        <v>159997.62</v>
      </c>
      <c r="L254" s="343">
        <f t="shared" si="10"/>
        <v>1250430.6700000004</v>
      </c>
      <c r="M254" s="8">
        <f>+Données!F254</f>
        <v>0</v>
      </c>
      <c r="N254" s="8">
        <f>+Données!K254</f>
        <v>3397.4</v>
      </c>
      <c r="O254" s="8">
        <f>(Données!L254/Données!Y254)*1</f>
        <v>79471.266666666663</v>
      </c>
      <c r="P254" s="343">
        <f t="shared" si="11"/>
        <v>1333299.3366666669</v>
      </c>
      <c r="Q254" s="173">
        <f>+Données!X254</f>
        <v>78.5</v>
      </c>
      <c r="R254" s="343">
        <f t="shared" si="12"/>
        <v>16984.704925690025</v>
      </c>
    </row>
    <row r="255" spans="1:18" x14ac:dyDescent="0.25">
      <c r="A255" s="7">
        <f>Données!A255</f>
        <v>5855</v>
      </c>
      <c r="B255" s="27" t="str">
        <f>Données!B255</f>
        <v>Dully</v>
      </c>
      <c r="C255" s="8">
        <f>Données!C255+Données!D255</f>
        <v>3080500.61</v>
      </c>
      <c r="D255" s="8">
        <f>+Données!G255+Données!H255+Données!S255</f>
        <v>41470.950000000004</v>
      </c>
      <c r="E255" s="8">
        <f>+Données!E255</f>
        <v>0</v>
      </c>
      <c r="F255" s="8">
        <f>+Données!I255</f>
        <v>760588.21</v>
      </c>
      <c r="G255" s="8">
        <f>+Données!J255</f>
        <v>14418.35</v>
      </c>
      <c r="H255" s="8">
        <f>Données!U255</f>
        <v>-9187.56</v>
      </c>
      <c r="I255" s="152">
        <f>Données!V255</f>
        <v>0</v>
      </c>
      <c r="J255" s="152">
        <f>Données!W255</f>
        <v>-19636.34</v>
      </c>
      <c r="K255" s="8">
        <f>+Données!Q255</f>
        <v>0</v>
      </c>
      <c r="L255" s="343">
        <f t="shared" si="10"/>
        <v>3868154.22</v>
      </c>
      <c r="M255" s="8">
        <f>+Données!F255</f>
        <v>0</v>
      </c>
      <c r="N255" s="8">
        <f>+Données!K255</f>
        <v>13542</v>
      </c>
      <c r="O255" s="8">
        <f>(Données!L255/Données!Y255)*1</f>
        <v>392206.7</v>
      </c>
      <c r="P255" s="343">
        <f t="shared" si="11"/>
        <v>4273902.92</v>
      </c>
      <c r="Q255" s="173">
        <f>+Données!X255</f>
        <v>53</v>
      </c>
      <c r="R255" s="343">
        <f t="shared" si="12"/>
        <v>80639.677735849051</v>
      </c>
    </row>
    <row r="256" spans="1:18" x14ac:dyDescent="0.25">
      <c r="A256" s="7">
        <f>Données!A256</f>
        <v>5856</v>
      </c>
      <c r="B256" s="27" t="str">
        <f>Données!B256</f>
        <v>Essertines-sur-Rolle</v>
      </c>
      <c r="C256" s="8">
        <f>Données!C256+Données!D256</f>
        <v>2218355.64</v>
      </c>
      <c r="D256" s="8">
        <f>+Données!G256+Données!H256+Données!S256</f>
        <v>11164.810000000001</v>
      </c>
      <c r="E256" s="8">
        <f>+Données!E256</f>
        <v>0</v>
      </c>
      <c r="F256" s="8">
        <f>+Données!I256</f>
        <v>198491.95</v>
      </c>
      <c r="G256" s="8">
        <f>+Données!J256</f>
        <v>32411.29</v>
      </c>
      <c r="H256" s="8">
        <f>Données!U256</f>
        <v>-3528.12</v>
      </c>
      <c r="I256" s="152">
        <f>Données!V256</f>
        <v>0</v>
      </c>
      <c r="J256" s="152">
        <f>Données!W256</f>
        <v>-3606.34</v>
      </c>
      <c r="K256" s="8">
        <f>+Données!Q256</f>
        <v>6253.57</v>
      </c>
      <c r="L256" s="343">
        <f t="shared" si="10"/>
        <v>2459542.8000000003</v>
      </c>
      <c r="M256" s="8">
        <f>+Données!F256</f>
        <v>0</v>
      </c>
      <c r="N256" s="8">
        <f>+Données!K256</f>
        <v>15.75</v>
      </c>
      <c r="O256" s="8">
        <f>(Données!L256/Données!Y256)*1</f>
        <v>206198</v>
      </c>
      <c r="P256" s="343">
        <f t="shared" si="11"/>
        <v>2665756.5500000003</v>
      </c>
      <c r="Q256" s="173">
        <f>+Données!X256</f>
        <v>66.5</v>
      </c>
      <c r="R256" s="343">
        <f t="shared" si="12"/>
        <v>40086.564661654142</v>
      </c>
    </row>
    <row r="257" spans="1:18" x14ac:dyDescent="0.25">
      <c r="A257" s="7">
        <f>Données!A257</f>
        <v>5857</v>
      </c>
      <c r="B257" s="27" t="str">
        <f>Données!B257</f>
        <v>Gilly</v>
      </c>
      <c r="C257" s="8">
        <f>Données!C257+Données!D257</f>
        <v>5444795.2299999995</v>
      </c>
      <c r="D257" s="8">
        <f>+Données!G257+Données!H257+Données!S257</f>
        <v>138452.78999999998</v>
      </c>
      <c r="E257" s="8">
        <f>+Données!E257</f>
        <v>0</v>
      </c>
      <c r="F257" s="8">
        <f>+Données!I257</f>
        <v>0</v>
      </c>
      <c r="G257" s="8">
        <f>+Données!J257</f>
        <v>3450.64</v>
      </c>
      <c r="H257" s="8">
        <f>Données!U257</f>
        <v>-35117.86</v>
      </c>
      <c r="I257" s="152">
        <f>Données!V257</f>
        <v>0</v>
      </c>
      <c r="J257" s="152">
        <f>Données!W257</f>
        <v>-2540.4499999999998</v>
      </c>
      <c r="K257" s="8">
        <f>+Données!Q257</f>
        <v>67.849999999999994</v>
      </c>
      <c r="L257" s="343">
        <f t="shared" si="10"/>
        <v>5549108.1999999983</v>
      </c>
      <c r="M257" s="8">
        <f>+Données!F257</f>
        <v>0</v>
      </c>
      <c r="N257" s="8">
        <f>+Données!K257</f>
        <v>19306.05</v>
      </c>
      <c r="O257" s="8">
        <f>(Données!L257/Données!Y257)*1</f>
        <v>427922.65</v>
      </c>
      <c r="P257" s="343">
        <f t="shared" si="11"/>
        <v>5996336.8999999985</v>
      </c>
      <c r="Q257" s="173">
        <f>+Données!X257</f>
        <v>64.5</v>
      </c>
      <c r="R257" s="343">
        <f t="shared" si="12"/>
        <v>92966.463565891449</v>
      </c>
    </row>
    <row r="258" spans="1:18" x14ac:dyDescent="0.25">
      <c r="A258" s="7">
        <f>Données!A258</f>
        <v>5858</v>
      </c>
      <c r="B258" s="27" t="str">
        <f>Données!B258</f>
        <v>Luins</v>
      </c>
      <c r="C258" s="8">
        <f>Données!C258+Données!D258</f>
        <v>1891905.5699999998</v>
      </c>
      <c r="D258" s="8">
        <f>+Données!G258+Données!H258+Données!S258</f>
        <v>2159.2400000000002</v>
      </c>
      <c r="E258" s="8">
        <f>+Données!E258</f>
        <v>0</v>
      </c>
      <c r="F258" s="8">
        <f>+Données!I258</f>
        <v>-68429.600000000006</v>
      </c>
      <c r="G258" s="8">
        <f>+Données!J258</f>
        <v>37126.93</v>
      </c>
      <c r="H258" s="8">
        <f>Données!U258</f>
        <v>-21422.7</v>
      </c>
      <c r="I258" s="152">
        <f>Données!V258</f>
        <v>0</v>
      </c>
      <c r="J258" s="152">
        <f>Données!W258</f>
        <v>-4477.28</v>
      </c>
      <c r="K258" s="8">
        <f>+Données!Q258</f>
        <v>9479.08</v>
      </c>
      <c r="L258" s="343">
        <f t="shared" si="10"/>
        <v>1846341.2399999998</v>
      </c>
      <c r="M258" s="8">
        <f>+Données!F258</f>
        <v>0</v>
      </c>
      <c r="N258" s="8">
        <f>+Données!K258</f>
        <v>-498.9</v>
      </c>
      <c r="O258" s="8">
        <f>(Données!L258/Données!Y258)*1</f>
        <v>170783.16666666666</v>
      </c>
      <c r="P258" s="343">
        <f t="shared" si="11"/>
        <v>2016625.5066666666</v>
      </c>
      <c r="Q258" s="173">
        <f>+Données!X258</f>
        <v>58.5</v>
      </c>
      <c r="R258" s="343">
        <f t="shared" si="12"/>
        <v>34472.230883190881</v>
      </c>
    </row>
    <row r="259" spans="1:18" x14ac:dyDescent="0.25">
      <c r="A259" s="7">
        <f>Données!A259</f>
        <v>5859</v>
      </c>
      <c r="B259" s="27" t="str">
        <f>Données!B259</f>
        <v>Mont-sur-Rolle</v>
      </c>
      <c r="C259" s="8">
        <f>Données!C259+Données!D259</f>
        <v>10442873.940000001</v>
      </c>
      <c r="D259" s="8">
        <f>+Données!G259+Données!H259+Données!S259</f>
        <v>161362.04999999999</v>
      </c>
      <c r="E259" s="8">
        <f>+Données!E259</f>
        <v>0</v>
      </c>
      <c r="F259" s="8">
        <f>+Données!I259</f>
        <v>378539.3</v>
      </c>
      <c r="G259" s="8">
        <f>+Données!J259</f>
        <v>38916.120000000003</v>
      </c>
      <c r="H259" s="8">
        <f>Données!U259</f>
        <v>-62344.05</v>
      </c>
      <c r="I259" s="152">
        <f>Données!V259</f>
        <v>0</v>
      </c>
      <c r="J259" s="152">
        <f>Données!W259</f>
        <v>-16250.5</v>
      </c>
      <c r="K259" s="8">
        <f>+Données!Q259</f>
        <v>4005.05</v>
      </c>
      <c r="L259" s="343">
        <f t="shared" si="10"/>
        <v>10947101.910000002</v>
      </c>
      <c r="M259" s="8">
        <f>+Données!F259</f>
        <v>0</v>
      </c>
      <c r="N259" s="8">
        <f>+Données!K259</f>
        <v>25781.55</v>
      </c>
      <c r="O259" s="8">
        <f>(Données!L259/Données!Y259)*1</f>
        <v>711721.15</v>
      </c>
      <c r="P259" s="343">
        <f t="shared" si="11"/>
        <v>11684604.610000003</v>
      </c>
      <c r="Q259" s="173">
        <f>+Données!X259</f>
        <v>63.5</v>
      </c>
      <c r="R259" s="343">
        <f t="shared" si="12"/>
        <v>184009.52141732289</v>
      </c>
    </row>
    <row r="260" spans="1:18" x14ac:dyDescent="0.25">
      <c r="A260" s="7">
        <f>Données!A260</f>
        <v>5860</v>
      </c>
      <c r="B260" s="27" t="str">
        <f>Données!B260</f>
        <v>Perroy</v>
      </c>
      <c r="C260" s="8">
        <f>Données!C260+Données!D260</f>
        <v>5751016.4800000004</v>
      </c>
      <c r="D260" s="8">
        <f>+Données!G260+Données!H260+Données!S260</f>
        <v>121445.1</v>
      </c>
      <c r="E260" s="8">
        <f>+Données!E260</f>
        <v>0</v>
      </c>
      <c r="F260" s="8">
        <f>+Données!I260</f>
        <v>296242.52</v>
      </c>
      <c r="G260" s="8">
        <f>+Données!J260</f>
        <v>79190.78</v>
      </c>
      <c r="H260" s="8">
        <f>Données!U260</f>
        <v>-104263.87</v>
      </c>
      <c r="I260" s="152">
        <f>Données!V260</f>
        <v>0</v>
      </c>
      <c r="J260" s="152">
        <f>Données!W260</f>
        <v>-33615.82</v>
      </c>
      <c r="K260" s="8">
        <f>+Données!Q260</f>
        <v>13408.76</v>
      </c>
      <c r="L260" s="343">
        <f t="shared" si="10"/>
        <v>6123423.9499999993</v>
      </c>
      <c r="M260" s="8">
        <f>+Données!F260</f>
        <v>0</v>
      </c>
      <c r="N260" s="8">
        <f>+Données!K260</f>
        <v>34459.9</v>
      </c>
      <c r="O260" s="8">
        <f>(Données!L260/Données!Y260)*1</f>
        <v>570462.73076923075</v>
      </c>
      <c r="P260" s="343">
        <f t="shared" si="11"/>
        <v>6728346.5807692306</v>
      </c>
      <c r="Q260" s="173">
        <f>+Données!X260</f>
        <v>58.5</v>
      </c>
      <c r="R260" s="343">
        <f t="shared" si="12"/>
        <v>115014.47146614069</v>
      </c>
    </row>
    <row r="261" spans="1:18" x14ac:dyDescent="0.25">
      <c r="A261" s="7">
        <f>Données!A261</f>
        <v>5861</v>
      </c>
      <c r="B261" s="27" t="str">
        <f>Données!B261</f>
        <v>Rolle</v>
      </c>
      <c r="C261" s="8">
        <f>Données!C261+Données!D261</f>
        <v>17537279.030000001</v>
      </c>
      <c r="D261" s="8">
        <f>+Données!G261+Données!H261+Données!S261</f>
        <v>39172890.530000001</v>
      </c>
      <c r="E261" s="8">
        <f>+Données!E261</f>
        <v>0</v>
      </c>
      <c r="F261" s="8">
        <f>+Données!I261</f>
        <v>427775.5</v>
      </c>
      <c r="G261" s="8">
        <f>+Données!J261</f>
        <v>1262795.26</v>
      </c>
      <c r="H261" s="8">
        <f>Données!U261</f>
        <v>-108477.67</v>
      </c>
      <c r="I261" s="152">
        <f>Données!V261</f>
        <v>0</v>
      </c>
      <c r="J261" s="152">
        <f>Données!W261</f>
        <v>-50893.1</v>
      </c>
      <c r="K261" s="8">
        <f>+Données!Q261</f>
        <v>27966.16</v>
      </c>
      <c r="L261" s="343">
        <f t="shared" si="10"/>
        <v>58269335.709999993</v>
      </c>
      <c r="M261" s="8">
        <f>+Données!F261</f>
        <v>0</v>
      </c>
      <c r="N261" s="8">
        <f>+Données!K261</f>
        <v>394938.9</v>
      </c>
      <c r="O261" s="8">
        <f>(Données!L261/Données!Y261)*1</f>
        <v>1953362</v>
      </c>
      <c r="P261" s="343">
        <f t="shared" si="11"/>
        <v>60617636.609999992</v>
      </c>
      <c r="Q261" s="173">
        <f>+Données!X261</f>
        <v>59.5</v>
      </c>
      <c r="R261" s="343">
        <f t="shared" si="12"/>
        <v>1018783.8085714284</v>
      </c>
    </row>
    <row r="262" spans="1:18" x14ac:dyDescent="0.25">
      <c r="A262" s="7">
        <f>Données!A262</f>
        <v>5862</v>
      </c>
      <c r="B262" s="27" t="str">
        <f>Données!B262</f>
        <v>Tartegnin</v>
      </c>
      <c r="C262" s="8">
        <f>Données!C262+Données!D262</f>
        <v>812816.26</v>
      </c>
      <c r="D262" s="8">
        <f>+Données!G262+Données!H262+Données!S262</f>
        <v>2707.64</v>
      </c>
      <c r="E262" s="8">
        <f>+Données!E262</f>
        <v>0</v>
      </c>
      <c r="F262" s="8">
        <f>+Données!I262</f>
        <v>0</v>
      </c>
      <c r="G262" s="8">
        <f>+Données!J262</f>
        <v>34131.22</v>
      </c>
      <c r="H262" s="8">
        <f>Données!U262</f>
        <v>-3818.01</v>
      </c>
      <c r="I262" s="152">
        <f>Données!V262</f>
        <v>0</v>
      </c>
      <c r="J262" s="152">
        <f>Données!W262</f>
        <v>-45.78</v>
      </c>
      <c r="K262" s="8">
        <f>+Données!Q262</f>
        <v>0</v>
      </c>
      <c r="L262" s="343">
        <f t="shared" si="10"/>
        <v>845791.33</v>
      </c>
      <c r="M262" s="8">
        <f>+Données!F262</f>
        <v>0</v>
      </c>
      <c r="N262" s="8">
        <f>+Données!K262</f>
        <v>3403.85</v>
      </c>
      <c r="O262" s="8">
        <f>(Données!L262/Données!Y262)*1</f>
        <v>50729</v>
      </c>
      <c r="P262" s="343">
        <f t="shared" si="11"/>
        <v>899924.17999999993</v>
      </c>
      <c r="Q262" s="173">
        <f>+Données!X262</f>
        <v>79</v>
      </c>
      <c r="R262" s="343">
        <f t="shared" si="12"/>
        <v>11391.445316455696</v>
      </c>
    </row>
    <row r="263" spans="1:18" x14ac:dyDescent="0.25">
      <c r="A263" s="7">
        <f>Données!A263</f>
        <v>5863</v>
      </c>
      <c r="B263" s="27" t="str">
        <f>Données!B263</f>
        <v>Vinzel</v>
      </c>
      <c r="C263" s="8">
        <f>Données!C263+Données!D263</f>
        <v>1304423.79</v>
      </c>
      <c r="D263" s="8">
        <f>+Données!G263+Données!H263+Données!S263</f>
        <v>78358.710000000006</v>
      </c>
      <c r="E263" s="8">
        <f>+Données!E263</f>
        <v>0</v>
      </c>
      <c r="F263" s="8">
        <f>+Données!I263</f>
        <v>41418.300000000003</v>
      </c>
      <c r="G263" s="8">
        <f>+Données!J263</f>
        <v>64436.14</v>
      </c>
      <c r="H263" s="8">
        <f>Données!U263</f>
        <v>-41450.32</v>
      </c>
      <c r="I263" s="152">
        <f>Données!V263</f>
        <v>0</v>
      </c>
      <c r="J263" s="152">
        <f>Données!W263</f>
        <v>-82281.149999999994</v>
      </c>
      <c r="K263" s="8">
        <f>+Données!Q263</f>
        <v>2727.24</v>
      </c>
      <c r="L263" s="343">
        <f t="shared" ref="L263:L305" si="13">SUM(C263:K263)</f>
        <v>1367632.71</v>
      </c>
      <c r="M263" s="8">
        <f>+Données!F263</f>
        <v>0</v>
      </c>
      <c r="N263" s="8">
        <f>+Données!K263</f>
        <v>2260.9</v>
      </c>
      <c r="O263" s="8">
        <f>(Données!L263/Données!Y263)*1</f>
        <v>98799.1</v>
      </c>
      <c r="P263" s="343">
        <f t="shared" ref="P263:P305" si="14">SUM(L263:O263)</f>
        <v>1468692.71</v>
      </c>
      <c r="Q263" s="173">
        <f>+Données!X263</f>
        <v>65</v>
      </c>
      <c r="R263" s="343">
        <f t="shared" ref="R263:R305" si="15">P263/Q263</f>
        <v>22595.272461538461</v>
      </c>
    </row>
    <row r="264" spans="1:18" x14ac:dyDescent="0.25">
      <c r="A264" s="7">
        <f>Données!A264</f>
        <v>5871</v>
      </c>
      <c r="B264" s="27" t="str">
        <f>Données!B264</f>
        <v>L'Abbaye</v>
      </c>
      <c r="C264" s="8">
        <f>Données!C264+Données!D264</f>
        <v>3292669.13</v>
      </c>
      <c r="D264" s="8">
        <f>+Données!G264+Données!H264+Données!S264</f>
        <v>199277.24000000002</v>
      </c>
      <c r="E264" s="8">
        <f>+Données!E264</f>
        <v>0</v>
      </c>
      <c r="F264" s="8">
        <f>+Données!I264</f>
        <v>0</v>
      </c>
      <c r="G264" s="8">
        <f>+Données!J264</f>
        <v>119024.49</v>
      </c>
      <c r="H264" s="8">
        <f>Données!U264</f>
        <v>-38739.64</v>
      </c>
      <c r="I264" s="152">
        <f>Données!V264</f>
        <v>0</v>
      </c>
      <c r="J264" s="152">
        <f>Données!W264</f>
        <v>-482.28</v>
      </c>
      <c r="K264" s="8">
        <f>+Données!Q264</f>
        <v>10336.36</v>
      </c>
      <c r="L264" s="343">
        <f t="shared" si="13"/>
        <v>3582085.3000000003</v>
      </c>
      <c r="M264" s="8">
        <f>+Données!F264</f>
        <v>0</v>
      </c>
      <c r="N264" s="8">
        <f>+Données!K264</f>
        <v>6602.95</v>
      </c>
      <c r="O264" s="8">
        <f>(Données!L264/Données!Y264)*1</f>
        <v>302376.15000000002</v>
      </c>
      <c r="P264" s="343">
        <f t="shared" si="14"/>
        <v>3891064.4000000004</v>
      </c>
      <c r="Q264" s="173">
        <f>+Données!X264</f>
        <v>77.23</v>
      </c>
      <c r="R264" s="343">
        <f t="shared" si="15"/>
        <v>50382.809788942126</v>
      </c>
    </row>
    <row r="265" spans="1:18" x14ac:dyDescent="0.25">
      <c r="A265" s="7">
        <f>Données!A265</f>
        <v>5872</v>
      </c>
      <c r="B265" s="27" t="str">
        <f>Données!B265</f>
        <v>Le Chenit</v>
      </c>
      <c r="C265" s="8">
        <f>Données!C265+Données!D265</f>
        <v>7995945.0600000005</v>
      </c>
      <c r="D265" s="8">
        <f>+Données!G265+Données!H265+Données!S265</f>
        <v>11955261.01</v>
      </c>
      <c r="E265" s="8">
        <f>+Données!E265</f>
        <v>0</v>
      </c>
      <c r="F265" s="8">
        <f>+Données!I265</f>
        <v>0</v>
      </c>
      <c r="G265" s="8">
        <f>+Données!J265</f>
        <v>511298.87</v>
      </c>
      <c r="H265" s="8">
        <f>Données!U265</f>
        <v>-112192.68</v>
      </c>
      <c r="I265" s="152">
        <f>Données!V265</f>
        <v>0</v>
      </c>
      <c r="J265" s="152">
        <f>Données!W265</f>
        <v>-5789.95</v>
      </c>
      <c r="K265" s="8">
        <f>+Données!Q265</f>
        <v>44209.82</v>
      </c>
      <c r="L265" s="343">
        <f t="shared" si="13"/>
        <v>20388732.130000003</v>
      </c>
      <c r="M265" s="8">
        <f>+Données!F265</f>
        <v>0</v>
      </c>
      <c r="N265" s="8">
        <f>+Données!K265</f>
        <v>67844.399999999994</v>
      </c>
      <c r="O265" s="8">
        <f>(Données!L265/Données!Y265)*1</f>
        <v>821141.85</v>
      </c>
      <c r="P265" s="343">
        <f t="shared" si="14"/>
        <v>21277718.380000003</v>
      </c>
      <c r="Q265" s="173">
        <f>+Données!X265</f>
        <v>67.040000000000006</v>
      </c>
      <c r="R265" s="343">
        <f t="shared" si="15"/>
        <v>317388.40065632458</v>
      </c>
    </row>
    <row r="266" spans="1:18" x14ac:dyDescent="0.25">
      <c r="A266" s="7">
        <f>Données!A266</f>
        <v>5873</v>
      </c>
      <c r="B266" s="27" t="str">
        <f>Données!B266</f>
        <v>Le Lieu</v>
      </c>
      <c r="C266" s="8">
        <f>Données!C266+Données!D266</f>
        <v>1700798.97</v>
      </c>
      <c r="D266" s="8">
        <f>+Données!G266+Données!H266+Données!S266</f>
        <v>341250.55</v>
      </c>
      <c r="E266" s="8">
        <f>+Données!E266</f>
        <v>0</v>
      </c>
      <c r="F266" s="8">
        <f>+Données!I266</f>
        <v>0</v>
      </c>
      <c r="G266" s="8">
        <f>+Données!J266</f>
        <v>64291.1</v>
      </c>
      <c r="H266" s="8">
        <f>Données!U266</f>
        <v>-14120.17</v>
      </c>
      <c r="I266" s="152">
        <f>Données!V266</f>
        <v>0</v>
      </c>
      <c r="J266" s="152">
        <f>Données!W266</f>
        <v>-271.14</v>
      </c>
      <c r="K266" s="8">
        <f>+Données!Q266</f>
        <v>343.94</v>
      </c>
      <c r="L266" s="343">
        <f t="shared" si="13"/>
        <v>2092293.2500000002</v>
      </c>
      <c r="M266" s="8">
        <f>+Données!F266</f>
        <v>0</v>
      </c>
      <c r="N266" s="8">
        <f>+Données!K266</f>
        <v>0</v>
      </c>
      <c r="O266" s="8">
        <f>(Données!L266/Données!Y266)*1</f>
        <v>152233.93749999997</v>
      </c>
      <c r="P266" s="343">
        <f t="shared" si="14"/>
        <v>2244527.1875</v>
      </c>
      <c r="Q266" s="173">
        <f>+Données!X266</f>
        <v>70</v>
      </c>
      <c r="R266" s="343">
        <f t="shared" si="15"/>
        <v>32064.674107142859</v>
      </c>
    </row>
    <row r="267" spans="1:18" x14ac:dyDescent="0.25">
      <c r="A267" s="7">
        <f>Données!A267</f>
        <v>5882</v>
      </c>
      <c r="B267" s="27" t="str">
        <f>Données!B267</f>
        <v>Chardonne</v>
      </c>
      <c r="C267" s="8">
        <f>Données!C267+Données!D267</f>
        <v>11681306.890000001</v>
      </c>
      <c r="D267" s="8">
        <f>+Données!G267+Données!H267+Données!S267</f>
        <v>86742.68</v>
      </c>
      <c r="E267" s="8">
        <f>+Données!E267</f>
        <v>0</v>
      </c>
      <c r="F267" s="8">
        <f>+Données!I267</f>
        <v>857913.76</v>
      </c>
      <c r="G267" s="8">
        <f>+Données!J267</f>
        <v>-691071.23</v>
      </c>
      <c r="H267" s="8">
        <f>Données!U267</f>
        <v>-96457.08</v>
      </c>
      <c r="I267" s="152">
        <f>Données!V267</f>
        <v>0</v>
      </c>
      <c r="J267" s="152">
        <f>Données!W267</f>
        <v>-15100.02</v>
      </c>
      <c r="K267" s="8">
        <f>+Données!Q267</f>
        <v>19707.330000000002</v>
      </c>
      <c r="L267" s="343">
        <f t="shared" si="13"/>
        <v>11843042.33</v>
      </c>
      <c r="M267" s="8">
        <f>+Données!F267</f>
        <v>0</v>
      </c>
      <c r="N267" s="8">
        <f>+Données!K267</f>
        <v>70989</v>
      </c>
      <c r="O267" s="8">
        <f>(Données!L267/Données!Y267)*1</f>
        <v>1081159.9099999999</v>
      </c>
      <c r="P267" s="343">
        <f t="shared" si="14"/>
        <v>12995191.24</v>
      </c>
      <c r="Q267" s="173">
        <f>+Données!X267</f>
        <v>68</v>
      </c>
      <c r="R267" s="343">
        <f t="shared" si="15"/>
        <v>191105.75352941177</v>
      </c>
    </row>
    <row r="268" spans="1:18" x14ac:dyDescent="0.25">
      <c r="A268" s="7">
        <f>Données!A268</f>
        <v>5883</v>
      </c>
      <c r="B268" s="27" t="str">
        <f>Données!B268</f>
        <v>Corseaux</v>
      </c>
      <c r="C268" s="8">
        <f>Données!C268+Données!D268</f>
        <v>10476978.030000001</v>
      </c>
      <c r="D268" s="8">
        <f>+Données!G268+Données!H268+Données!S268</f>
        <v>144445.14000000001</v>
      </c>
      <c r="E268" s="8">
        <f>+Données!E268</f>
        <v>0</v>
      </c>
      <c r="F268" s="8">
        <f>+Données!I268</f>
        <v>174039.47</v>
      </c>
      <c r="G268" s="8">
        <f>+Données!J268</f>
        <v>91937.13</v>
      </c>
      <c r="H268" s="8">
        <f>Données!U268</f>
        <v>-90261.67</v>
      </c>
      <c r="I268" s="152">
        <f>Données!V268</f>
        <v>0</v>
      </c>
      <c r="J268" s="152">
        <f>Données!W268</f>
        <v>-22916.639999999999</v>
      </c>
      <c r="K268" s="8">
        <f>+Données!Q268</f>
        <v>1926.38</v>
      </c>
      <c r="L268" s="343">
        <f t="shared" si="13"/>
        <v>10776147.840000004</v>
      </c>
      <c r="M268" s="8">
        <f>+Données!F268</f>
        <v>0</v>
      </c>
      <c r="N268" s="8">
        <f>+Données!K268</f>
        <v>12494.2</v>
      </c>
      <c r="O268" s="8">
        <f>(Données!L268/Données!Y268)*1</f>
        <v>745812.35</v>
      </c>
      <c r="P268" s="343">
        <f t="shared" si="14"/>
        <v>11534454.390000002</v>
      </c>
      <c r="Q268" s="173">
        <f>+Données!X268</f>
        <v>67.5</v>
      </c>
      <c r="R268" s="343">
        <f t="shared" si="15"/>
        <v>170880.8057777778</v>
      </c>
    </row>
    <row r="269" spans="1:18" x14ac:dyDescent="0.25">
      <c r="A269" s="7">
        <f>Données!A269</f>
        <v>5884</v>
      </c>
      <c r="B269" s="27" t="str">
        <f>Données!B269</f>
        <v>Corsier-sur-Vevey</v>
      </c>
      <c r="C269" s="8">
        <f>Données!C269+Données!D269</f>
        <v>6336279.8799999999</v>
      </c>
      <c r="D269" s="8">
        <f>+Données!G269+Données!H269+Données!S269</f>
        <v>2105503.87</v>
      </c>
      <c r="E269" s="8">
        <f>+Données!E269</f>
        <v>0</v>
      </c>
      <c r="F269" s="8">
        <f>+Données!I269</f>
        <v>30448.75</v>
      </c>
      <c r="G269" s="8">
        <f>+Données!J269</f>
        <v>130416.46</v>
      </c>
      <c r="H269" s="8">
        <f>Données!U269</f>
        <v>-103879.28</v>
      </c>
      <c r="I269" s="152">
        <f>Données!V269</f>
        <v>0</v>
      </c>
      <c r="J269" s="152">
        <f>Données!W269</f>
        <v>-2337.89</v>
      </c>
      <c r="K269" s="8">
        <f>+Données!Q269</f>
        <v>12979.26</v>
      </c>
      <c r="L269" s="343">
        <f t="shared" si="13"/>
        <v>8509411.0500000007</v>
      </c>
      <c r="M269" s="8">
        <f>+Données!F269</f>
        <v>0</v>
      </c>
      <c r="N269" s="8">
        <f>+Données!K269</f>
        <v>191032.75</v>
      </c>
      <c r="O269" s="8">
        <f>(Données!L269/Données!Y269)*1</f>
        <v>840822.83333333337</v>
      </c>
      <c r="P269" s="343">
        <f t="shared" si="14"/>
        <v>9541266.6333333347</v>
      </c>
      <c r="Q269" s="173">
        <f>+Données!X269</f>
        <v>64.5</v>
      </c>
      <c r="R269" s="343">
        <f t="shared" si="15"/>
        <v>147926.61447028426</v>
      </c>
    </row>
    <row r="270" spans="1:18" x14ac:dyDescent="0.25">
      <c r="A270" s="7">
        <f>Données!A270</f>
        <v>5885</v>
      </c>
      <c r="B270" s="27" t="str">
        <f>Données!B270</f>
        <v>Jongny</v>
      </c>
      <c r="C270" s="8">
        <f>Données!C270+Données!D270</f>
        <v>6000128.0099999998</v>
      </c>
      <c r="D270" s="8">
        <f>+Données!G270+Données!H270+Données!S270</f>
        <v>79727.06</v>
      </c>
      <c r="E270" s="8">
        <f>+Données!E270</f>
        <v>0</v>
      </c>
      <c r="F270" s="8">
        <f>+Données!I270</f>
        <v>112073.9</v>
      </c>
      <c r="G270" s="8">
        <f>+Données!J270</f>
        <v>193332.36</v>
      </c>
      <c r="H270" s="8">
        <f>Données!U270</f>
        <v>-87252.7</v>
      </c>
      <c r="I270" s="152">
        <f>Données!V270</f>
        <v>0</v>
      </c>
      <c r="J270" s="152">
        <f>Données!W270</f>
        <v>-7279.95</v>
      </c>
      <c r="K270" s="8">
        <f>+Données!Q270</f>
        <v>4347.8</v>
      </c>
      <c r="L270" s="343">
        <f t="shared" si="13"/>
        <v>6295076.4799999995</v>
      </c>
      <c r="M270" s="8">
        <f>+Données!F270</f>
        <v>0</v>
      </c>
      <c r="N270" s="8">
        <f>+Données!K270</f>
        <v>23018.799999999999</v>
      </c>
      <c r="O270" s="8">
        <f>(Données!L270/Données!Y270)*1</f>
        <v>491236.83333333331</v>
      </c>
      <c r="P270" s="343">
        <f t="shared" si="14"/>
        <v>6809332.1133333324</v>
      </c>
      <c r="Q270" s="173">
        <f>+Données!X270</f>
        <v>69.5</v>
      </c>
      <c r="R270" s="343">
        <f t="shared" si="15"/>
        <v>97976.001630695435</v>
      </c>
    </row>
    <row r="271" spans="1:18" x14ac:dyDescent="0.25">
      <c r="A271" s="7">
        <f>Données!A271</f>
        <v>5886</v>
      </c>
      <c r="B271" s="27" t="str">
        <f>Données!B271</f>
        <v>Montreux</v>
      </c>
      <c r="C271" s="8">
        <f>Données!C271+Données!D271</f>
        <v>56744959.990000002</v>
      </c>
      <c r="D271" s="8">
        <f>+Données!G271+Données!H271+Données!S271</f>
        <v>5461398.5499999998</v>
      </c>
      <c r="E271" s="8">
        <f>+Données!E271</f>
        <v>0</v>
      </c>
      <c r="F271" s="8">
        <f>+Données!I271</f>
        <v>4152245.52</v>
      </c>
      <c r="G271" s="8">
        <f>+Données!J271</f>
        <v>2523183.0699999998</v>
      </c>
      <c r="H271" s="8">
        <f>Données!U271</f>
        <v>-1659384.39</v>
      </c>
      <c r="I271" s="152">
        <f>Données!V271</f>
        <v>0</v>
      </c>
      <c r="J271" s="152">
        <f>Données!W271</f>
        <v>-173744.98</v>
      </c>
      <c r="K271" s="8">
        <f>+Données!Q271</f>
        <v>306413.38</v>
      </c>
      <c r="L271" s="343">
        <f t="shared" si="13"/>
        <v>67355071.140000001</v>
      </c>
      <c r="M271" s="8">
        <f>+Données!F271</f>
        <v>0</v>
      </c>
      <c r="N271" s="8">
        <f>+Données!K271</f>
        <v>867718.55</v>
      </c>
      <c r="O271" s="8">
        <f>(Données!L271/Données!Y271)*1</f>
        <v>7802577.4333333336</v>
      </c>
      <c r="P271" s="343">
        <f t="shared" si="14"/>
        <v>76025367.123333335</v>
      </c>
      <c r="Q271" s="173">
        <f>+Données!X271</f>
        <v>65</v>
      </c>
      <c r="R271" s="343">
        <f t="shared" si="15"/>
        <v>1169621.0326666667</v>
      </c>
    </row>
    <row r="272" spans="1:18" x14ac:dyDescent="0.25">
      <c r="A272" s="7">
        <f>Données!A272</f>
        <v>5889</v>
      </c>
      <c r="B272" s="27" t="str">
        <f>Données!B272</f>
        <v>La Tour-de-Peilz</v>
      </c>
      <c r="C272" s="8">
        <f>Données!C272+Données!D272</f>
        <v>35850139.93</v>
      </c>
      <c r="D272" s="8">
        <f>+Données!G272+Données!H272+Données!S272</f>
        <v>12982169.470000001</v>
      </c>
      <c r="E272" s="8">
        <f>+Données!E272</f>
        <v>0</v>
      </c>
      <c r="F272" s="8">
        <f>+Données!I272</f>
        <v>1237485.77</v>
      </c>
      <c r="G272" s="8">
        <f>+Données!J272</f>
        <v>189326.87</v>
      </c>
      <c r="H272" s="8">
        <f>Données!U272</f>
        <v>-261156.31</v>
      </c>
      <c r="I272" s="152">
        <f>Données!V272</f>
        <v>0</v>
      </c>
      <c r="J272" s="152">
        <f>Données!W272</f>
        <v>-3148615.45</v>
      </c>
      <c r="K272" s="8">
        <f>+Données!Q272</f>
        <v>-41613.050000000003</v>
      </c>
      <c r="L272" s="343">
        <f t="shared" si="13"/>
        <v>46807737.229999997</v>
      </c>
      <c r="M272" s="8">
        <f>+Données!F272</f>
        <v>0</v>
      </c>
      <c r="N272" s="8">
        <f>+Données!K272</f>
        <v>300943.7</v>
      </c>
      <c r="O272" s="8">
        <f>(Données!L272/Données!Y272)*1</f>
        <v>2760367.791666667</v>
      </c>
      <c r="P272" s="343">
        <f t="shared" si="14"/>
        <v>49869048.721666664</v>
      </c>
      <c r="Q272" s="173">
        <f>+Données!X272</f>
        <v>64</v>
      </c>
      <c r="R272" s="343">
        <f t="shared" si="15"/>
        <v>779203.88627604162</v>
      </c>
    </row>
    <row r="273" spans="1:18" x14ac:dyDescent="0.25">
      <c r="A273" s="7">
        <f>Données!A273</f>
        <v>5890</v>
      </c>
      <c r="B273" s="27" t="str">
        <f>Données!B273</f>
        <v>Vevey</v>
      </c>
      <c r="C273" s="8">
        <f>Données!C273+Données!D273</f>
        <v>42498525.310000002</v>
      </c>
      <c r="D273" s="8">
        <f>+Données!G273+Données!H273+Données!S273</f>
        <v>33116280.219999999</v>
      </c>
      <c r="E273" s="8">
        <f>+Données!E273</f>
        <v>0</v>
      </c>
      <c r="F273" s="8">
        <f>+Données!I273</f>
        <v>-42687.66</v>
      </c>
      <c r="G273" s="8">
        <f>+Données!J273</f>
        <v>3086494.07</v>
      </c>
      <c r="H273" s="8">
        <f>Données!U273</f>
        <v>-627206.32999999996</v>
      </c>
      <c r="I273" s="152">
        <f>Données!V273</f>
        <v>0</v>
      </c>
      <c r="J273" s="152">
        <f>Données!W273</f>
        <v>-6050390.6699999999</v>
      </c>
      <c r="K273" s="8">
        <f>+Données!Q273</f>
        <v>149000.74</v>
      </c>
      <c r="L273" s="343">
        <f t="shared" si="13"/>
        <v>72130015.679999992</v>
      </c>
      <c r="M273" s="8">
        <f>+Données!F273</f>
        <v>0</v>
      </c>
      <c r="N273" s="8">
        <f>+Données!K273</f>
        <v>784696.2</v>
      </c>
      <c r="O273" s="8">
        <f>(Données!L273/Données!Y273)*1</f>
        <v>4142578.7466666666</v>
      </c>
      <c r="P273" s="343">
        <f t="shared" si="14"/>
        <v>77057290.626666665</v>
      </c>
      <c r="Q273" s="173">
        <f>+Données!X273</f>
        <v>74.5</v>
      </c>
      <c r="R273" s="343">
        <f t="shared" si="15"/>
        <v>1034326.0486800894</v>
      </c>
    </row>
    <row r="274" spans="1:18" x14ac:dyDescent="0.25">
      <c r="A274" s="7">
        <f>Données!A274</f>
        <v>5891</v>
      </c>
      <c r="B274" s="27" t="str">
        <f>Données!B274</f>
        <v>Veytaux</v>
      </c>
      <c r="C274" s="8">
        <f>Données!C274+Données!D274</f>
        <v>2616237.11</v>
      </c>
      <c r="D274" s="8">
        <f>+Données!G274+Données!H274+Données!S274</f>
        <v>81167.849999999991</v>
      </c>
      <c r="E274" s="8">
        <f>+Données!E274</f>
        <v>0</v>
      </c>
      <c r="F274" s="8">
        <f>+Données!I274</f>
        <v>509.75</v>
      </c>
      <c r="G274" s="8">
        <f>+Données!J274</f>
        <v>75515.62</v>
      </c>
      <c r="H274" s="8">
        <f>Données!U274</f>
        <v>-31810.82</v>
      </c>
      <c r="I274" s="152">
        <f>Données!V274</f>
        <v>0</v>
      </c>
      <c r="J274" s="152">
        <f>Données!W274</f>
        <v>-2772.6</v>
      </c>
      <c r="K274" s="8">
        <f>+Données!Q274</f>
        <v>14875.62</v>
      </c>
      <c r="L274" s="343">
        <f t="shared" si="13"/>
        <v>2753722.5300000003</v>
      </c>
      <c r="M274" s="8">
        <f>+Données!F274</f>
        <v>0</v>
      </c>
      <c r="N274" s="8">
        <f>+Données!K274</f>
        <v>19243.349999999999</v>
      </c>
      <c r="O274" s="8">
        <f>(Données!L274/Données!Y274)*1</f>
        <v>308222.16666666669</v>
      </c>
      <c r="P274" s="343">
        <f t="shared" si="14"/>
        <v>3081188.0466666669</v>
      </c>
      <c r="Q274" s="173">
        <f>+Données!X274</f>
        <v>67.5</v>
      </c>
      <c r="R274" s="343">
        <f t="shared" si="15"/>
        <v>45647.230320987655</v>
      </c>
    </row>
    <row r="275" spans="1:18" x14ac:dyDescent="0.25">
      <c r="A275" s="7">
        <f>Données!A275</f>
        <v>5892</v>
      </c>
      <c r="B275" s="27" t="str">
        <f>Données!B275</f>
        <v>Blonay - Saint-Légier</v>
      </c>
      <c r="C275" s="8">
        <f>Données!C275+Données!D275</f>
        <v>42687508.199999996</v>
      </c>
      <c r="D275" s="8">
        <f>+Données!G275+Données!H275+Données!S275</f>
        <v>1385914.91</v>
      </c>
      <c r="E275" s="8">
        <f>+Données!E275</f>
        <v>0</v>
      </c>
      <c r="F275" s="8">
        <f>+Données!I275</f>
        <v>1466574.19</v>
      </c>
      <c r="G275" s="8">
        <f>+Données!J275</f>
        <v>349223.59</v>
      </c>
      <c r="H275" s="8">
        <f>Données!U275</f>
        <v>-179937.94</v>
      </c>
      <c r="I275" s="152">
        <f>Données!V275</f>
        <v>0</v>
      </c>
      <c r="J275" s="152">
        <f>Données!W275</f>
        <v>-130830.67</v>
      </c>
      <c r="K275" s="8">
        <f>+Données!Q275</f>
        <v>72453.19</v>
      </c>
      <c r="L275" s="343">
        <f t="shared" si="13"/>
        <v>45650905.469999991</v>
      </c>
      <c r="M275" s="8">
        <f>+Données!F275</f>
        <v>0</v>
      </c>
      <c r="N275" s="8">
        <f>+Données!K275</f>
        <v>113137.7</v>
      </c>
      <c r="O275" s="8">
        <f>(Données!L275/Données!Y275)*1</f>
        <v>3562131.05</v>
      </c>
      <c r="P275" s="343">
        <f t="shared" si="14"/>
        <v>49326174.219999991</v>
      </c>
      <c r="Q275" s="173">
        <f>+Données!X275</f>
        <v>68.5</v>
      </c>
      <c r="R275" s="343">
        <f t="shared" si="15"/>
        <v>720090.13459854003</v>
      </c>
    </row>
    <row r="276" spans="1:18" x14ac:dyDescent="0.25">
      <c r="A276" s="7">
        <f>Données!A276</f>
        <v>5902</v>
      </c>
      <c r="B276" s="27" t="str">
        <f>Données!B276</f>
        <v>Belmont-sur-Yverdon</v>
      </c>
      <c r="C276" s="8">
        <f>Données!C276+Données!D276</f>
        <v>850146.82</v>
      </c>
      <c r="D276" s="8">
        <f>+Données!G276+Données!H276+Données!S276</f>
        <v>26665.020000000004</v>
      </c>
      <c r="E276" s="8">
        <f>+Données!E276</f>
        <v>0</v>
      </c>
      <c r="F276" s="8">
        <f>+Données!I276</f>
        <v>0</v>
      </c>
      <c r="G276" s="8">
        <f>+Données!J276</f>
        <v>4216.28</v>
      </c>
      <c r="H276" s="8">
        <f>Données!U276</f>
        <v>-14340.63</v>
      </c>
      <c r="I276" s="152">
        <f>Données!V276</f>
        <v>0</v>
      </c>
      <c r="J276" s="152">
        <f>Données!W276</f>
        <v>-171.7</v>
      </c>
      <c r="K276" s="8">
        <f>+Données!Q276</f>
        <v>0</v>
      </c>
      <c r="L276" s="343">
        <f t="shared" si="13"/>
        <v>866515.79</v>
      </c>
      <c r="M276" s="8">
        <f>+Données!F276</f>
        <v>0</v>
      </c>
      <c r="N276" s="8">
        <f>+Données!K276</f>
        <v>0</v>
      </c>
      <c r="O276" s="8">
        <f>(Données!L276/Données!Y276)*1</f>
        <v>73496.800000000003</v>
      </c>
      <c r="P276" s="343">
        <f t="shared" si="14"/>
        <v>940012.59000000008</v>
      </c>
      <c r="Q276" s="173">
        <f>+Données!X276</f>
        <v>70</v>
      </c>
      <c r="R276" s="343">
        <f t="shared" si="15"/>
        <v>13428.751285714286</v>
      </c>
    </row>
    <row r="277" spans="1:18" x14ac:dyDescent="0.25">
      <c r="A277" s="7">
        <f>Données!A277</f>
        <v>5903</v>
      </c>
      <c r="B277" s="27" t="str">
        <f>Données!B277</f>
        <v>Bioley-Magnoux</v>
      </c>
      <c r="C277" s="8">
        <f>Données!C277+Données!D277</f>
        <v>407202.31</v>
      </c>
      <c r="D277" s="8">
        <f>+Données!G277+Données!H277+Données!S277</f>
        <v>5098.2700000000004</v>
      </c>
      <c r="E277" s="8">
        <f>+Données!E277</f>
        <v>0</v>
      </c>
      <c r="F277" s="8">
        <f>+Données!I277</f>
        <v>0</v>
      </c>
      <c r="G277" s="8">
        <f>+Données!J277</f>
        <v>739.18</v>
      </c>
      <c r="H277" s="8">
        <f>Données!U277</f>
        <v>-1763.74</v>
      </c>
      <c r="I277" s="152">
        <f>Données!V277</f>
        <v>0</v>
      </c>
      <c r="J277" s="152">
        <f>Données!W277</f>
        <v>-148.05000000000001</v>
      </c>
      <c r="K277" s="8">
        <f>+Données!Q277</f>
        <v>0</v>
      </c>
      <c r="L277" s="343">
        <f t="shared" si="13"/>
        <v>411127.97000000003</v>
      </c>
      <c r="M277" s="8">
        <f>+Données!F277</f>
        <v>0</v>
      </c>
      <c r="N277" s="8">
        <f>+Données!K277</f>
        <v>0</v>
      </c>
      <c r="O277" s="8">
        <f>(Données!L277/Données!Y277)*1</f>
        <v>40939.428571428572</v>
      </c>
      <c r="P277" s="343">
        <f t="shared" si="14"/>
        <v>452067.39857142861</v>
      </c>
      <c r="Q277" s="173">
        <f>+Données!X277</f>
        <v>72</v>
      </c>
      <c r="R277" s="343">
        <f t="shared" si="15"/>
        <v>6278.7138690476195</v>
      </c>
    </row>
    <row r="278" spans="1:18" x14ac:dyDescent="0.25">
      <c r="A278" s="7">
        <f>Données!A278</f>
        <v>5904</v>
      </c>
      <c r="B278" s="27" t="str">
        <f>Données!B278</f>
        <v>Chamblon</v>
      </c>
      <c r="C278" s="8">
        <f>Données!C278+Données!D278</f>
        <v>1072841.95</v>
      </c>
      <c r="D278" s="8">
        <f>+Données!G278+Données!H278+Données!S278</f>
        <v>22809.96</v>
      </c>
      <c r="E278" s="8">
        <f>+Données!E278</f>
        <v>0</v>
      </c>
      <c r="F278" s="8">
        <f>+Données!I278</f>
        <v>0</v>
      </c>
      <c r="G278" s="8">
        <f>+Données!J278</f>
        <v>15765.96</v>
      </c>
      <c r="H278" s="8">
        <f>Données!U278</f>
        <v>-14063.23</v>
      </c>
      <c r="I278" s="152">
        <f>Données!V278</f>
        <v>0</v>
      </c>
      <c r="J278" s="152">
        <f>Données!W278</f>
        <v>-188.17</v>
      </c>
      <c r="K278" s="8">
        <f>+Données!Q278</f>
        <v>0</v>
      </c>
      <c r="L278" s="343">
        <f t="shared" si="13"/>
        <v>1097166.47</v>
      </c>
      <c r="M278" s="8">
        <f>+Données!F278</f>
        <v>0</v>
      </c>
      <c r="N278" s="8">
        <f>+Données!K278</f>
        <v>-653.35</v>
      </c>
      <c r="O278" s="8">
        <f>(Données!L278/Données!Y278)*1</f>
        <v>102349.9</v>
      </c>
      <c r="P278" s="343">
        <f t="shared" si="14"/>
        <v>1198863.0199999998</v>
      </c>
      <c r="Q278" s="173">
        <f>+Données!X278</f>
        <v>66</v>
      </c>
      <c r="R278" s="343">
        <f t="shared" si="15"/>
        <v>18164.59121212121</v>
      </c>
    </row>
    <row r="279" spans="1:18" x14ac:dyDescent="0.25">
      <c r="A279" s="7">
        <f>Données!A279</f>
        <v>5905</v>
      </c>
      <c r="B279" s="27" t="str">
        <f>Données!B279</f>
        <v>Champvent</v>
      </c>
      <c r="C279" s="8">
        <f>Données!C279+Données!D279</f>
        <v>1225895.31</v>
      </c>
      <c r="D279" s="8">
        <f>+Données!G279+Données!H279+Données!S279</f>
        <v>190362.65999999997</v>
      </c>
      <c r="E279" s="8">
        <f>+Données!E279</f>
        <v>0</v>
      </c>
      <c r="F279" s="8">
        <f>+Données!I279</f>
        <v>0</v>
      </c>
      <c r="G279" s="8">
        <f>+Données!J279</f>
        <v>31155.06</v>
      </c>
      <c r="H279" s="8">
        <f>Données!U279</f>
        <v>-10784.25</v>
      </c>
      <c r="I279" s="152">
        <f>Données!V279</f>
        <v>0</v>
      </c>
      <c r="J279" s="152">
        <f>Données!W279</f>
        <v>-35.65</v>
      </c>
      <c r="K279" s="8">
        <f>+Données!Q279</f>
        <v>-0.22</v>
      </c>
      <c r="L279" s="343">
        <f t="shared" si="13"/>
        <v>1436592.9100000001</v>
      </c>
      <c r="M279" s="8">
        <f>+Données!F279</f>
        <v>0</v>
      </c>
      <c r="N279" s="8">
        <f>+Données!K279</f>
        <v>3616.2</v>
      </c>
      <c r="O279" s="8">
        <f>(Données!L279/Données!Y279)*1</f>
        <v>117962</v>
      </c>
      <c r="P279" s="343">
        <f t="shared" si="14"/>
        <v>1558171.11</v>
      </c>
      <c r="Q279" s="173">
        <f>+Données!X279</f>
        <v>70</v>
      </c>
      <c r="R279" s="343">
        <f t="shared" si="15"/>
        <v>22259.587285714286</v>
      </c>
    </row>
    <row r="280" spans="1:18" x14ac:dyDescent="0.25">
      <c r="A280" s="7">
        <f>Données!A280</f>
        <v>5907</v>
      </c>
      <c r="B280" s="27" t="str">
        <f>Données!B280</f>
        <v>Chavannes-le-Chêne</v>
      </c>
      <c r="C280" s="8">
        <f>Données!C280+Données!D280</f>
        <v>605699.75</v>
      </c>
      <c r="D280" s="8">
        <f>+Données!G280+Données!H280+Données!S280</f>
        <v>3349.4400000000005</v>
      </c>
      <c r="E280" s="8">
        <f>+Données!E280</f>
        <v>0</v>
      </c>
      <c r="F280" s="8">
        <f>+Données!I280</f>
        <v>0</v>
      </c>
      <c r="G280" s="8">
        <f>+Données!J280</f>
        <v>3899.52</v>
      </c>
      <c r="H280" s="8">
        <f>Données!U280</f>
        <v>-7527.72</v>
      </c>
      <c r="I280" s="152">
        <f>Données!V280</f>
        <v>0</v>
      </c>
      <c r="J280" s="152">
        <f>Données!W280</f>
        <v>0</v>
      </c>
      <c r="K280" s="8">
        <f>+Données!Q280</f>
        <v>0</v>
      </c>
      <c r="L280" s="343">
        <f t="shared" si="13"/>
        <v>605420.99</v>
      </c>
      <c r="M280" s="8">
        <f>+Données!F280</f>
        <v>1980</v>
      </c>
      <c r="N280" s="8">
        <f>+Données!K280</f>
        <v>580.70000000000005</v>
      </c>
      <c r="O280" s="8">
        <f>(Données!L280/Données!Y280)*1</f>
        <v>51862.720000000001</v>
      </c>
      <c r="P280" s="343">
        <f t="shared" si="14"/>
        <v>659844.40999999992</v>
      </c>
      <c r="Q280" s="173">
        <f>+Données!X280</f>
        <v>75</v>
      </c>
      <c r="R280" s="343">
        <f t="shared" si="15"/>
        <v>8797.9254666666657</v>
      </c>
    </row>
    <row r="281" spans="1:18" x14ac:dyDescent="0.25">
      <c r="A281" s="7">
        <f>Données!A281</f>
        <v>5908</v>
      </c>
      <c r="B281" s="27" t="str">
        <f>Données!B281</f>
        <v>Chêne-Pâquier</v>
      </c>
      <c r="C281" s="8">
        <f>Données!C281+Données!D281</f>
        <v>377355.27</v>
      </c>
      <c r="D281" s="8">
        <f>+Données!G281+Données!H281+Données!S281</f>
        <v>34192.759999999995</v>
      </c>
      <c r="E281" s="8">
        <f>+Données!E281</f>
        <v>0</v>
      </c>
      <c r="F281" s="8">
        <f>+Données!I281</f>
        <v>0</v>
      </c>
      <c r="G281" s="8">
        <f>+Données!J281</f>
        <v>1673.11</v>
      </c>
      <c r="H281" s="8">
        <f>Données!U281</f>
        <v>-8362.61</v>
      </c>
      <c r="I281" s="152">
        <f>Données!V281</f>
        <v>0</v>
      </c>
      <c r="J281" s="152">
        <f>Données!W281</f>
        <v>0</v>
      </c>
      <c r="K281" s="8">
        <f>+Données!Q281</f>
        <v>4825.34</v>
      </c>
      <c r="L281" s="343">
        <f t="shared" si="13"/>
        <v>409683.87000000005</v>
      </c>
      <c r="M281" s="8">
        <f>+Données!F281</f>
        <v>0</v>
      </c>
      <c r="N281" s="8">
        <f>+Données!K281</f>
        <v>92.95</v>
      </c>
      <c r="O281" s="8">
        <f>(Données!L281/Données!Y281)*1</f>
        <v>28876.35</v>
      </c>
      <c r="P281" s="343">
        <f t="shared" si="14"/>
        <v>438653.17000000004</v>
      </c>
      <c r="Q281" s="173">
        <f>+Données!X281</f>
        <v>75</v>
      </c>
      <c r="R281" s="343">
        <f t="shared" si="15"/>
        <v>5848.7089333333342</v>
      </c>
    </row>
    <row r="282" spans="1:18" x14ac:dyDescent="0.25">
      <c r="A282" s="7">
        <f>Données!A282</f>
        <v>5909</v>
      </c>
      <c r="B282" s="27" t="str">
        <f>Données!B282</f>
        <v>Cheseaux-Noréaz</v>
      </c>
      <c r="C282" s="8">
        <f>Données!C282+Données!D282</f>
        <v>2387021.2800000003</v>
      </c>
      <c r="D282" s="8">
        <f>+Données!G282+Données!H282+Données!S282</f>
        <v>10697.66</v>
      </c>
      <c r="E282" s="8">
        <f>+Données!E282</f>
        <v>0</v>
      </c>
      <c r="F282" s="8">
        <f>+Données!I282</f>
        <v>0</v>
      </c>
      <c r="G282" s="8">
        <f>+Données!J282</f>
        <v>20383.86</v>
      </c>
      <c r="H282" s="8">
        <f>Données!U282</f>
        <v>-1794.46</v>
      </c>
      <c r="I282" s="152">
        <f>Données!V282</f>
        <v>0</v>
      </c>
      <c r="J282" s="152">
        <f>Données!W282</f>
        <v>-552.73</v>
      </c>
      <c r="K282" s="8">
        <f>+Données!Q282</f>
        <v>0</v>
      </c>
      <c r="L282" s="343">
        <f t="shared" si="13"/>
        <v>2415755.6100000003</v>
      </c>
      <c r="M282" s="8">
        <f>+Données!F282</f>
        <v>0</v>
      </c>
      <c r="N282" s="8">
        <f>+Données!K282</f>
        <v>-715</v>
      </c>
      <c r="O282" s="8">
        <f>(Données!L282/Données!Y282)*1</f>
        <v>176759.6</v>
      </c>
      <c r="P282" s="343">
        <f t="shared" si="14"/>
        <v>2591800.2100000004</v>
      </c>
      <c r="Q282" s="173">
        <f>+Données!X282</f>
        <v>67</v>
      </c>
      <c r="R282" s="343">
        <f t="shared" si="15"/>
        <v>38683.585223880604</v>
      </c>
    </row>
    <row r="283" spans="1:18" x14ac:dyDescent="0.25">
      <c r="A283" s="7">
        <f>Données!A283</f>
        <v>5910</v>
      </c>
      <c r="B283" s="27" t="str">
        <f>Données!B283</f>
        <v>Cronay</v>
      </c>
      <c r="C283" s="8">
        <f>Données!C283+Données!D283</f>
        <v>947033.13</v>
      </c>
      <c r="D283" s="8">
        <f>+Données!G283+Données!H283+Données!S283</f>
        <v>4084.25</v>
      </c>
      <c r="E283" s="8">
        <f>+Données!E283</f>
        <v>0</v>
      </c>
      <c r="F283" s="8">
        <f>+Données!I283</f>
        <v>0</v>
      </c>
      <c r="G283" s="8">
        <f>+Données!J283</f>
        <v>4594.91</v>
      </c>
      <c r="H283" s="8">
        <f>Données!U283</f>
        <v>-23927.51</v>
      </c>
      <c r="I283" s="152">
        <f>Données!V283</f>
        <v>0</v>
      </c>
      <c r="J283" s="152">
        <f>Données!W283</f>
        <v>0</v>
      </c>
      <c r="K283" s="8">
        <f>+Données!Q283</f>
        <v>0</v>
      </c>
      <c r="L283" s="343">
        <f t="shared" si="13"/>
        <v>931784.78</v>
      </c>
      <c r="M283" s="8">
        <f>+Données!F283</f>
        <v>2390</v>
      </c>
      <c r="N283" s="8">
        <f>+Données!K283</f>
        <v>0</v>
      </c>
      <c r="O283" s="8">
        <f>(Données!L283/Données!Y283)*1</f>
        <v>65089.35</v>
      </c>
      <c r="P283" s="343">
        <f t="shared" si="14"/>
        <v>999264.13</v>
      </c>
      <c r="Q283" s="173">
        <f>+Données!X283</f>
        <v>77</v>
      </c>
      <c r="R283" s="343">
        <f t="shared" si="15"/>
        <v>12977.456233766234</v>
      </c>
    </row>
    <row r="284" spans="1:18" x14ac:dyDescent="0.25">
      <c r="A284" s="7">
        <f>Données!A284</f>
        <v>5911</v>
      </c>
      <c r="B284" s="27" t="str">
        <f>Données!B284</f>
        <v>Cuarny</v>
      </c>
      <c r="C284" s="8">
        <f>Données!C284+Données!D284</f>
        <v>539889</v>
      </c>
      <c r="D284" s="8">
        <f>+Données!G284+Données!H284+Données!S284</f>
        <v>8506.69</v>
      </c>
      <c r="E284" s="8">
        <f>+Données!E284</f>
        <v>0</v>
      </c>
      <c r="F284" s="8">
        <f>+Données!I284</f>
        <v>0</v>
      </c>
      <c r="G284" s="8">
        <f>+Données!J284</f>
        <v>16588.580000000002</v>
      </c>
      <c r="H284" s="8">
        <f>Données!U284</f>
        <v>-3578.63</v>
      </c>
      <c r="I284" s="152">
        <f>Données!V284</f>
        <v>0</v>
      </c>
      <c r="J284" s="152">
        <f>Données!W284</f>
        <v>-379.95</v>
      </c>
      <c r="K284" s="8">
        <f>+Données!Q284</f>
        <v>0</v>
      </c>
      <c r="L284" s="343">
        <f t="shared" si="13"/>
        <v>561025.68999999994</v>
      </c>
      <c r="M284" s="8">
        <f>+Données!F284</f>
        <v>1760</v>
      </c>
      <c r="N284" s="8">
        <f>+Données!K284</f>
        <v>2200.0500000000002</v>
      </c>
      <c r="O284" s="8">
        <f>(Données!L284/Données!Y284)*1</f>
        <v>37082.800000000003</v>
      </c>
      <c r="P284" s="343">
        <f t="shared" si="14"/>
        <v>602068.54</v>
      </c>
      <c r="Q284" s="173">
        <f>+Données!X284</f>
        <v>77</v>
      </c>
      <c r="R284" s="343">
        <f t="shared" si="15"/>
        <v>7819.0719480519483</v>
      </c>
    </row>
    <row r="285" spans="1:18" x14ac:dyDescent="0.25">
      <c r="A285" s="7">
        <f>Données!A285</f>
        <v>5912</v>
      </c>
      <c r="B285" s="27" t="str">
        <f>Données!B285</f>
        <v>Démoret</v>
      </c>
      <c r="C285" s="8">
        <f>Données!C285+Données!D285</f>
        <v>282990.7</v>
      </c>
      <c r="D285" s="8">
        <f>+Données!G285+Données!H285+Données!S285</f>
        <v>5145.43</v>
      </c>
      <c r="E285" s="8">
        <f>+Données!E285</f>
        <v>0</v>
      </c>
      <c r="F285" s="8">
        <f>+Données!I285</f>
        <v>0</v>
      </c>
      <c r="G285" s="8">
        <f>+Données!J285</f>
        <v>4809.9799999999996</v>
      </c>
      <c r="H285" s="8">
        <f>Données!U285</f>
        <v>-22608.04</v>
      </c>
      <c r="I285" s="152">
        <f>Données!V285</f>
        <v>0</v>
      </c>
      <c r="J285" s="152">
        <f>Données!W285</f>
        <v>-1.25</v>
      </c>
      <c r="K285" s="8">
        <f>+Données!Q285</f>
        <v>2001.9</v>
      </c>
      <c r="L285" s="343">
        <f t="shared" si="13"/>
        <v>272338.72000000003</v>
      </c>
      <c r="M285" s="8">
        <f>+Données!F285</f>
        <v>930</v>
      </c>
      <c r="N285" s="8">
        <f>+Données!K285</f>
        <v>-188</v>
      </c>
      <c r="O285" s="8">
        <f>(Données!L285/Données!Y285)*1</f>
        <v>24163.4</v>
      </c>
      <c r="P285" s="343">
        <f t="shared" si="14"/>
        <v>297244.12000000005</v>
      </c>
      <c r="Q285" s="173">
        <f>+Données!X285</f>
        <v>78</v>
      </c>
      <c r="R285" s="343">
        <f t="shared" si="15"/>
        <v>3810.8220512820521</v>
      </c>
    </row>
    <row r="286" spans="1:18" x14ac:dyDescent="0.25">
      <c r="A286" s="7">
        <f>Données!A286</f>
        <v>5913</v>
      </c>
      <c r="B286" s="27" t="str">
        <f>Données!B286</f>
        <v>Donneloye</v>
      </c>
      <c r="C286" s="8">
        <f>Données!C286+Données!D286</f>
        <v>1375533.3</v>
      </c>
      <c r="D286" s="8">
        <f>+Données!G286+Données!H286+Données!S286</f>
        <v>45218.380000000005</v>
      </c>
      <c r="E286" s="8">
        <f>+Données!E286</f>
        <v>0</v>
      </c>
      <c r="F286" s="8">
        <f>+Données!I286</f>
        <v>0</v>
      </c>
      <c r="G286" s="8">
        <f>+Données!J286</f>
        <v>14736.34</v>
      </c>
      <c r="H286" s="8">
        <f>Données!U286</f>
        <v>-49431.519999999997</v>
      </c>
      <c r="I286" s="152">
        <f>Données!V286</f>
        <v>0</v>
      </c>
      <c r="J286" s="152">
        <f>Données!W286</f>
        <v>0</v>
      </c>
      <c r="K286" s="8">
        <f>+Données!Q286</f>
        <v>37949.4</v>
      </c>
      <c r="L286" s="343">
        <f t="shared" si="13"/>
        <v>1424005.9000000001</v>
      </c>
      <c r="M286" s="8">
        <f>+Données!F286</f>
        <v>0</v>
      </c>
      <c r="N286" s="8">
        <f>+Données!K286</f>
        <v>1178.2</v>
      </c>
      <c r="O286" s="8">
        <f>(Données!L286/Données!Y286)*1</f>
        <v>128823</v>
      </c>
      <c r="P286" s="343">
        <f t="shared" si="14"/>
        <v>1554007.1</v>
      </c>
      <c r="Q286" s="173">
        <f>+Données!X286</f>
        <v>73</v>
      </c>
      <c r="R286" s="343">
        <f t="shared" si="15"/>
        <v>21287.768493150685</v>
      </c>
    </row>
    <row r="287" spans="1:18" x14ac:dyDescent="0.25">
      <c r="A287" s="7">
        <f>Données!A287</f>
        <v>5914</v>
      </c>
      <c r="B287" s="27" t="str">
        <f>Données!B287</f>
        <v>Ependes</v>
      </c>
      <c r="C287" s="8">
        <f>Données!C287+Données!D287</f>
        <v>720986.81</v>
      </c>
      <c r="D287" s="8">
        <f>+Données!G287+Données!H287+Données!S287</f>
        <v>18738.52</v>
      </c>
      <c r="E287" s="8">
        <f>+Données!E287</f>
        <v>0</v>
      </c>
      <c r="F287" s="8">
        <f>+Données!I287</f>
        <v>0</v>
      </c>
      <c r="G287" s="8">
        <f>+Données!J287</f>
        <v>21490.28</v>
      </c>
      <c r="H287" s="8">
        <f>Données!U287</f>
        <v>-9012.41</v>
      </c>
      <c r="I287" s="152">
        <f>Données!V287</f>
        <v>0</v>
      </c>
      <c r="J287" s="152">
        <f>Données!W287</f>
        <v>0</v>
      </c>
      <c r="K287" s="8">
        <f>+Données!Q287</f>
        <v>1110.5</v>
      </c>
      <c r="L287" s="343">
        <f t="shared" si="13"/>
        <v>753313.70000000007</v>
      </c>
      <c r="M287" s="8">
        <f>+Données!F287</f>
        <v>2150.85</v>
      </c>
      <c r="N287" s="8">
        <f>+Données!K287</f>
        <v>7972.35</v>
      </c>
      <c r="O287" s="8">
        <f>(Données!L287/Données!Y287)*1</f>
        <v>66338.5</v>
      </c>
      <c r="P287" s="343">
        <f t="shared" si="14"/>
        <v>829775.4</v>
      </c>
      <c r="Q287" s="173">
        <f>+Données!X287</f>
        <v>73.5</v>
      </c>
      <c r="R287" s="343">
        <f t="shared" si="15"/>
        <v>11289.461224489796</v>
      </c>
    </row>
    <row r="288" spans="1:18" x14ac:dyDescent="0.25">
      <c r="A288" s="7">
        <f>Données!A288</f>
        <v>5919</v>
      </c>
      <c r="B288" s="27" t="str">
        <f>Données!B288</f>
        <v>Mathod</v>
      </c>
      <c r="C288" s="8">
        <f>Données!C288+Données!D288</f>
        <v>1268014.96</v>
      </c>
      <c r="D288" s="8">
        <f>+Données!G288+Données!H288+Données!S288</f>
        <v>30846.38</v>
      </c>
      <c r="E288" s="8">
        <f>+Données!E288</f>
        <v>0</v>
      </c>
      <c r="F288" s="8">
        <f>+Données!I288</f>
        <v>0</v>
      </c>
      <c r="G288" s="8">
        <f>+Données!J288</f>
        <v>33502.550000000003</v>
      </c>
      <c r="H288" s="8">
        <f>Données!U288</f>
        <v>-18264.88</v>
      </c>
      <c r="I288" s="152">
        <f>Données!V288</f>
        <v>0</v>
      </c>
      <c r="J288" s="152">
        <f>Données!W288</f>
        <v>0</v>
      </c>
      <c r="K288" s="8">
        <f>+Données!Q288</f>
        <v>3960.64</v>
      </c>
      <c r="L288" s="343">
        <f t="shared" si="13"/>
        <v>1318059.6499999999</v>
      </c>
      <c r="M288" s="8">
        <f>+Données!F288</f>
        <v>4120</v>
      </c>
      <c r="N288" s="8">
        <f>+Données!K288</f>
        <v>11062.05</v>
      </c>
      <c r="O288" s="8">
        <f>(Données!L288/Données!Y288)*1</f>
        <v>135405.125</v>
      </c>
      <c r="P288" s="343">
        <f t="shared" si="14"/>
        <v>1468646.825</v>
      </c>
      <c r="Q288" s="173">
        <f>+Données!X288</f>
        <v>72</v>
      </c>
      <c r="R288" s="343">
        <f t="shared" si="15"/>
        <v>20397.872569444444</v>
      </c>
    </row>
    <row r="289" spans="1:18" x14ac:dyDescent="0.25">
      <c r="A289" s="7">
        <f>Données!A289</f>
        <v>5921</v>
      </c>
      <c r="B289" s="27" t="str">
        <f>Données!B289</f>
        <v>Molondin</v>
      </c>
      <c r="C289" s="8">
        <f>Données!C289+Données!D289</f>
        <v>392327.62</v>
      </c>
      <c r="D289" s="8">
        <f>+Données!G289+Données!H289+Données!S289</f>
        <v>112.92999999999999</v>
      </c>
      <c r="E289" s="8">
        <f>+Données!E289</f>
        <v>0</v>
      </c>
      <c r="F289" s="8">
        <f>+Données!I289</f>
        <v>0</v>
      </c>
      <c r="G289" s="8">
        <f>+Données!J289</f>
        <v>19207.240000000002</v>
      </c>
      <c r="H289" s="8">
        <f>Données!U289</f>
        <v>-7314.8</v>
      </c>
      <c r="I289" s="152">
        <f>Données!V289</f>
        <v>0</v>
      </c>
      <c r="J289" s="152">
        <f>Données!W289</f>
        <v>0</v>
      </c>
      <c r="K289" s="8">
        <f>+Données!Q289</f>
        <v>0</v>
      </c>
      <c r="L289" s="343">
        <f t="shared" si="13"/>
        <v>404332.99</v>
      </c>
      <c r="M289" s="8">
        <f>+Données!F289</f>
        <v>1570.05</v>
      </c>
      <c r="N289" s="8">
        <f>+Données!K289</f>
        <v>0</v>
      </c>
      <c r="O289" s="8">
        <f>(Données!L289/Données!Y289)*1</f>
        <v>35925.550000000003</v>
      </c>
      <c r="P289" s="343">
        <f t="shared" si="14"/>
        <v>441828.58999999997</v>
      </c>
      <c r="Q289" s="173">
        <f>+Données!X289</f>
        <v>81</v>
      </c>
      <c r="R289" s="343">
        <f t="shared" si="15"/>
        <v>5454.6739506172835</v>
      </c>
    </row>
    <row r="290" spans="1:18" x14ac:dyDescent="0.25">
      <c r="A290" s="7">
        <f>Données!A290</f>
        <v>5922</v>
      </c>
      <c r="B290" s="27" t="str">
        <f>Données!B290</f>
        <v>Montagny-près-Yverdon</v>
      </c>
      <c r="C290" s="8">
        <f>Données!C290+Données!D290</f>
        <v>1601914.68</v>
      </c>
      <c r="D290" s="8">
        <f>+Données!G290+Données!H290+Données!S290</f>
        <v>502251.05999999994</v>
      </c>
      <c r="E290" s="8">
        <f>+Données!E290</f>
        <v>0</v>
      </c>
      <c r="F290" s="8">
        <f>+Données!I290</f>
        <v>0</v>
      </c>
      <c r="G290" s="8">
        <f>+Données!J290</f>
        <v>100374.82</v>
      </c>
      <c r="H290" s="8">
        <f>Données!U290</f>
        <v>-26181.31</v>
      </c>
      <c r="I290" s="152">
        <f>Données!V290</f>
        <v>0</v>
      </c>
      <c r="J290" s="152">
        <f>Données!W290</f>
        <v>-335.15</v>
      </c>
      <c r="K290" s="8">
        <f>+Données!Q290</f>
        <v>2191.33</v>
      </c>
      <c r="L290" s="343">
        <f t="shared" si="13"/>
        <v>2180215.4299999997</v>
      </c>
      <c r="M290" s="8">
        <f>+Données!F290</f>
        <v>0</v>
      </c>
      <c r="N290" s="8">
        <f>+Données!K290</f>
        <v>57955.85</v>
      </c>
      <c r="O290" s="8">
        <f>(Données!L290/Données!Y290)*1</f>
        <v>336311.68749999994</v>
      </c>
      <c r="P290" s="343">
        <f t="shared" si="14"/>
        <v>2574482.9674999998</v>
      </c>
      <c r="Q290" s="173">
        <f>+Données!X290</f>
        <v>64.5</v>
      </c>
      <c r="R290" s="343">
        <f t="shared" si="15"/>
        <v>39914.464612403099</v>
      </c>
    </row>
    <row r="291" spans="1:18" x14ac:dyDescent="0.25">
      <c r="A291" s="7">
        <f>Données!A291</f>
        <v>5923</v>
      </c>
      <c r="B291" s="27" t="str">
        <f>Données!B291</f>
        <v>Oppens</v>
      </c>
      <c r="C291" s="8">
        <f>Données!C291+Données!D291</f>
        <v>427962.47000000003</v>
      </c>
      <c r="D291" s="8">
        <f>+Données!G291+Données!H291+Données!S291</f>
        <v>31442.219999999998</v>
      </c>
      <c r="E291" s="8">
        <f>+Données!E291</f>
        <v>0</v>
      </c>
      <c r="F291" s="8">
        <f>+Données!I291</f>
        <v>0</v>
      </c>
      <c r="G291" s="8">
        <f>+Données!J291</f>
        <v>9417.2800000000007</v>
      </c>
      <c r="H291" s="8">
        <f>Données!U291</f>
        <v>-59.8</v>
      </c>
      <c r="I291" s="152">
        <f>Données!V291</f>
        <v>0</v>
      </c>
      <c r="J291" s="152">
        <f>Données!W291</f>
        <v>0</v>
      </c>
      <c r="K291" s="8">
        <f>+Données!Q291</f>
        <v>0</v>
      </c>
      <c r="L291" s="343">
        <f t="shared" si="13"/>
        <v>468762.17000000004</v>
      </c>
      <c r="M291" s="8">
        <f>+Données!F291</f>
        <v>0</v>
      </c>
      <c r="N291" s="8">
        <f>+Données!K291</f>
        <v>0</v>
      </c>
      <c r="O291" s="8">
        <f>(Données!L291/Données!Y291)*1</f>
        <v>27502.1</v>
      </c>
      <c r="P291" s="343">
        <f t="shared" si="14"/>
        <v>496264.27</v>
      </c>
      <c r="Q291" s="173">
        <f>+Données!X291</f>
        <v>81</v>
      </c>
      <c r="R291" s="343">
        <f t="shared" si="15"/>
        <v>6126.7193827160499</v>
      </c>
    </row>
    <row r="292" spans="1:18" x14ac:dyDescent="0.25">
      <c r="A292" s="7">
        <f>Données!A292</f>
        <v>5924</v>
      </c>
      <c r="B292" s="27" t="str">
        <f>Données!B292</f>
        <v>Orges</v>
      </c>
      <c r="C292" s="8">
        <f>Données!C292+Données!D292</f>
        <v>847937.23</v>
      </c>
      <c r="D292" s="8">
        <f>+Données!G292+Données!H292+Données!S292</f>
        <v>-3539.46</v>
      </c>
      <c r="E292" s="8">
        <f>+Données!E292</f>
        <v>0</v>
      </c>
      <c r="F292" s="8">
        <f>+Données!I292</f>
        <v>0</v>
      </c>
      <c r="G292" s="8">
        <f>+Données!J292</f>
        <v>9462.26</v>
      </c>
      <c r="H292" s="8">
        <f>Données!U292</f>
        <v>-1760.31</v>
      </c>
      <c r="I292" s="152">
        <f>Données!V292</f>
        <v>0</v>
      </c>
      <c r="J292" s="152">
        <f>Données!W292</f>
        <v>-170.74</v>
      </c>
      <c r="K292" s="8">
        <f>+Données!Q292</f>
        <v>0</v>
      </c>
      <c r="L292" s="343">
        <f t="shared" si="13"/>
        <v>851928.98</v>
      </c>
      <c r="M292" s="8">
        <f>+Données!F292</f>
        <v>0</v>
      </c>
      <c r="N292" s="8">
        <f>+Données!K292</f>
        <v>0</v>
      </c>
      <c r="O292" s="8">
        <f>(Données!L292/Données!Y292)*1</f>
        <v>65807.45</v>
      </c>
      <c r="P292" s="343">
        <f t="shared" si="14"/>
        <v>917736.42999999993</v>
      </c>
      <c r="Q292" s="173">
        <f>+Données!X292</f>
        <v>74</v>
      </c>
      <c r="R292" s="343">
        <f t="shared" si="15"/>
        <v>12401.843648648648</v>
      </c>
    </row>
    <row r="293" spans="1:18" x14ac:dyDescent="0.25">
      <c r="A293" s="7">
        <f>Données!A293</f>
        <v>5925</v>
      </c>
      <c r="B293" s="27" t="str">
        <f>Données!B293</f>
        <v>Orzens</v>
      </c>
      <c r="C293" s="8">
        <f>Données!C293+Données!D293</f>
        <v>411105.65</v>
      </c>
      <c r="D293" s="8">
        <f>+Données!G293+Données!H293+Données!S293</f>
        <v>14624.72</v>
      </c>
      <c r="E293" s="8">
        <f>+Données!E293</f>
        <v>0</v>
      </c>
      <c r="F293" s="8">
        <f>+Données!I293</f>
        <v>0</v>
      </c>
      <c r="G293" s="8">
        <f>+Données!J293</f>
        <v>7444.58</v>
      </c>
      <c r="H293" s="8">
        <f>Données!U293</f>
        <v>-6656.94</v>
      </c>
      <c r="I293" s="152">
        <f>Données!V293</f>
        <v>0</v>
      </c>
      <c r="J293" s="152">
        <f>Données!W293</f>
        <v>0</v>
      </c>
      <c r="K293" s="8">
        <f>+Données!Q293</f>
        <v>345.28</v>
      </c>
      <c r="L293" s="343">
        <f t="shared" si="13"/>
        <v>426863.29000000004</v>
      </c>
      <c r="M293" s="8">
        <f>+Données!F293</f>
        <v>1240</v>
      </c>
      <c r="N293" s="8">
        <f>+Données!K293</f>
        <v>0</v>
      </c>
      <c r="O293" s="8">
        <f>(Données!L293/Données!Y293)*1</f>
        <v>34728.699999999997</v>
      </c>
      <c r="P293" s="343">
        <f t="shared" si="14"/>
        <v>462831.99000000005</v>
      </c>
      <c r="Q293" s="173">
        <f>+Données!X293</f>
        <v>79</v>
      </c>
      <c r="R293" s="343">
        <f t="shared" si="15"/>
        <v>5858.6327848101273</v>
      </c>
    </row>
    <row r="294" spans="1:18" x14ac:dyDescent="0.25">
      <c r="A294" s="7">
        <f>Données!A294</f>
        <v>5926</v>
      </c>
      <c r="B294" s="27" t="str">
        <f>Données!B294</f>
        <v>Pomy</v>
      </c>
      <c r="C294" s="8">
        <f>Données!C294+Données!D294</f>
        <v>1721819.3599999999</v>
      </c>
      <c r="D294" s="8">
        <f>+Données!G294+Données!H294+Données!S294</f>
        <v>53927.57</v>
      </c>
      <c r="E294" s="8">
        <f>+Données!E294</f>
        <v>0</v>
      </c>
      <c r="F294" s="8">
        <f>+Données!I294</f>
        <v>0</v>
      </c>
      <c r="G294" s="8">
        <f>+Données!J294</f>
        <v>27263.96</v>
      </c>
      <c r="H294" s="8">
        <f>Données!U294</f>
        <v>-11626.05</v>
      </c>
      <c r="I294" s="152">
        <f>Données!V294</f>
        <v>0</v>
      </c>
      <c r="J294" s="152">
        <f>Données!W294</f>
        <v>-66.23</v>
      </c>
      <c r="K294" s="8">
        <f>+Données!Q294</f>
        <v>0</v>
      </c>
      <c r="L294" s="343">
        <f t="shared" si="13"/>
        <v>1791318.6099999999</v>
      </c>
      <c r="M294" s="8">
        <f>+Données!F294</f>
        <v>0</v>
      </c>
      <c r="N294" s="8">
        <f>+Données!K294</f>
        <v>0</v>
      </c>
      <c r="O294" s="8">
        <f>(Données!L294/Données!Y294)*1</f>
        <v>143755.65</v>
      </c>
      <c r="P294" s="343">
        <f t="shared" si="14"/>
        <v>1935074.2599999998</v>
      </c>
      <c r="Q294" s="173">
        <f>+Données!X294</f>
        <v>71</v>
      </c>
      <c r="R294" s="343">
        <f t="shared" si="15"/>
        <v>27254.567042253519</v>
      </c>
    </row>
    <row r="295" spans="1:18" x14ac:dyDescent="0.25">
      <c r="A295" s="7">
        <f>Données!A295</f>
        <v>5928</v>
      </c>
      <c r="B295" s="27" t="str">
        <f>Données!B295</f>
        <v>Rovray</v>
      </c>
      <c r="C295" s="8">
        <f>Données!C295+Données!D295</f>
        <v>385545.3</v>
      </c>
      <c r="D295" s="8">
        <f>+Données!G295+Données!H295+Données!S295</f>
        <v>4408.54</v>
      </c>
      <c r="E295" s="8">
        <f>+Données!E295</f>
        <v>0</v>
      </c>
      <c r="F295" s="8">
        <f>+Données!I295</f>
        <v>0</v>
      </c>
      <c r="G295" s="8">
        <f>+Données!J295</f>
        <v>-12218.61</v>
      </c>
      <c r="H295" s="8">
        <f>Données!U295</f>
        <v>-5695.56</v>
      </c>
      <c r="I295" s="152">
        <f>Données!V295</f>
        <v>0</v>
      </c>
      <c r="J295" s="152">
        <f>Données!W295</f>
        <v>0</v>
      </c>
      <c r="K295" s="8">
        <f>+Données!Q295</f>
        <v>0</v>
      </c>
      <c r="L295" s="343">
        <f t="shared" si="13"/>
        <v>372039.67</v>
      </c>
      <c r="M295" s="8">
        <f>+Données!F295</f>
        <v>0</v>
      </c>
      <c r="N295" s="8">
        <f>+Données!K295</f>
        <v>0</v>
      </c>
      <c r="O295" s="8">
        <f>(Données!L295/Données!Y295)*1</f>
        <v>27791.7</v>
      </c>
      <c r="P295" s="343">
        <f t="shared" si="14"/>
        <v>399831.37</v>
      </c>
      <c r="Q295" s="173">
        <f>+Données!X295</f>
        <v>73</v>
      </c>
      <c r="R295" s="343">
        <f t="shared" si="15"/>
        <v>5477.1420547945208</v>
      </c>
    </row>
    <row r="296" spans="1:18" x14ac:dyDescent="0.25">
      <c r="A296" s="7">
        <f>Données!A296</f>
        <v>5929</v>
      </c>
      <c r="B296" s="27" t="str">
        <f>Données!B296</f>
        <v>Suchy</v>
      </c>
      <c r="C296" s="8">
        <f>Données!C296+Données!D296</f>
        <v>1243974.99</v>
      </c>
      <c r="D296" s="8">
        <f>+Données!G296+Données!H296+Données!S296</f>
        <v>55178.66</v>
      </c>
      <c r="E296" s="8">
        <f>+Données!E296</f>
        <v>0</v>
      </c>
      <c r="F296" s="8">
        <f>+Données!I296</f>
        <v>130223.1</v>
      </c>
      <c r="G296" s="8">
        <f>+Données!J296</f>
        <v>17648.810000000001</v>
      </c>
      <c r="H296" s="8">
        <f>Données!U296</f>
        <v>-14054.06</v>
      </c>
      <c r="I296" s="152">
        <f>Données!V296</f>
        <v>0</v>
      </c>
      <c r="J296" s="152">
        <f>Données!W296</f>
        <v>-190.7</v>
      </c>
      <c r="K296" s="8">
        <f>+Données!Q296</f>
        <v>6029.31</v>
      </c>
      <c r="L296" s="343">
        <f t="shared" si="13"/>
        <v>1438810.11</v>
      </c>
      <c r="M296" s="8">
        <f>+Données!F296</f>
        <v>0</v>
      </c>
      <c r="N296" s="8">
        <f>+Données!K296</f>
        <v>0</v>
      </c>
      <c r="O296" s="8">
        <f>(Données!L296/Données!Y296)*1</f>
        <v>117553.62499999999</v>
      </c>
      <c r="P296" s="343">
        <f t="shared" si="14"/>
        <v>1556363.7350000001</v>
      </c>
      <c r="Q296" s="173">
        <f>+Données!X296</f>
        <v>70</v>
      </c>
      <c r="R296" s="343">
        <f t="shared" si="15"/>
        <v>22233.767642857143</v>
      </c>
    </row>
    <row r="297" spans="1:18" s="156" customFormat="1" x14ac:dyDescent="0.25">
      <c r="A297" s="7">
        <f>Données!A297</f>
        <v>5930</v>
      </c>
      <c r="B297" s="27" t="str">
        <f>Données!B297</f>
        <v>Suscévaz</v>
      </c>
      <c r="C297" s="8">
        <f>Données!C297+Données!D297</f>
        <v>391733.07</v>
      </c>
      <c r="D297" s="8">
        <f>+Données!G297+Données!H297+Données!S297</f>
        <v>343.28</v>
      </c>
      <c r="E297" s="8">
        <f>+Données!E297</f>
        <v>0</v>
      </c>
      <c r="F297" s="8">
        <f>+Données!I297</f>
        <v>0</v>
      </c>
      <c r="G297" s="8">
        <f>+Données!J297</f>
        <v>9056.2900000000009</v>
      </c>
      <c r="H297" s="8">
        <f>Données!U297</f>
        <v>-1282.25</v>
      </c>
      <c r="I297" s="152">
        <f>Données!V297</f>
        <v>0</v>
      </c>
      <c r="J297" s="152">
        <f>Données!W297</f>
        <v>-487.1</v>
      </c>
      <c r="K297" s="8">
        <f>+Données!Q297</f>
        <v>0</v>
      </c>
      <c r="L297" s="343">
        <f t="shared" si="13"/>
        <v>399363.29000000004</v>
      </c>
      <c r="M297" s="8">
        <f>+Données!F297</f>
        <v>1170</v>
      </c>
      <c r="N297" s="8">
        <f>+Données!K297</f>
        <v>516.1</v>
      </c>
      <c r="O297" s="8">
        <f>(Données!L297/Données!Y297)*1</f>
        <v>31795.3</v>
      </c>
      <c r="P297" s="343">
        <f t="shared" si="14"/>
        <v>432844.69</v>
      </c>
      <c r="Q297" s="173">
        <f>+Données!X297</f>
        <v>72</v>
      </c>
      <c r="R297" s="343">
        <f t="shared" si="15"/>
        <v>6011.7318055555552</v>
      </c>
    </row>
    <row r="298" spans="1:18" x14ac:dyDescent="0.25">
      <c r="A298" s="7">
        <f>Données!A298</f>
        <v>5931</v>
      </c>
      <c r="B298" s="27" t="str">
        <f>Données!B298</f>
        <v>Treycovagnes</v>
      </c>
      <c r="C298" s="8">
        <f>Données!C298+Données!D298</f>
        <v>1035175.19</v>
      </c>
      <c r="D298" s="8">
        <f>+Données!G298+Données!H298+Données!S298</f>
        <v>47334.559999999998</v>
      </c>
      <c r="E298" s="8">
        <f>+Données!E298</f>
        <v>0</v>
      </c>
      <c r="F298" s="8">
        <f>+Données!I298</f>
        <v>0</v>
      </c>
      <c r="G298" s="8">
        <f>+Données!J298</f>
        <v>11908.65</v>
      </c>
      <c r="H298" s="8">
        <f>Données!U298</f>
        <v>-8676.1200000000008</v>
      </c>
      <c r="I298" s="152">
        <f>Données!V298</f>
        <v>0</v>
      </c>
      <c r="J298" s="152">
        <f>Données!W298</f>
        <v>-45.9</v>
      </c>
      <c r="K298" s="8">
        <f>+Données!Q298</f>
        <v>3351.92</v>
      </c>
      <c r="L298" s="343">
        <f t="shared" si="13"/>
        <v>1089048.2999999998</v>
      </c>
      <c r="M298" s="8">
        <f>+Données!F298</f>
        <v>0</v>
      </c>
      <c r="N298" s="8">
        <f>+Données!K298</f>
        <v>1295.9000000000001</v>
      </c>
      <c r="O298" s="8">
        <f>(Données!L298/Données!Y298)*1</f>
        <v>90313.75</v>
      </c>
      <c r="P298" s="343">
        <f t="shared" si="14"/>
        <v>1180657.9499999997</v>
      </c>
      <c r="Q298" s="173">
        <f>+Données!X298</f>
        <v>73</v>
      </c>
      <c r="R298" s="343">
        <f t="shared" si="15"/>
        <v>16173.396575342462</v>
      </c>
    </row>
    <row r="299" spans="1:18" x14ac:dyDescent="0.25">
      <c r="A299" s="7">
        <f>Données!A299</f>
        <v>5932</v>
      </c>
      <c r="B299" s="27" t="str">
        <f>Données!B299</f>
        <v>Ursins</v>
      </c>
      <c r="C299" s="8">
        <f>Données!C299+Données!D299</f>
        <v>567092.27</v>
      </c>
      <c r="D299" s="8">
        <f>+Données!G299+Données!H299+Données!S299</f>
        <v>1091.6600000000001</v>
      </c>
      <c r="E299" s="8">
        <f>+Données!E299</f>
        <v>0</v>
      </c>
      <c r="F299" s="8">
        <f>+Données!I299</f>
        <v>46721.8</v>
      </c>
      <c r="G299" s="8">
        <f>+Données!J299</f>
        <v>2259.96</v>
      </c>
      <c r="H299" s="8">
        <f>Données!U299</f>
        <v>-4552.71</v>
      </c>
      <c r="I299" s="152">
        <f>Données!V299</f>
        <v>0</v>
      </c>
      <c r="J299" s="152">
        <f>Données!W299</f>
        <v>-171.55</v>
      </c>
      <c r="K299" s="8">
        <f>+Données!Q299</f>
        <v>2609.14</v>
      </c>
      <c r="L299" s="343">
        <f t="shared" si="13"/>
        <v>615050.57000000007</v>
      </c>
      <c r="M299" s="8">
        <f>+Données!F299</f>
        <v>1380</v>
      </c>
      <c r="N299" s="8">
        <f>+Données!K299</f>
        <v>819.5</v>
      </c>
      <c r="O299" s="8">
        <f>(Données!L299/Données!Y299)*1</f>
        <v>33684.6</v>
      </c>
      <c r="P299" s="343">
        <f t="shared" si="14"/>
        <v>650934.67000000004</v>
      </c>
      <c r="Q299" s="173">
        <f>+Données!X299</f>
        <v>75</v>
      </c>
      <c r="R299" s="343">
        <f t="shared" si="15"/>
        <v>8679.1289333333334</v>
      </c>
    </row>
    <row r="300" spans="1:18" x14ac:dyDescent="0.25">
      <c r="A300" s="7">
        <f>Données!A300</f>
        <v>5933</v>
      </c>
      <c r="B300" s="27" t="str">
        <f>Données!B300</f>
        <v>Valeyres-sous-Montagny</v>
      </c>
      <c r="C300" s="8">
        <f>Données!C300+Données!D300</f>
        <v>1582701.2999999998</v>
      </c>
      <c r="D300" s="8">
        <f>+Données!G300+Données!H300+Données!S300</f>
        <v>25799.16</v>
      </c>
      <c r="E300" s="8">
        <f>+Données!E300</f>
        <v>0</v>
      </c>
      <c r="F300" s="8">
        <f>+Données!I300</f>
        <v>0</v>
      </c>
      <c r="G300" s="8">
        <f>+Données!J300</f>
        <v>12192.44</v>
      </c>
      <c r="H300" s="8">
        <f>Données!U300</f>
        <v>-148381.39000000001</v>
      </c>
      <c r="I300" s="152">
        <f>Données!V300</f>
        <v>0</v>
      </c>
      <c r="J300" s="152">
        <f>Données!W300</f>
        <v>0</v>
      </c>
      <c r="K300" s="8">
        <f>+Données!Q300</f>
        <v>2425.1999999999998</v>
      </c>
      <c r="L300" s="343">
        <f t="shared" si="13"/>
        <v>1474736.7099999997</v>
      </c>
      <c r="M300" s="8">
        <f>+Données!F300</f>
        <v>0</v>
      </c>
      <c r="N300" s="8">
        <f>+Données!K300</f>
        <v>3427.05</v>
      </c>
      <c r="O300" s="8">
        <f>(Données!L300/Données!Y300)*1</f>
        <v>126626.05</v>
      </c>
      <c r="P300" s="343">
        <f t="shared" si="14"/>
        <v>1604789.8099999998</v>
      </c>
      <c r="Q300" s="173">
        <f>+Données!X300</f>
        <v>70.5</v>
      </c>
      <c r="R300" s="343">
        <f t="shared" si="15"/>
        <v>22762.97602836879</v>
      </c>
    </row>
    <row r="301" spans="1:18" x14ac:dyDescent="0.25">
      <c r="A301" s="7">
        <f>Données!A301</f>
        <v>5934</v>
      </c>
      <c r="B301" s="27" t="str">
        <f>Données!B301</f>
        <v>Valeyres-sous-Ursins</v>
      </c>
      <c r="C301" s="8">
        <f>Données!C301+Données!D301</f>
        <v>539253.01</v>
      </c>
      <c r="D301" s="8">
        <f>+Données!G301+Données!H301+Données!S301</f>
        <v>455.82</v>
      </c>
      <c r="E301" s="8">
        <f>+Données!E301</f>
        <v>0</v>
      </c>
      <c r="F301" s="8">
        <f>+Données!I301</f>
        <v>0</v>
      </c>
      <c r="G301" s="8">
        <f>+Données!J301</f>
        <v>7990.4</v>
      </c>
      <c r="H301" s="8">
        <f>Données!U301</f>
        <v>-6727.83</v>
      </c>
      <c r="I301" s="152">
        <f>Données!V301</f>
        <v>0</v>
      </c>
      <c r="J301" s="152">
        <f>Données!W301</f>
        <v>0</v>
      </c>
      <c r="K301" s="8">
        <f>+Données!Q301</f>
        <v>2478.0700000000002</v>
      </c>
      <c r="L301" s="343">
        <f t="shared" si="13"/>
        <v>543449.47</v>
      </c>
      <c r="M301" s="8">
        <f>+Données!F301</f>
        <v>1480</v>
      </c>
      <c r="N301" s="8">
        <f>+Données!K301</f>
        <v>0</v>
      </c>
      <c r="O301" s="8">
        <f>(Données!L301/Données!Y301)*1</f>
        <v>31262.7</v>
      </c>
      <c r="P301" s="343">
        <f t="shared" si="14"/>
        <v>576192.16999999993</v>
      </c>
      <c r="Q301" s="173">
        <f>+Données!X301</f>
        <v>77</v>
      </c>
      <c r="R301" s="343">
        <f t="shared" si="15"/>
        <v>7483.0151948051935</v>
      </c>
    </row>
    <row r="302" spans="1:18" x14ac:dyDescent="0.25">
      <c r="A302" s="7">
        <f>Données!A302</f>
        <v>5935</v>
      </c>
      <c r="B302" s="27" t="str">
        <f>Données!B302</f>
        <v>Villars-Epeney</v>
      </c>
      <c r="C302" s="8">
        <f>Données!C302+Données!D302</f>
        <v>340482.97</v>
      </c>
      <c r="D302" s="8">
        <f>+Données!G302+Données!H302+Données!S302</f>
        <v>2828.6699999999996</v>
      </c>
      <c r="E302" s="8">
        <f>+Données!E302</f>
        <v>0</v>
      </c>
      <c r="F302" s="8">
        <f>+Données!I302</f>
        <v>0</v>
      </c>
      <c r="G302" s="8">
        <f>+Données!J302</f>
        <v>2184.38</v>
      </c>
      <c r="H302" s="8">
        <f>Données!U302</f>
        <v>-88667.92</v>
      </c>
      <c r="I302" s="152">
        <f>Données!V302</f>
        <v>0</v>
      </c>
      <c r="J302" s="152">
        <f>Données!W302</f>
        <v>-654.4</v>
      </c>
      <c r="K302" s="8">
        <f>+Données!Q302</f>
        <v>0</v>
      </c>
      <c r="L302" s="343">
        <f t="shared" si="13"/>
        <v>256173.69999999998</v>
      </c>
      <c r="M302" s="8">
        <f>+Données!F302</f>
        <v>0</v>
      </c>
      <c r="N302" s="8">
        <f>+Données!K302</f>
        <v>0</v>
      </c>
      <c r="O302" s="8">
        <f>(Données!L302/Données!Y302)*1</f>
        <v>22043</v>
      </c>
      <c r="P302" s="343">
        <f t="shared" si="14"/>
        <v>278216.69999999995</v>
      </c>
      <c r="Q302" s="173">
        <f>+Données!X302</f>
        <v>68</v>
      </c>
      <c r="R302" s="343">
        <f t="shared" si="15"/>
        <v>4091.4220588235289</v>
      </c>
    </row>
    <row r="303" spans="1:18" x14ac:dyDescent="0.25">
      <c r="A303" s="7">
        <f>Données!A303</f>
        <v>5937</v>
      </c>
      <c r="B303" s="27" t="str">
        <f>Données!B303</f>
        <v>Vugelles-La Mothe</v>
      </c>
      <c r="C303" s="8">
        <f>Données!C303+Données!D303</f>
        <v>243338.15</v>
      </c>
      <c r="D303" s="8">
        <f>+Données!G303+Données!H303+Données!S303</f>
        <v>-2929.3399999999997</v>
      </c>
      <c r="E303" s="8">
        <f>+Données!E303</f>
        <v>0</v>
      </c>
      <c r="F303" s="8">
        <f>+Données!I303</f>
        <v>0</v>
      </c>
      <c r="G303" s="8">
        <f>+Données!J303</f>
        <v>7444.56</v>
      </c>
      <c r="H303" s="8">
        <f>Données!U303</f>
        <v>-1093.04</v>
      </c>
      <c r="I303" s="152">
        <f>Données!V303</f>
        <v>0</v>
      </c>
      <c r="J303" s="152">
        <f>Données!W303</f>
        <v>-0.7</v>
      </c>
      <c r="K303" s="8">
        <f>+Données!Q303</f>
        <v>-0.01</v>
      </c>
      <c r="L303" s="343">
        <f t="shared" si="13"/>
        <v>246759.61999999997</v>
      </c>
      <c r="M303" s="8">
        <f>+Données!F303</f>
        <v>0</v>
      </c>
      <c r="N303" s="8">
        <f>+Données!K303</f>
        <v>0</v>
      </c>
      <c r="O303" s="8">
        <f>(Données!L303/Données!Y303)*1</f>
        <v>18821.485714285718</v>
      </c>
      <c r="P303" s="343">
        <f t="shared" si="14"/>
        <v>265581.10571428569</v>
      </c>
      <c r="Q303" s="173">
        <f>+Données!X303</f>
        <v>70</v>
      </c>
      <c r="R303" s="343">
        <f t="shared" si="15"/>
        <v>3794.0157959183671</v>
      </c>
    </row>
    <row r="304" spans="1:18" x14ac:dyDescent="0.25">
      <c r="A304" s="7">
        <f>Données!A304</f>
        <v>5938</v>
      </c>
      <c r="B304" s="27" t="str">
        <f>Données!B304</f>
        <v>Yverdon-les-Bains</v>
      </c>
      <c r="C304" s="8">
        <f>Données!C304+Données!D304</f>
        <v>48476404.689999998</v>
      </c>
      <c r="D304" s="8">
        <f>+Données!G304+Données!H304+Données!S304</f>
        <v>5077008.5399999991</v>
      </c>
      <c r="E304" s="8">
        <f>+Données!E304</f>
        <v>0</v>
      </c>
      <c r="F304" s="8">
        <f>+Données!I304</f>
        <v>0</v>
      </c>
      <c r="G304" s="8">
        <f>+Données!J304</f>
        <v>1872681.12</v>
      </c>
      <c r="H304" s="8">
        <f>Données!U304</f>
        <v>-1372673.88</v>
      </c>
      <c r="I304" s="152">
        <f>Données!V304</f>
        <v>0</v>
      </c>
      <c r="J304" s="152">
        <f>Données!W304</f>
        <v>-12038.06</v>
      </c>
      <c r="K304" s="8">
        <f>+Données!Q304</f>
        <v>233994.66</v>
      </c>
      <c r="L304" s="343">
        <f t="shared" si="13"/>
        <v>54275377.069999985</v>
      </c>
      <c r="M304" s="8">
        <f>+Données!F304</f>
        <v>0</v>
      </c>
      <c r="N304" s="8">
        <f>+Données!K304</f>
        <v>514560.3</v>
      </c>
      <c r="O304" s="8">
        <f>(Données!L304/Données!Y304)*1</f>
        <v>4736239.75</v>
      </c>
      <c r="P304" s="343">
        <f t="shared" si="14"/>
        <v>59526177.119999982</v>
      </c>
      <c r="Q304" s="173">
        <f>+Données!X304</f>
        <v>75</v>
      </c>
      <c r="R304" s="343">
        <f t="shared" si="15"/>
        <v>793682.36159999971</v>
      </c>
    </row>
    <row r="305" spans="1:18" x14ac:dyDescent="0.25">
      <c r="A305" s="7">
        <f>Données!A305</f>
        <v>5939</v>
      </c>
      <c r="B305" s="27" t="str">
        <f>Données!B305</f>
        <v>Yvonand</v>
      </c>
      <c r="C305" s="8">
        <f>Données!C305+Données!D305</f>
        <v>6000110.3700000001</v>
      </c>
      <c r="D305" s="8">
        <f>+Données!G305+Données!H305+Données!S305</f>
        <v>267903.39</v>
      </c>
      <c r="E305" s="8">
        <f>+Données!E305</f>
        <v>0</v>
      </c>
      <c r="F305" s="8">
        <f>+Données!I305</f>
        <v>0</v>
      </c>
      <c r="G305" s="8">
        <f>+Données!J305</f>
        <v>26709.98</v>
      </c>
      <c r="H305" s="8">
        <f>Données!U305</f>
        <v>-95423.01</v>
      </c>
      <c r="I305" s="152">
        <f>Données!V305</f>
        <v>0</v>
      </c>
      <c r="J305" s="152">
        <f>Données!W305</f>
        <v>-777.57</v>
      </c>
      <c r="K305" s="8">
        <f>+Données!Q305</f>
        <v>28954.69</v>
      </c>
      <c r="L305" s="343">
        <f t="shared" si="13"/>
        <v>6227477.8500000006</v>
      </c>
      <c r="M305" s="8">
        <f>+Données!F305</f>
        <v>0</v>
      </c>
      <c r="N305" s="8">
        <f>+Données!K305</f>
        <v>48222.45</v>
      </c>
      <c r="O305" s="8">
        <f>(Données!L305/Données!Y305)*1</f>
        <v>608560.25</v>
      </c>
      <c r="P305" s="343">
        <f t="shared" si="14"/>
        <v>6884260.5500000007</v>
      </c>
      <c r="Q305" s="173">
        <f>+Données!X305</f>
        <v>71.5</v>
      </c>
      <c r="R305" s="343">
        <f t="shared" si="15"/>
        <v>96283.364335664344</v>
      </c>
    </row>
    <row r="306" spans="1:18" x14ac:dyDescent="0.25">
      <c r="A306" s="6"/>
      <c r="B306" s="19">
        <f>COUNTA(B6:B305)</f>
        <v>300</v>
      </c>
      <c r="C306" s="9">
        <f t="shared" ref="C306:P306" si="16">SUM(C6:C305)</f>
        <v>2108897880.9300001</v>
      </c>
      <c r="D306" s="9">
        <f t="shared" si="16"/>
        <v>423196403.19000041</v>
      </c>
      <c r="E306" s="9">
        <f t="shared" si="16"/>
        <v>0</v>
      </c>
      <c r="F306" s="9">
        <f t="shared" si="16"/>
        <v>43181109.470000006</v>
      </c>
      <c r="G306" s="9">
        <f t="shared" si="16"/>
        <v>71524418.810000047</v>
      </c>
      <c r="H306" s="9">
        <f t="shared" si="16"/>
        <v>-29423313.409999982</v>
      </c>
      <c r="I306" s="9">
        <f t="shared" si="16"/>
        <v>0</v>
      </c>
      <c r="J306" s="9">
        <f t="shared" si="16"/>
        <v>-15954331.390000002</v>
      </c>
      <c r="K306" s="9">
        <f t="shared" si="16"/>
        <v>7739439.1199999964</v>
      </c>
      <c r="L306" s="344">
        <f t="shared" si="16"/>
        <v>2609161606.7199979</v>
      </c>
      <c r="M306" s="62">
        <f t="shared" si="16"/>
        <v>122153.15000000001</v>
      </c>
      <c r="N306" s="9">
        <f t="shared" si="16"/>
        <v>22997351.79999999</v>
      </c>
      <c r="O306" s="9">
        <f t="shared" si="16"/>
        <v>197344472.21043557</v>
      </c>
      <c r="P306" s="344">
        <f t="shared" si="16"/>
        <v>2829625583.8804336</v>
      </c>
      <c r="Q306" s="17">
        <f>P306/R306</f>
        <v>67.601275090404883</v>
      </c>
      <c r="R306" s="344">
        <f t="shared" ref="R306" si="17">SUM(R6:R305)</f>
        <v>41857577.09593945</v>
      </c>
    </row>
    <row r="307" spans="1:18" x14ac:dyDescent="0.25">
      <c r="B307" s="11">
        <v>300</v>
      </c>
      <c r="C307" s="5">
        <v>2065648800.29</v>
      </c>
      <c r="D307" s="5">
        <v>423193382.61000037</v>
      </c>
      <c r="E307" s="5">
        <v>0</v>
      </c>
      <c r="F307" s="5">
        <v>42468261.32</v>
      </c>
      <c r="G307" s="5">
        <v>71524418.810000047</v>
      </c>
      <c r="H307" s="5">
        <v>-29013010.519999977</v>
      </c>
      <c r="I307" s="5">
        <v>0</v>
      </c>
      <c r="J307" s="5">
        <v>-15954331.390000002</v>
      </c>
      <c r="K307" s="5">
        <v>7706853.1899999967</v>
      </c>
      <c r="L307" s="5">
        <v>2565574374.3099985</v>
      </c>
      <c r="M307" s="5">
        <v>0</v>
      </c>
      <c r="N307" s="5">
        <v>22997351.79999999</v>
      </c>
      <c r="O307" s="146">
        <v>101470515.41957667</v>
      </c>
      <c r="P307" s="5">
        <v>2690042241.5295749</v>
      </c>
      <c r="Q307" s="5">
        <v>67.757503479938151</v>
      </c>
      <c r="R307" s="5">
        <v>39701023.552705877</v>
      </c>
    </row>
    <row r="308" spans="1:18" x14ac:dyDescent="0.25">
      <c r="C308" s="5"/>
      <c r="H308" s="5"/>
      <c r="I308" s="5"/>
      <c r="J308" s="5"/>
      <c r="K308" s="5"/>
      <c r="L308" s="5"/>
      <c r="M308" s="5"/>
      <c r="P308" s="5"/>
      <c r="Q308" s="5"/>
      <c r="R308" s="5"/>
    </row>
    <row r="309" spans="1:18" s="156" customFormat="1" x14ac:dyDescent="0.25">
      <c r="A309" s="3"/>
      <c r="C309" s="5"/>
      <c r="D309" s="5"/>
      <c r="F309" s="5"/>
      <c r="H309" s="5"/>
      <c r="I309" s="5"/>
      <c r="J309" s="5"/>
      <c r="K309" s="5"/>
      <c r="L309" s="5"/>
      <c r="M309" s="5"/>
      <c r="O309" s="172"/>
      <c r="P309" s="5">
        <f>+Données!M306</f>
        <v>2869507817.6399984</v>
      </c>
      <c r="Q309" s="5"/>
      <c r="R309" s="5"/>
    </row>
    <row r="310" spans="1:18" s="156" customFormat="1" x14ac:dyDescent="0.25">
      <c r="A310" s="3"/>
      <c r="C310" s="5"/>
      <c r="D310" s="5"/>
      <c r="F310" s="5"/>
      <c r="H310" s="5"/>
      <c r="I310" s="5"/>
      <c r="J310" s="5"/>
      <c r="K310" s="5"/>
      <c r="L310" s="5"/>
      <c r="M310" s="5"/>
      <c r="O310" s="172"/>
      <c r="P310" s="5">
        <f>+O306</f>
        <v>197344472.21043557</v>
      </c>
      <c r="Q310" s="5"/>
      <c r="R310" s="5"/>
    </row>
    <row r="311" spans="1:18" x14ac:dyDescent="0.25">
      <c r="C311" s="5"/>
      <c r="I311" s="5"/>
      <c r="P311" s="5">
        <f>-Données!L306</f>
        <v>-236050973.96000001</v>
      </c>
    </row>
    <row r="312" spans="1:18" x14ac:dyDescent="0.25">
      <c r="C312" s="5"/>
      <c r="G312" s="5"/>
      <c r="I312" s="29"/>
      <c r="P312" s="5">
        <f>+Données!Q306</f>
        <v>7739439.1199999964</v>
      </c>
    </row>
    <row r="313" spans="1:18" x14ac:dyDescent="0.25">
      <c r="G313" s="5"/>
      <c r="P313" s="5">
        <f>+Données!S306</f>
        <v>36462473.670000017</v>
      </c>
    </row>
    <row r="314" spans="1:18" x14ac:dyDescent="0.25">
      <c r="G314" s="5"/>
      <c r="P314" s="5">
        <f>+Données!U306</f>
        <v>-29423313.409999982</v>
      </c>
    </row>
    <row r="315" spans="1:18" x14ac:dyDescent="0.25">
      <c r="G315" s="5"/>
      <c r="P315" s="5">
        <f>+Données!W306</f>
        <v>-15954331.390000002</v>
      </c>
    </row>
    <row r="316" spans="1:18" x14ac:dyDescent="0.25">
      <c r="G316" s="29"/>
      <c r="P316" s="5">
        <f>SUM(P309:P315)</f>
        <v>2829625583.880434</v>
      </c>
      <c r="Q316" s="11" t="s">
        <v>596</v>
      </c>
    </row>
    <row r="317" spans="1:18" s="5" customFormat="1" x14ac:dyDescent="0.25">
      <c r="A317" s="4"/>
    </row>
  </sheetData>
  <sheetProtection sheet="1" objects="1" scenarios="1"/>
  <mergeCells count="9">
    <mergeCell ref="O4:O5"/>
    <mergeCell ref="P4:P5"/>
    <mergeCell ref="A4:A5"/>
    <mergeCell ref="B4:B5"/>
    <mergeCell ref="K4:K5"/>
    <mergeCell ref="L4:L5"/>
    <mergeCell ref="H4:H5"/>
    <mergeCell ref="I4:I5"/>
    <mergeCell ref="J4:J5"/>
  </mergeCells>
  <phoneticPr fontId="0" type="noConversion"/>
  <hyperlinks>
    <hyperlink ref="E1" location="Données!A1" display="← Précédent" xr:uid="{BBD3D6D8-6A8D-46DD-B28F-66885CE3043A}"/>
    <hyperlink ref="F1" location="'Table des matières'!A1" display="Table des             matières" xr:uid="{A8DDC96E-1717-4FF4-AED1-4FC492DF2C51}"/>
    <hyperlink ref="G1" location="PCS!A1" display="Suivant →" xr:uid="{744A35FE-F150-4B65-9CDD-34566698A827}"/>
  </hyperlinks>
  <pageMargins left="0" right="0" top="0" bottom="0" header="0.51181102362204722" footer="0.51181102362204722"/>
  <pageSetup paperSize="8" scale="70" orientation="landscape" horizontalDpi="4294967292" vertic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tabColor rgb="FFC00000"/>
  </sheetPr>
  <dimension ref="A1:AC324"/>
  <sheetViews>
    <sheetView workbookViewId="0">
      <pane ySplit="11" topLeftCell="A207" activePane="bottomLeft" state="frozen"/>
      <selection pane="bottomLeft" activeCell="E117" sqref="E117"/>
    </sheetView>
  </sheetViews>
  <sheetFormatPr baseColWidth="10" defaultColWidth="10.75" defaultRowHeight="15" x14ac:dyDescent="0.25"/>
  <cols>
    <col min="1" max="1" width="7.25" style="11" customWidth="1"/>
    <col min="2" max="2" width="20.25" style="11" customWidth="1"/>
    <col min="3" max="3" width="16.25" style="11" customWidth="1"/>
    <col min="4" max="4" width="12.75" style="11" customWidth="1"/>
    <col min="5" max="5" width="16.125" style="11" customWidth="1"/>
    <col min="6" max="6" width="12.5" style="11" customWidth="1"/>
    <col min="7" max="7" width="12.125" style="11" customWidth="1"/>
    <col min="8" max="8" width="12.5" style="11" customWidth="1"/>
    <col min="9" max="9" width="10.75" style="156" bestFit="1" customWidth="1"/>
    <col min="10" max="10" width="14" style="11" customWidth="1"/>
    <col min="11" max="16" width="12.125" style="11" customWidth="1"/>
    <col min="17" max="19" width="8.125" style="11" customWidth="1"/>
    <col min="20" max="27" width="11" style="11" customWidth="1"/>
    <col min="28" max="28" width="9.25" style="11" customWidth="1"/>
    <col min="29" max="29" width="11" style="11" customWidth="1"/>
    <col min="30" max="16384" width="10.75" style="11"/>
  </cols>
  <sheetData>
    <row r="1" spans="1:29" s="33" customFormat="1" ht="26.25" x14ac:dyDescent="0.25">
      <c r="A1" s="203" t="s">
        <v>422</v>
      </c>
      <c r="B1" s="32"/>
      <c r="C1" s="49"/>
      <c r="D1" s="49"/>
      <c r="E1" s="308" t="s">
        <v>402</v>
      </c>
      <c r="F1" s="224" t="s">
        <v>394</v>
      </c>
      <c r="G1" s="372" t="s">
        <v>403</v>
      </c>
      <c r="H1" s="49"/>
      <c r="I1" s="158"/>
      <c r="J1" s="11"/>
      <c r="K1" s="11"/>
      <c r="L1" s="11"/>
      <c r="M1" s="11"/>
      <c r="N1" s="11"/>
      <c r="O1" s="11"/>
      <c r="P1" s="11"/>
      <c r="Q1" s="11"/>
      <c r="R1" s="11"/>
      <c r="S1" s="11"/>
      <c r="T1" s="11"/>
      <c r="U1" s="11"/>
      <c r="V1" s="11"/>
      <c r="W1" s="11"/>
      <c r="X1" s="11"/>
      <c r="Y1" s="11"/>
      <c r="Z1" s="11"/>
      <c r="AA1" s="11"/>
      <c r="AB1" s="11"/>
      <c r="AC1" s="11"/>
    </row>
    <row r="2" spans="1:29" s="33" customFormat="1" ht="15.75" x14ac:dyDescent="0.25">
      <c r="A2" s="272" t="str">
        <f>Paramètres!B4</f>
        <v>Décompte 2023</v>
      </c>
      <c r="B2" s="32"/>
      <c r="C2" s="158"/>
      <c r="D2" s="158"/>
      <c r="E2" s="158"/>
      <c r="F2" s="158"/>
      <c r="G2" s="158"/>
      <c r="H2" s="158"/>
      <c r="I2" s="158"/>
      <c r="J2" s="156"/>
      <c r="K2" s="156"/>
      <c r="L2" s="156"/>
      <c r="M2" s="156"/>
      <c r="N2" s="156"/>
      <c r="O2" s="156"/>
      <c r="P2" s="156"/>
      <c r="Q2" s="156"/>
      <c r="R2" s="156"/>
      <c r="S2" s="156"/>
      <c r="T2" s="156"/>
      <c r="U2" s="156"/>
      <c r="V2" s="156"/>
      <c r="W2" s="156"/>
      <c r="X2" s="156"/>
      <c r="Y2" s="156"/>
      <c r="Z2" s="156"/>
      <c r="AA2" s="156"/>
      <c r="AB2" s="156"/>
      <c r="AC2" s="156"/>
    </row>
    <row r="3" spans="1:29" s="40" customFormat="1" x14ac:dyDescent="0.25">
      <c r="A3" s="22"/>
      <c r="D3" s="11"/>
      <c r="E3" s="11"/>
      <c r="F3" s="11"/>
      <c r="G3" s="11"/>
      <c r="H3" s="281"/>
      <c r="I3" s="281"/>
      <c r="J3" s="11"/>
      <c r="K3" s="11"/>
      <c r="L3" s="11"/>
      <c r="M3" s="11"/>
      <c r="N3" s="11"/>
      <c r="O3" s="11"/>
      <c r="P3" s="11"/>
      <c r="Q3" s="11"/>
      <c r="R3" s="11"/>
      <c r="S3" s="11"/>
      <c r="T3" s="11"/>
      <c r="U3" s="11"/>
      <c r="V3" s="11"/>
      <c r="W3" s="11"/>
      <c r="X3" s="11"/>
      <c r="Y3" s="11"/>
      <c r="Z3" s="11"/>
      <c r="AA3" s="11"/>
      <c r="AB3" s="11"/>
      <c r="AC3" s="11"/>
    </row>
    <row r="4" spans="1:29" s="40" customFormat="1" ht="15" customHeight="1" x14ac:dyDescent="0.25">
      <c r="A4" s="732" t="s">
        <v>410</v>
      </c>
      <c r="B4" s="733"/>
      <c r="C4" s="733"/>
      <c r="D4" s="246" t="s">
        <v>378</v>
      </c>
      <c r="E4" s="248" t="s">
        <v>378</v>
      </c>
      <c r="F4" s="156"/>
      <c r="G4" s="292"/>
      <c r="H4" s="292"/>
      <c r="I4" s="292"/>
      <c r="J4" s="11"/>
      <c r="K4" s="11"/>
      <c r="L4" s="11"/>
      <c r="M4" s="11"/>
      <c r="N4" s="11"/>
      <c r="O4" s="11"/>
      <c r="P4" s="11"/>
      <c r="Q4" s="11"/>
      <c r="R4" s="11"/>
      <c r="S4" s="11"/>
      <c r="T4" s="11"/>
      <c r="U4" s="11"/>
      <c r="V4" s="11"/>
      <c r="W4" s="11"/>
      <c r="X4" s="11"/>
      <c r="Y4" s="11"/>
      <c r="Z4" s="11"/>
      <c r="AA4" s="11"/>
      <c r="AB4" s="11"/>
      <c r="AC4" s="11"/>
    </row>
    <row r="5" spans="1:29" s="349" customFormat="1" ht="18" customHeight="1" x14ac:dyDescent="0.2">
      <c r="A5" s="741" t="s">
        <v>418</v>
      </c>
      <c r="B5" s="742"/>
      <c r="C5" s="346">
        <f>+Paramètres!B11</f>
        <v>792931907</v>
      </c>
      <c r="D5" s="347">
        <f>C5/$E$5</f>
        <v>18.943569169867725</v>
      </c>
      <c r="E5" s="348">
        <f>VPI!R306</f>
        <v>41857577.09593945</v>
      </c>
      <c r="F5" s="231"/>
      <c r="G5" s="292"/>
      <c r="H5" s="292"/>
      <c r="I5" s="292"/>
      <c r="J5" s="231"/>
      <c r="K5" s="231"/>
      <c r="L5" s="231"/>
      <c r="M5" s="231"/>
      <c r="N5" s="231"/>
      <c r="O5" s="231"/>
      <c r="P5" s="231"/>
      <c r="Q5" s="231"/>
      <c r="R5" s="231"/>
      <c r="S5" s="231"/>
      <c r="T5" s="231"/>
      <c r="U5" s="231"/>
      <c r="V5" s="231"/>
      <c r="W5" s="231"/>
      <c r="X5" s="231"/>
      <c r="Y5" s="231"/>
      <c r="Z5" s="231"/>
      <c r="AA5" s="231"/>
      <c r="AB5" s="231"/>
      <c r="AC5" s="231"/>
    </row>
    <row r="6" spans="1:29" s="349" customFormat="1" ht="18" customHeight="1" x14ac:dyDescent="0.2">
      <c r="A6" s="743" t="s">
        <v>308</v>
      </c>
      <c r="B6" s="744"/>
      <c r="C6" s="350">
        <f>-F312</f>
        <v>-173194182.77299997</v>
      </c>
      <c r="D6" s="351">
        <f>C6/$E$5</f>
        <v>-4.1377020551388126</v>
      </c>
      <c r="E6" s="352"/>
      <c r="F6" s="231"/>
      <c r="G6" s="292"/>
      <c r="H6" s="292"/>
      <c r="I6" s="292"/>
      <c r="J6" s="231"/>
      <c r="K6" s="231"/>
      <c r="L6" s="231"/>
      <c r="M6" s="231"/>
      <c r="N6" s="231"/>
      <c r="O6" s="231"/>
      <c r="P6" s="231"/>
      <c r="Q6" s="231"/>
      <c r="R6" s="231"/>
      <c r="S6" s="231"/>
      <c r="T6" s="231"/>
      <c r="U6" s="231"/>
      <c r="V6" s="231"/>
      <c r="W6" s="231"/>
      <c r="X6" s="231"/>
      <c r="Y6" s="231"/>
      <c r="Z6" s="231"/>
      <c r="AA6" s="231"/>
      <c r="AB6" s="231"/>
      <c r="AC6" s="231"/>
    </row>
    <row r="7" spans="1:29" s="349" customFormat="1" ht="18" customHeight="1" x14ac:dyDescent="0.2">
      <c r="A7" s="745" t="s">
        <v>309</v>
      </c>
      <c r="B7" s="746"/>
      <c r="C7" s="353">
        <f>-Ecrêtage!M306</f>
        <v>-139692986.4381198</v>
      </c>
      <c r="D7" s="354">
        <f>C7/$E$5</f>
        <v>-3.337340480026763</v>
      </c>
      <c r="E7" s="352"/>
      <c r="F7" s="231"/>
      <c r="G7" s="292"/>
      <c r="H7" s="292"/>
      <c r="I7" s="292"/>
      <c r="J7" s="231"/>
      <c r="K7" s="231"/>
      <c r="L7" s="231"/>
      <c r="M7" s="231"/>
      <c r="N7" s="231"/>
      <c r="O7" s="231"/>
      <c r="P7" s="231"/>
      <c r="Q7" s="231"/>
      <c r="R7" s="231"/>
      <c r="S7" s="231"/>
      <c r="T7" s="231"/>
      <c r="U7" s="231"/>
      <c r="V7" s="231"/>
      <c r="W7" s="231"/>
      <c r="X7" s="231"/>
      <c r="Y7" s="231"/>
      <c r="Z7" s="231"/>
      <c r="AA7" s="231"/>
      <c r="AB7" s="231"/>
      <c r="AC7" s="231"/>
    </row>
    <row r="8" spans="1:29" s="349" customFormat="1" ht="18" customHeight="1" x14ac:dyDescent="0.2">
      <c r="A8" s="741" t="s">
        <v>419</v>
      </c>
      <c r="B8" s="742"/>
      <c r="C8" s="346">
        <f>C5+C7+C6</f>
        <v>480044737.78888023</v>
      </c>
      <c r="D8" s="347">
        <f>C8/$E$5</f>
        <v>11.468526634702149</v>
      </c>
      <c r="E8" s="352"/>
      <c r="F8" s="231"/>
      <c r="G8" s="292"/>
      <c r="H8" s="292"/>
      <c r="I8" s="292"/>
      <c r="J8" s="231"/>
      <c r="K8" s="231"/>
      <c r="L8" s="231"/>
      <c r="M8" s="231"/>
      <c r="N8" s="231"/>
      <c r="O8" s="231"/>
      <c r="P8" s="231"/>
      <c r="Q8" s="231"/>
      <c r="R8" s="231"/>
      <c r="S8" s="231"/>
      <c r="T8" s="231"/>
      <c r="U8" s="231"/>
      <c r="V8" s="231"/>
      <c r="W8" s="231"/>
      <c r="X8" s="231"/>
      <c r="Y8" s="231"/>
      <c r="Z8" s="231"/>
      <c r="AA8" s="231"/>
      <c r="AB8" s="231"/>
      <c r="AC8" s="231"/>
    </row>
    <row r="9" spans="1:29" s="40" customFormat="1" x14ac:dyDescent="0.25">
      <c r="A9" s="22"/>
      <c r="D9" s="11"/>
      <c r="E9" s="11"/>
      <c r="F9" s="11"/>
      <c r="G9" s="11"/>
      <c r="J9" s="11"/>
      <c r="K9" s="11"/>
      <c r="L9" s="11"/>
      <c r="M9" s="11"/>
      <c r="N9" s="11"/>
      <c r="O9" s="11"/>
      <c r="P9" s="11"/>
      <c r="Q9" s="11"/>
      <c r="R9" s="11"/>
      <c r="S9" s="11"/>
      <c r="T9" s="11"/>
      <c r="U9" s="11"/>
      <c r="V9" s="11"/>
      <c r="W9" s="11"/>
      <c r="X9" s="11"/>
      <c r="Y9" s="11"/>
      <c r="Z9" s="11"/>
      <c r="AA9" s="11"/>
      <c r="AB9" s="11"/>
      <c r="AC9" s="11"/>
    </row>
    <row r="10" spans="1:29" ht="49.5" customHeight="1" x14ac:dyDescent="0.25">
      <c r="A10" s="734" t="s">
        <v>44</v>
      </c>
      <c r="B10" s="738" t="s">
        <v>84</v>
      </c>
      <c r="C10" s="734" t="s">
        <v>491</v>
      </c>
      <c r="D10" s="236" t="s">
        <v>417</v>
      </c>
      <c r="E10" s="236" t="s">
        <v>523</v>
      </c>
      <c r="F10" s="734" t="s">
        <v>349</v>
      </c>
      <c r="G10" s="738" t="s">
        <v>362</v>
      </c>
      <c r="H10" s="246" t="s">
        <v>479</v>
      </c>
      <c r="I10" s="736" t="s">
        <v>333</v>
      </c>
    </row>
    <row r="11" spans="1:29" ht="14.45" customHeight="1" x14ac:dyDescent="0.25">
      <c r="A11" s="735"/>
      <c r="B11" s="739"/>
      <c r="C11" s="740"/>
      <c r="D11" s="237">
        <f>Paramètres!B20</f>
        <v>0.3</v>
      </c>
      <c r="E11" s="238">
        <f>Paramètres!B19</f>
        <v>0.5</v>
      </c>
      <c r="F11" s="735"/>
      <c r="G11" s="739"/>
      <c r="H11" s="355">
        <f>D8</f>
        <v>11.468526634702149</v>
      </c>
      <c r="I11" s="737"/>
    </row>
    <row r="12" spans="1:29" x14ac:dyDescent="0.25">
      <c r="A12" s="36">
        <f>Données!A6</f>
        <v>5401</v>
      </c>
      <c r="B12" s="403" t="str">
        <f>Données!B6</f>
        <v>Aigle</v>
      </c>
      <c r="C12" s="247">
        <f>VPI!R6</f>
        <v>293879.84888888896</v>
      </c>
      <c r="D12" s="41">
        <f>Données!N6</f>
        <v>1603512.35</v>
      </c>
      <c r="E12" s="171">
        <f>Données!O6+Données!P6+Données!R6</f>
        <v>1534061.9</v>
      </c>
      <c r="F12" s="373">
        <f>D12*$D$11+E12*$E$11</f>
        <v>1248084.655</v>
      </c>
      <c r="G12" s="373">
        <f>Ecrêtage!M6</f>
        <v>0</v>
      </c>
      <c r="H12" s="374">
        <f t="shared" ref="H12" si="0">$H$11*C12</f>
        <v>3370368.8743844656</v>
      </c>
      <c r="I12" s="239">
        <f t="shared" ref="I12" si="1">F12+H12+G12</f>
        <v>4618453.5293844659</v>
      </c>
    </row>
    <row r="13" spans="1:29" s="35" customFormat="1" x14ac:dyDescent="0.25">
      <c r="A13" s="38">
        <f>Données!A7</f>
        <v>5402</v>
      </c>
      <c r="B13" s="404" t="str">
        <f>Données!B7</f>
        <v>Bex</v>
      </c>
      <c r="C13" s="31">
        <f>VPI!R7</f>
        <v>202698.13549295775</v>
      </c>
      <c r="D13" s="8">
        <f>Données!N7</f>
        <v>395860.15</v>
      </c>
      <c r="E13" s="171">
        <f>Données!O7+Données!P7+Données!R7</f>
        <v>1856263.75</v>
      </c>
      <c r="F13" s="373">
        <f t="shared" ref="F13:F76" si="2">D13*$D$11+E13*$E$11</f>
        <v>1046889.92</v>
      </c>
      <c r="G13" s="373">
        <f>Ecrêtage!M7</f>
        <v>0</v>
      </c>
      <c r="H13" s="374">
        <f t="shared" ref="H13:H76" si="3">$H$11*C13</f>
        <v>2324648.9657054511</v>
      </c>
      <c r="I13" s="239">
        <f t="shared" ref="I13:I76" si="4">F13+H13+G13</f>
        <v>3371538.885705451</v>
      </c>
    </row>
    <row r="14" spans="1:29" s="35" customFormat="1" x14ac:dyDescent="0.25">
      <c r="A14" s="38">
        <f>Données!A8</f>
        <v>5403</v>
      </c>
      <c r="B14" s="404" t="str">
        <f>Données!B8</f>
        <v>Chessel</v>
      </c>
      <c r="C14" s="31">
        <f>VPI!R8</f>
        <v>13180.672769230767</v>
      </c>
      <c r="D14" s="8">
        <f>Données!N8</f>
        <v>6657.3</v>
      </c>
      <c r="E14" s="171">
        <f>Données!O8+Données!P8+Données!R8</f>
        <v>38405.599999999999</v>
      </c>
      <c r="F14" s="373">
        <f t="shared" si="2"/>
        <v>21199.989999999998</v>
      </c>
      <c r="G14" s="373">
        <f>Ecrêtage!M8</f>
        <v>0</v>
      </c>
      <c r="H14" s="374">
        <f t="shared" si="3"/>
        <v>151162.89671721638</v>
      </c>
      <c r="I14" s="239">
        <f t="shared" si="4"/>
        <v>172362.88671721637</v>
      </c>
    </row>
    <row r="15" spans="1:29" s="35" customFormat="1" x14ac:dyDescent="0.25">
      <c r="A15" s="38">
        <f>Données!A9</f>
        <v>5404</v>
      </c>
      <c r="B15" s="404" t="str">
        <f>Données!B9</f>
        <v>Corbeyrier</v>
      </c>
      <c r="C15" s="31">
        <f>VPI!R9</f>
        <v>10656.798108108109</v>
      </c>
      <c r="D15" s="8">
        <f>Données!N9</f>
        <v>18878.900000000001</v>
      </c>
      <c r="E15" s="171">
        <f>Données!O9+Données!P9+Données!R9</f>
        <v>143119.04999999999</v>
      </c>
      <c r="F15" s="373">
        <f t="shared" si="2"/>
        <v>77223.194999999992</v>
      </c>
      <c r="G15" s="373">
        <f>Ecrêtage!M9</f>
        <v>0</v>
      </c>
      <c r="H15" s="374">
        <f t="shared" si="3"/>
        <v>122217.77294348132</v>
      </c>
      <c r="I15" s="239">
        <f t="shared" si="4"/>
        <v>199440.96794348132</v>
      </c>
    </row>
    <row r="16" spans="1:29" s="35" customFormat="1" x14ac:dyDescent="0.25">
      <c r="A16" s="38">
        <f>Données!A10</f>
        <v>5405</v>
      </c>
      <c r="B16" s="404" t="str">
        <f>Données!B10</f>
        <v>Gryon</v>
      </c>
      <c r="C16" s="31">
        <f>VPI!R10</f>
        <v>79200.140770975064</v>
      </c>
      <c r="D16" s="8">
        <f>Données!N10</f>
        <v>3804.75</v>
      </c>
      <c r="E16" s="171">
        <f>Données!O10+Données!P10+Données!R10</f>
        <v>1207901.6499999999</v>
      </c>
      <c r="F16" s="373">
        <f t="shared" si="2"/>
        <v>605092.25</v>
      </c>
      <c r="G16" s="373">
        <f>Ecrêtage!M10</f>
        <v>59122.859509344831</v>
      </c>
      <c r="H16" s="374">
        <f t="shared" si="3"/>
        <v>908308.92390408716</v>
      </c>
      <c r="I16" s="239">
        <f t="shared" si="4"/>
        <v>1572524.0334134321</v>
      </c>
    </row>
    <row r="17" spans="1:9" s="35" customFormat="1" x14ac:dyDescent="0.25">
      <c r="A17" s="38">
        <f>Données!A11</f>
        <v>5406</v>
      </c>
      <c r="B17" s="404" t="str">
        <f>Données!B11</f>
        <v>Lavey-Morcles</v>
      </c>
      <c r="C17" s="31">
        <f>VPI!R11</f>
        <v>24174.314276492736</v>
      </c>
      <c r="D17" s="8">
        <f>Données!N11</f>
        <v>16718.2</v>
      </c>
      <c r="E17" s="171">
        <f>Données!O11+Données!P11+Données!R11</f>
        <v>303376.34999999998</v>
      </c>
      <c r="F17" s="373">
        <f t="shared" si="2"/>
        <v>156703.63499999998</v>
      </c>
      <c r="G17" s="373">
        <f>Ecrêtage!M11</f>
        <v>0</v>
      </c>
      <c r="H17" s="374">
        <f t="shared" si="3"/>
        <v>277243.76715561736</v>
      </c>
      <c r="I17" s="239">
        <f t="shared" si="4"/>
        <v>433947.40215561737</v>
      </c>
    </row>
    <row r="18" spans="1:9" s="35" customFormat="1" x14ac:dyDescent="0.25">
      <c r="A18" s="38">
        <f>Données!A12</f>
        <v>5407</v>
      </c>
      <c r="B18" s="404" t="str">
        <f>Données!B12</f>
        <v>Leysin</v>
      </c>
      <c r="C18" s="31">
        <f>VPI!R12</f>
        <v>97593.933333333334</v>
      </c>
      <c r="D18" s="8">
        <f>Données!N12</f>
        <v>87649.75</v>
      </c>
      <c r="E18" s="171">
        <f>Données!O12+Données!P12+Données!R12</f>
        <v>1166711.8999999999</v>
      </c>
      <c r="F18" s="373">
        <f t="shared" si="2"/>
        <v>609650.875</v>
      </c>
      <c r="G18" s="373">
        <f>Ecrêtage!M12</f>
        <v>0</v>
      </c>
      <c r="H18" s="374">
        <f t="shared" si="3"/>
        <v>1119258.6238186792</v>
      </c>
      <c r="I18" s="239">
        <f t="shared" si="4"/>
        <v>1728909.4988186792</v>
      </c>
    </row>
    <row r="19" spans="1:9" s="35" customFormat="1" x14ac:dyDescent="0.25">
      <c r="A19" s="38">
        <f>Données!A13</f>
        <v>5408</v>
      </c>
      <c r="B19" s="404" t="str">
        <f>Données!B13</f>
        <v>Noville</v>
      </c>
      <c r="C19" s="31">
        <f>VPI!R13</f>
        <v>40176.989288888893</v>
      </c>
      <c r="D19" s="8">
        <f>Données!N13</f>
        <v>220901.65</v>
      </c>
      <c r="E19" s="171">
        <f>Données!O13+Données!P13+Données!R13</f>
        <v>421622.15</v>
      </c>
      <c r="F19" s="373">
        <f t="shared" si="2"/>
        <v>277081.57</v>
      </c>
      <c r="G19" s="373">
        <f>Ecrêtage!M13</f>
        <v>0</v>
      </c>
      <c r="H19" s="374">
        <f t="shared" si="3"/>
        <v>460770.87176176521</v>
      </c>
      <c r="I19" s="239">
        <f t="shared" si="4"/>
        <v>737852.44176176516</v>
      </c>
    </row>
    <row r="20" spans="1:9" s="35" customFormat="1" x14ac:dyDescent="0.25">
      <c r="A20" s="38">
        <f>Données!A14</f>
        <v>5409</v>
      </c>
      <c r="B20" s="404" t="str">
        <f>Données!B14</f>
        <v>Ollon</v>
      </c>
      <c r="C20" s="31">
        <f>VPI!R14</f>
        <v>421727.92700226256</v>
      </c>
      <c r="D20" s="8">
        <f>Données!N14</f>
        <v>105393.95</v>
      </c>
      <c r="E20" s="171">
        <f>Données!O14+Données!P14+Données!R14</f>
        <v>4943929.4000000004</v>
      </c>
      <c r="F20" s="373">
        <f t="shared" si="2"/>
        <v>2503582.8850000002</v>
      </c>
      <c r="G20" s="373">
        <f>Ecrêtage!M14</f>
        <v>262172.37523139635</v>
      </c>
      <c r="H20" s="374">
        <f t="shared" si="3"/>
        <v>4836597.963423172</v>
      </c>
      <c r="I20" s="239">
        <f t="shared" si="4"/>
        <v>7602353.2236545682</v>
      </c>
    </row>
    <row r="21" spans="1:9" s="35" customFormat="1" x14ac:dyDescent="0.25">
      <c r="A21" s="38">
        <f>Données!A15</f>
        <v>5410</v>
      </c>
      <c r="B21" s="404" t="str">
        <f>Données!B15</f>
        <v>Ormont-Dessous</v>
      </c>
      <c r="C21" s="31">
        <f>VPI!R15</f>
        <v>36756.557662337655</v>
      </c>
      <c r="D21" s="8">
        <f>Données!N15</f>
        <v>20832.099999999999</v>
      </c>
      <c r="E21" s="171">
        <f>Données!O15+Données!P15+Données!R15</f>
        <v>461618.75</v>
      </c>
      <c r="F21" s="373">
        <f t="shared" si="2"/>
        <v>237059.005</v>
      </c>
      <c r="G21" s="373">
        <f>Ecrêtage!M15</f>
        <v>0</v>
      </c>
      <c r="H21" s="374">
        <f t="shared" si="3"/>
        <v>421543.56055048475</v>
      </c>
      <c r="I21" s="239">
        <f t="shared" si="4"/>
        <v>658602.56555048469</v>
      </c>
    </row>
    <row r="22" spans="1:9" s="35" customFormat="1" x14ac:dyDescent="0.25">
      <c r="A22" s="38">
        <f>Données!A16</f>
        <v>5411</v>
      </c>
      <c r="B22" s="404" t="str">
        <f>Données!B16</f>
        <v>Ormont-Dessus</v>
      </c>
      <c r="C22" s="31">
        <f>VPI!R16</f>
        <v>79198.134342105259</v>
      </c>
      <c r="D22" s="8">
        <f>Données!N16</f>
        <v>20208.349999999999</v>
      </c>
      <c r="E22" s="171">
        <f>Données!O16+Données!P16+Données!R16</f>
        <v>1053392.8999999999</v>
      </c>
      <c r="F22" s="373">
        <f t="shared" si="2"/>
        <v>532758.95499999996</v>
      </c>
      <c r="G22" s="373">
        <f>Ecrêtage!M16</f>
        <v>131019.04851780151</v>
      </c>
      <c r="H22" s="374">
        <f t="shared" si="3"/>
        <v>908285.91312115313</v>
      </c>
      <c r="I22" s="239">
        <f t="shared" si="4"/>
        <v>1572063.9166389548</v>
      </c>
    </row>
    <row r="23" spans="1:9" s="35" customFormat="1" x14ac:dyDescent="0.25">
      <c r="A23" s="38">
        <f>Données!A17</f>
        <v>5412</v>
      </c>
      <c r="B23" s="404" t="str">
        <f>Données!B17</f>
        <v>Rennaz</v>
      </c>
      <c r="C23" s="31">
        <f>VPI!R17</f>
        <v>29024.824057971011</v>
      </c>
      <c r="D23" s="8">
        <f>Données!N17</f>
        <v>1122947</v>
      </c>
      <c r="E23" s="171">
        <f>Données!O17+Données!P17+Données!R17</f>
        <v>87241.15</v>
      </c>
      <c r="F23" s="373">
        <f t="shared" si="2"/>
        <v>380504.67499999999</v>
      </c>
      <c r="G23" s="373">
        <f>Ecrêtage!M17</f>
        <v>0</v>
      </c>
      <c r="H23" s="374">
        <f t="shared" si="3"/>
        <v>332871.96777638426</v>
      </c>
      <c r="I23" s="239">
        <f t="shared" si="4"/>
        <v>713376.64277638425</v>
      </c>
    </row>
    <row r="24" spans="1:9" s="35" customFormat="1" x14ac:dyDescent="0.25">
      <c r="A24" s="38">
        <f>Données!A18</f>
        <v>5413</v>
      </c>
      <c r="B24" s="404" t="str">
        <f>Données!B18</f>
        <v>Roche</v>
      </c>
      <c r="C24" s="31">
        <f>VPI!R18</f>
        <v>41219.946789215683</v>
      </c>
      <c r="D24" s="8">
        <f>Données!N18</f>
        <v>348499.3</v>
      </c>
      <c r="E24" s="171">
        <f>Données!O18+Données!P18+Données!R18</f>
        <v>293769.65000000002</v>
      </c>
      <c r="F24" s="373">
        <f t="shared" si="2"/>
        <v>251434.61499999999</v>
      </c>
      <c r="G24" s="373">
        <f>Ecrêtage!M18</f>
        <v>0</v>
      </c>
      <c r="H24" s="374">
        <f t="shared" si="3"/>
        <v>472732.0576331254</v>
      </c>
      <c r="I24" s="239">
        <f t="shared" si="4"/>
        <v>724166.67263312545</v>
      </c>
    </row>
    <row r="25" spans="1:9" s="35" customFormat="1" x14ac:dyDescent="0.25">
      <c r="A25" s="38">
        <f>Données!A19</f>
        <v>5414</v>
      </c>
      <c r="B25" s="404" t="str">
        <f>Données!B19</f>
        <v>Villeneuve</v>
      </c>
      <c r="C25" s="31">
        <f>VPI!R19</f>
        <v>190081.59585185186</v>
      </c>
      <c r="D25" s="8">
        <f>Données!N19</f>
        <v>1636755.2</v>
      </c>
      <c r="E25" s="171">
        <f>Données!O19+Données!P19+Données!R19</f>
        <v>1441210.2999999998</v>
      </c>
      <c r="F25" s="373">
        <f t="shared" si="2"/>
        <v>1211631.71</v>
      </c>
      <c r="G25" s="373">
        <f>Ecrêtage!M19</f>
        <v>0</v>
      </c>
      <c r="H25" s="374">
        <f t="shared" si="3"/>
        <v>2179955.8447936526</v>
      </c>
      <c r="I25" s="239">
        <f t="shared" si="4"/>
        <v>3391587.5547936526</v>
      </c>
    </row>
    <row r="26" spans="1:9" s="35" customFormat="1" x14ac:dyDescent="0.25">
      <c r="A26" s="38">
        <f>Données!A20</f>
        <v>5415</v>
      </c>
      <c r="B26" s="404" t="str">
        <f>Données!B20</f>
        <v>Yvorne</v>
      </c>
      <c r="C26" s="31">
        <f>VPI!R20</f>
        <v>36781.248065268061</v>
      </c>
      <c r="D26" s="8">
        <f>Données!N20</f>
        <v>49806.9</v>
      </c>
      <c r="E26" s="171">
        <f>Données!O20+Données!P20+Données!R20</f>
        <v>282845.05</v>
      </c>
      <c r="F26" s="373">
        <f t="shared" si="2"/>
        <v>156364.595</v>
      </c>
      <c r="G26" s="373">
        <f>Ecrêtage!M20</f>
        <v>0</v>
      </c>
      <c r="H26" s="374">
        <f t="shared" si="3"/>
        <v>421826.72309411364</v>
      </c>
      <c r="I26" s="239">
        <f t="shared" si="4"/>
        <v>578191.31809411361</v>
      </c>
    </row>
    <row r="27" spans="1:9" s="35" customFormat="1" x14ac:dyDescent="0.25">
      <c r="A27" s="38">
        <f>Données!A21</f>
        <v>5422</v>
      </c>
      <c r="B27" s="404" t="str">
        <f>Données!B21</f>
        <v>Aubonne</v>
      </c>
      <c r="C27" s="31">
        <f>VPI!R21</f>
        <v>418335.07808823534</v>
      </c>
      <c r="D27" s="8">
        <f>Données!N21</f>
        <v>1065968.6000000001</v>
      </c>
      <c r="E27" s="171">
        <f>Données!O21+Données!P21+Données!R21</f>
        <v>1197628.8500000001</v>
      </c>
      <c r="F27" s="373">
        <f t="shared" si="2"/>
        <v>918605.00500000012</v>
      </c>
      <c r="G27" s="373">
        <f>Ecrêtage!M21</f>
        <v>5568210.1882263571</v>
      </c>
      <c r="H27" s="374">
        <f t="shared" si="3"/>
        <v>4797686.9852851303</v>
      </c>
      <c r="I27" s="239">
        <f t="shared" si="4"/>
        <v>11284502.178511487</v>
      </c>
    </row>
    <row r="28" spans="1:9" s="35" customFormat="1" x14ac:dyDescent="0.25">
      <c r="A28" s="38">
        <f>Données!A22</f>
        <v>5423</v>
      </c>
      <c r="B28" s="404" t="str">
        <f>Données!B22</f>
        <v>Ballens</v>
      </c>
      <c r="C28" s="31">
        <f>VPI!R22</f>
        <v>17582.856164383564</v>
      </c>
      <c r="D28" s="8">
        <f>Données!N22</f>
        <v>34783.35</v>
      </c>
      <c r="E28" s="171">
        <f>Données!O22+Données!P22+Données!R22</f>
        <v>141276</v>
      </c>
      <c r="F28" s="373">
        <f t="shared" si="2"/>
        <v>81073.005000000005</v>
      </c>
      <c r="G28" s="373">
        <f>Ecrêtage!M22</f>
        <v>0</v>
      </c>
      <c r="H28" s="374">
        <f t="shared" si="3"/>
        <v>201649.45423536978</v>
      </c>
      <c r="I28" s="239">
        <f t="shared" si="4"/>
        <v>282722.45923536981</v>
      </c>
    </row>
    <row r="29" spans="1:9" s="35" customFormat="1" x14ac:dyDescent="0.25">
      <c r="A29" s="38">
        <f>Données!A23</f>
        <v>5424</v>
      </c>
      <c r="B29" s="404" t="str">
        <f>Données!B23</f>
        <v>Berolle</v>
      </c>
      <c r="C29" s="31">
        <f>VPI!R23</f>
        <v>10091.658013245033</v>
      </c>
      <c r="D29" s="8">
        <f>Données!N23</f>
        <v>0</v>
      </c>
      <c r="E29" s="171">
        <f>Données!O23+Données!P23+Données!R23</f>
        <v>155425.29999999999</v>
      </c>
      <c r="F29" s="373">
        <f t="shared" si="2"/>
        <v>77712.649999999994</v>
      </c>
      <c r="G29" s="373">
        <f>Ecrêtage!M23</f>
        <v>0</v>
      </c>
      <c r="H29" s="374">
        <f t="shared" si="3"/>
        <v>115736.44871320603</v>
      </c>
      <c r="I29" s="239">
        <f t="shared" si="4"/>
        <v>193449.09871320601</v>
      </c>
    </row>
    <row r="30" spans="1:9" s="35" customFormat="1" x14ac:dyDescent="0.25">
      <c r="A30" s="38">
        <f>Données!A24</f>
        <v>5425</v>
      </c>
      <c r="B30" s="404" t="str">
        <f>Données!B24</f>
        <v>Bière</v>
      </c>
      <c r="C30" s="31">
        <f>VPI!R24</f>
        <v>44820.475767116455</v>
      </c>
      <c r="D30" s="8">
        <f>Données!N24</f>
        <v>120325</v>
      </c>
      <c r="E30" s="171">
        <f>Données!O24+Données!P24+Données!R24</f>
        <v>385815.85</v>
      </c>
      <c r="F30" s="373">
        <f t="shared" si="2"/>
        <v>229005.42499999999</v>
      </c>
      <c r="G30" s="373">
        <f>Ecrêtage!M24</f>
        <v>0</v>
      </c>
      <c r="H30" s="374">
        <f t="shared" si="3"/>
        <v>514024.82011519733</v>
      </c>
      <c r="I30" s="239">
        <f t="shared" si="4"/>
        <v>743030.24511519726</v>
      </c>
    </row>
    <row r="31" spans="1:9" s="35" customFormat="1" x14ac:dyDescent="0.25">
      <c r="A31" s="38">
        <f>Données!A25</f>
        <v>5426</v>
      </c>
      <c r="B31" s="404" t="str">
        <f>Données!B25</f>
        <v>Bougy-Villars</v>
      </c>
      <c r="C31" s="31">
        <f>VPI!R25</f>
        <v>70059.66664082685</v>
      </c>
      <c r="D31" s="8">
        <f>Données!N25</f>
        <v>13271.8</v>
      </c>
      <c r="E31" s="171">
        <f>Données!O25+Données!P25+Données!R25</f>
        <v>650466</v>
      </c>
      <c r="F31" s="373">
        <f t="shared" si="2"/>
        <v>329214.53999999998</v>
      </c>
      <c r="G31" s="373">
        <f>Ecrêtage!M25</f>
        <v>1165083.2159540649</v>
      </c>
      <c r="H31" s="374">
        <f t="shared" si="3"/>
        <v>803481.15288867638</v>
      </c>
      <c r="I31" s="239">
        <f t="shared" si="4"/>
        <v>2297778.9088427415</v>
      </c>
    </row>
    <row r="32" spans="1:9" s="35" customFormat="1" x14ac:dyDescent="0.25">
      <c r="A32" s="38">
        <f>Données!A26</f>
        <v>5427</v>
      </c>
      <c r="B32" s="404" t="str">
        <f>Données!B26</f>
        <v>Féchy</v>
      </c>
      <c r="C32" s="31">
        <f>VPI!R26</f>
        <v>87019.406153846168</v>
      </c>
      <c r="D32" s="8">
        <f>Données!N26</f>
        <v>14882.7</v>
      </c>
      <c r="E32" s="171">
        <f>Données!O26+Données!P26+Données!R26</f>
        <v>2095060.5999999999</v>
      </c>
      <c r="F32" s="373">
        <f t="shared" si="2"/>
        <v>1051995.1099999999</v>
      </c>
      <c r="G32" s="373">
        <f>Ecrêtage!M26</f>
        <v>894684.83437031845</v>
      </c>
      <c r="H32" s="374">
        <f t="shared" si="3"/>
        <v>997984.37721134885</v>
      </c>
      <c r="I32" s="239">
        <f t="shared" si="4"/>
        <v>2944664.3215816673</v>
      </c>
    </row>
    <row r="33" spans="1:9" s="35" customFormat="1" x14ac:dyDescent="0.25">
      <c r="A33" s="38">
        <f>Données!A27</f>
        <v>5428</v>
      </c>
      <c r="B33" s="404" t="str">
        <f>Données!B27</f>
        <v>Gimel</v>
      </c>
      <c r="C33" s="31">
        <f>VPI!R27</f>
        <v>72073.620570776256</v>
      </c>
      <c r="D33" s="8">
        <f>Données!N27</f>
        <v>207393.7</v>
      </c>
      <c r="E33" s="171">
        <f>Données!O27+Données!P27+Données!R27</f>
        <v>598887.25</v>
      </c>
      <c r="F33" s="373">
        <f t="shared" si="2"/>
        <v>361661.73499999999</v>
      </c>
      <c r="G33" s="373">
        <f>Ecrêtage!M27</f>
        <v>0</v>
      </c>
      <c r="H33" s="374">
        <f t="shared" si="3"/>
        <v>826578.23717536416</v>
      </c>
      <c r="I33" s="239">
        <f t="shared" si="4"/>
        <v>1188239.9721753641</v>
      </c>
    </row>
    <row r="34" spans="1:9" s="35" customFormat="1" x14ac:dyDescent="0.25">
      <c r="A34" s="38">
        <f>Données!A28</f>
        <v>5429</v>
      </c>
      <c r="B34" s="404" t="str">
        <f>Données!B28</f>
        <v>Longirod</v>
      </c>
      <c r="C34" s="31">
        <f>VPI!R28</f>
        <v>19283.044387096772</v>
      </c>
      <c r="D34" s="8">
        <f>Données!N28</f>
        <v>9325.2999999999993</v>
      </c>
      <c r="E34" s="171">
        <f>Données!O28+Données!P28+Données!R28</f>
        <v>84054.450000000012</v>
      </c>
      <c r="F34" s="373">
        <f t="shared" si="2"/>
        <v>44824.815000000002</v>
      </c>
      <c r="G34" s="373">
        <f>Ecrêtage!M28</f>
        <v>0</v>
      </c>
      <c r="H34" s="374">
        <f t="shared" si="3"/>
        <v>221148.10815156312</v>
      </c>
      <c r="I34" s="239">
        <f t="shared" si="4"/>
        <v>265972.92315156315</v>
      </c>
    </row>
    <row r="35" spans="1:9" s="35" customFormat="1" x14ac:dyDescent="0.25">
      <c r="A35" s="38">
        <f>Données!A29</f>
        <v>5430</v>
      </c>
      <c r="B35" s="404" t="str">
        <f>Données!B29</f>
        <v>Marchissy</v>
      </c>
      <c r="C35" s="31">
        <f>VPI!R29</f>
        <v>16181.195483870966</v>
      </c>
      <c r="D35" s="8">
        <f>Données!N29</f>
        <v>13417.85</v>
      </c>
      <c r="E35" s="171">
        <f>Données!O29+Données!P29+Données!R29</f>
        <v>32882.949999999997</v>
      </c>
      <c r="F35" s="373">
        <f t="shared" si="2"/>
        <v>20466.829999999998</v>
      </c>
      <c r="G35" s="373">
        <f>Ecrêtage!M29</f>
        <v>0</v>
      </c>
      <c r="H35" s="374">
        <f t="shared" si="3"/>
        <v>185574.47138809631</v>
      </c>
      <c r="I35" s="239">
        <f t="shared" si="4"/>
        <v>206041.3013880963</v>
      </c>
    </row>
    <row r="36" spans="1:9" s="35" customFormat="1" x14ac:dyDescent="0.25">
      <c r="A36" s="38">
        <f>Données!A30</f>
        <v>5431</v>
      </c>
      <c r="B36" s="404" t="str">
        <f>Données!B30</f>
        <v>Mollens</v>
      </c>
      <c r="C36" s="31">
        <f>VPI!R30</f>
        <v>9356.399324324324</v>
      </c>
      <c r="D36" s="8">
        <f>Données!N30</f>
        <v>0</v>
      </c>
      <c r="E36" s="171">
        <f>Données!O30+Données!P30+Données!R30</f>
        <v>8892.2000000000007</v>
      </c>
      <c r="F36" s="373">
        <f t="shared" si="2"/>
        <v>4446.1000000000004</v>
      </c>
      <c r="G36" s="373">
        <f>Ecrêtage!M30</f>
        <v>0</v>
      </c>
      <c r="H36" s="374">
        <f t="shared" si="3"/>
        <v>107304.1148559227</v>
      </c>
      <c r="I36" s="239">
        <f t="shared" si="4"/>
        <v>111750.21485592271</v>
      </c>
    </row>
    <row r="37" spans="1:9" s="35" customFormat="1" x14ac:dyDescent="0.25">
      <c r="A37" s="38">
        <f>Données!A31</f>
        <v>5434</v>
      </c>
      <c r="B37" s="404" t="str">
        <f>Données!B31</f>
        <v>Saint-George</v>
      </c>
      <c r="C37" s="31">
        <f>VPI!R31</f>
        <v>46184.394316546764</v>
      </c>
      <c r="D37" s="8">
        <f>Données!N31</f>
        <v>44558.400000000001</v>
      </c>
      <c r="E37" s="171">
        <f>Données!O31+Données!P31+Données!R31</f>
        <v>255958.35</v>
      </c>
      <c r="F37" s="373">
        <f t="shared" si="2"/>
        <v>141346.69500000001</v>
      </c>
      <c r="G37" s="373">
        <f>Ecrêtage!M31</f>
        <v>0</v>
      </c>
      <c r="H37" s="374">
        <f t="shared" si="3"/>
        <v>529666.95632690308</v>
      </c>
      <c r="I37" s="239">
        <f t="shared" si="4"/>
        <v>671013.65132690314</v>
      </c>
    </row>
    <row r="38" spans="1:9" s="35" customFormat="1" x14ac:dyDescent="0.25">
      <c r="A38" s="38">
        <f>Données!A32</f>
        <v>5435</v>
      </c>
      <c r="B38" s="404" t="str">
        <f>Données!B32</f>
        <v>Saint-Livres</v>
      </c>
      <c r="C38" s="31">
        <f>VPI!R32</f>
        <v>26399.909565217389</v>
      </c>
      <c r="D38" s="8">
        <f>Données!N32</f>
        <v>7829.95</v>
      </c>
      <c r="E38" s="171">
        <f>Données!O32+Données!P32+Données!R32</f>
        <v>372838.75</v>
      </c>
      <c r="F38" s="373">
        <f t="shared" si="2"/>
        <v>188768.36</v>
      </c>
      <c r="G38" s="373">
        <f>Ecrêtage!M32</f>
        <v>0</v>
      </c>
      <c r="H38" s="374">
        <f t="shared" si="3"/>
        <v>302768.06600242364</v>
      </c>
      <c r="I38" s="239">
        <f t="shared" si="4"/>
        <v>491536.42600242363</v>
      </c>
    </row>
    <row r="39" spans="1:9" s="35" customFormat="1" x14ac:dyDescent="0.25">
      <c r="A39" s="38">
        <f>Données!A33</f>
        <v>5436</v>
      </c>
      <c r="B39" s="404" t="str">
        <f>Données!B33</f>
        <v>Saint-Oyens</v>
      </c>
      <c r="C39" s="31">
        <f>VPI!R33</f>
        <v>15917.295474683544</v>
      </c>
      <c r="D39" s="8">
        <f>Données!N33</f>
        <v>0</v>
      </c>
      <c r="E39" s="171">
        <f>Données!O33+Données!P33+Données!R33</f>
        <v>21032.9</v>
      </c>
      <c r="F39" s="373">
        <f t="shared" si="2"/>
        <v>10516.45</v>
      </c>
      <c r="G39" s="373">
        <f>Ecrêtage!M33</f>
        <v>0</v>
      </c>
      <c r="H39" s="374">
        <f t="shared" si="3"/>
        <v>182547.92710383222</v>
      </c>
      <c r="I39" s="239">
        <f t="shared" si="4"/>
        <v>193064.37710383223</v>
      </c>
    </row>
    <row r="40" spans="1:9" s="35" customFormat="1" x14ac:dyDescent="0.25">
      <c r="A40" s="38">
        <f>Données!A34</f>
        <v>5437</v>
      </c>
      <c r="B40" s="404" t="str">
        <f>Données!B34</f>
        <v>Saubraz</v>
      </c>
      <c r="C40" s="31">
        <f>VPI!R34</f>
        <v>16749.450625000005</v>
      </c>
      <c r="D40" s="8">
        <f>Données!N34</f>
        <v>0</v>
      </c>
      <c r="E40" s="171">
        <f>Données!O34+Données!P34+Données!R34</f>
        <v>103756.35</v>
      </c>
      <c r="F40" s="373">
        <f t="shared" si="2"/>
        <v>51878.175000000003</v>
      </c>
      <c r="G40" s="373">
        <f>Ecrêtage!M34</f>
        <v>0</v>
      </c>
      <c r="H40" s="374">
        <f t="shared" si="3"/>
        <v>192091.52060944113</v>
      </c>
      <c r="I40" s="239">
        <f t="shared" si="4"/>
        <v>243969.69560944114</v>
      </c>
    </row>
    <row r="41" spans="1:9" s="35" customFormat="1" x14ac:dyDescent="0.25">
      <c r="A41" s="38">
        <f>Données!A35</f>
        <v>5451</v>
      </c>
      <c r="B41" s="404" t="str">
        <f>Données!B35</f>
        <v>Avenches</v>
      </c>
      <c r="C41" s="31">
        <f>VPI!R35</f>
        <v>143864.88553846153</v>
      </c>
      <c r="D41" s="8">
        <f>Données!N35</f>
        <v>587797.75</v>
      </c>
      <c r="E41" s="171">
        <f>Données!O35+Données!P35+Données!R35</f>
        <v>813577.25</v>
      </c>
      <c r="F41" s="373">
        <f t="shared" si="2"/>
        <v>583127.94999999995</v>
      </c>
      <c r="G41" s="373">
        <f>Ecrêtage!M35</f>
        <v>0</v>
      </c>
      <c r="H41" s="374">
        <f t="shared" si="3"/>
        <v>1649918.2715962222</v>
      </c>
      <c r="I41" s="239">
        <f t="shared" si="4"/>
        <v>2233046.2215962224</v>
      </c>
    </row>
    <row r="42" spans="1:9" s="35" customFormat="1" x14ac:dyDescent="0.25">
      <c r="A42" s="38">
        <f>Données!A36</f>
        <v>5456</v>
      </c>
      <c r="B42" s="404" t="str">
        <f>Données!B36</f>
        <v>Cudrefin</v>
      </c>
      <c r="C42" s="31">
        <f>VPI!R36</f>
        <v>70775.484519773992</v>
      </c>
      <c r="D42" s="8">
        <f>Données!N36</f>
        <v>0</v>
      </c>
      <c r="E42" s="171">
        <f>Données!O36+Données!P36+Données!R36</f>
        <v>503838.04999999993</v>
      </c>
      <c r="F42" s="373">
        <f t="shared" si="2"/>
        <v>251919.02499999997</v>
      </c>
      <c r="G42" s="373">
        <f>Ecrêtage!M36</f>
        <v>0</v>
      </c>
      <c r="H42" s="374">
        <f t="shared" si="3"/>
        <v>811690.52929897769</v>
      </c>
      <c r="I42" s="239">
        <f t="shared" si="4"/>
        <v>1063609.5542989776</v>
      </c>
    </row>
    <row r="43" spans="1:9" s="35" customFormat="1" x14ac:dyDescent="0.25">
      <c r="A43" s="38">
        <f>Données!A37</f>
        <v>5458</v>
      </c>
      <c r="B43" s="404" t="str">
        <f>Données!B37</f>
        <v>Faoug</v>
      </c>
      <c r="C43" s="31">
        <f>VPI!R37</f>
        <v>30258.802820512818</v>
      </c>
      <c r="D43" s="8">
        <f>Données!N37</f>
        <v>15297.9</v>
      </c>
      <c r="E43" s="171">
        <f>Données!O37+Données!P37+Données!R37</f>
        <v>142569.65</v>
      </c>
      <c r="F43" s="373">
        <f t="shared" si="2"/>
        <v>75874.194999999992</v>
      </c>
      <c r="G43" s="373">
        <f>Ecrêtage!M37</f>
        <v>0</v>
      </c>
      <c r="H43" s="374">
        <f t="shared" si="3"/>
        <v>347023.88608125178</v>
      </c>
      <c r="I43" s="239">
        <f t="shared" si="4"/>
        <v>422898.08108125179</v>
      </c>
    </row>
    <row r="44" spans="1:9" s="35" customFormat="1" x14ac:dyDescent="0.25">
      <c r="A44" s="38">
        <f>Données!A38</f>
        <v>5464</v>
      </c>
      <c r="B44" s="404" t="str">
        <f>Données!B38</f>
        <v>Vully-les-Lacs</v>
      </c>
      <c r="C44" s="31">
        <f>VPI!R38</f>
        <v>128619.64756218906</v>
      </c>
      <c r="D44" s="8">
        <f>Données!N38</f>
        <v>0</v>
      </c>
      <c r="E44" s="171">
        <f>Données!O38+Données!P38+Données!R38</f>
        <v>913594.85000000009</v>
      </c>
      <c r="F44" s="373">
        <f t="shared" si="2"/>
        <v>456797.42500000005</v>
      </c>
      <c r="G44" s="373">
        <f>Ecrêtage!M38</f>
        <v>0</v>
      </c>
      <c r="H44" s="374">
        <f t="shared" si="3"/>
        <v>1475077.8538129686</v>
      </c>
      <c r="I44" s="239">
        <f t="shared" si="4"/>
        <v>1931875.2788129686</v>
      </c>
    </row>
    <row r="45" spans="1:9" s="35" customFormat="1" x14ac:dyDescent="0.25">
      <c r="A45" s="38">
        <f>Données!A39</f>
        <v>5471</v>
      </c>
      <c r="B45" s="404" t="str">
        <f>Données!B39</f>
        <v>Bettens</v>
      </c>
      <c r="C45" s="31">
        <f>VPI!R39</f>
        <v>23731.223904761908</v>
      </c>
      <c r="D45" s="8">
        <f>Données!N39</f>
        <v>12214.1</v>
      </c>
      <c r="E45" s="171">
        <f>Données!O39+Données!P39+Données!R39</f>
        <v>140028.79999999999</v>
      </c>
      <c r="F45" s="373">
        <f t="shared" si="2"/>
        <v>73678.62999999999</v>
      </c>
      <c r="G45" s="373">
        <f>Ecrêtage!M39</f>
        <v>0</v>
      </c>
      <c r="H45" s="374">
        <f t="shared" si="3"/>
        <v>272162.17342584231</v>
      </c>
      <c r="I45" s="239">
        <f t="shared" si="4"/>
        <v>345840.80342584231</v>
      </c>
    </row>
    <row r="46" spans="1:9" s="35" customFormat="1" x14ac:dyDescent="0.25">
      <c r="A46" s="38">
        <f>Données!A40</f>
        <v>5472</v>
      </c>
      <c r="B46" s="404" t="str">
        <f>Données!B40</f>
        <v>Bournens</v>
      </c>
      <c r="C46" s="31">
        <f>VPI!R40</f>
        <v>20138.90088235294</v>
      </c>
      <c r="D46" s="8">
        <f>Données!N40</f>
        <v>0</v>
      </c>
      <c r="E46" s="171">
        <f>Données!O40+Données!P40+Données!R40</f>
        <v>124105.65</v>
      </c>
      <c r="F46" s="373">
        <f t="shared" si="2"/>
        <v>62052.824999999997</v>
      </c>
      <c r="G46" s="373">
        <f>Ecrêtage!M40</f>
        <v>0</v>
      </c>
      <c r="H46" s="374">
        <f t="shared" si="3"/>
        <v>230963.52116289132</v>
      </c>
      <c r="I46" s="239">
        <f t="shared" si="4"/>
        <v>293016.34616289131</v>
      </c>
    </row>
    <row r="47" spans="1:9" s="35" customFormat="1" x14ac:dyDescent="0.25">
      <c r="A47" s="38">
        <f>Données!A41</f>
        <v>5473</v>
      </c>
      <c r="B47" s="404" t="str">
        <f>Données!B41</f>
        <v>Boussens</v>
      </c>
      <c r="C47" s="31">
        <f>VPI!R41</f>
        <v>38661.720757575771</v>
      </c>
      <c r="D47" s="8">
        <f>Données!N41</f>
        <v>5069.8</v>
      </c>
      <c r="E47" s="171">
        <f>Données!O41+Données!P41+Données!R41</f>
        <v>180217.55</v>
      </c>
      <c r="F47" s="373">
        <f t="shared" si="2"/>
        <v>91629.714999999997</v>
      </c>
      <c r="G47" s="373">
        <f>Ecrêtage!M41</f>
        <v>0</v>
      </c>
      <c r="H47" s="374">
        <f t="shared" si="3"/>
        <v>443392.97425167466</v>
      </c>
      <c r="I47" s="239">
        <f t="shared" si="4"/>
        <v>535022.68925167469</v>
      </c>
    </row>
    <row r="48" spans="1:9" s="35" customFormat="1" x14ac:dyDescent="0.25">
      <c r="A48" s="38">
        <f>Données!A42</f>
        <v>5474</v>
      </c>
      <c r="B48" s="404" t="str">
        <f>Données!B42</f>
        <v>La Chaux (Cossonay)</v>
      </c>
      <c r="C48" s="31">
        <f>VPI!R42</f>
        <v>14789.202587719299</v>
      </c>
      <c r="D48" s="8">
        <f>Données!N42</f>
        <v>5210.8500000000004</v>
      </c>
      <c r="E48" s="171">
        <f>Données!O42+Données!P42+Données!R42</f>
        <v>96970.4</v>
      </c>
      <c r="F48" s="373">
        <f t="shared" si="2"/>
        <v>50048.454999999994</v>
      </c>
      <c r="G48" s="373">
        <f>Ecrêtage!M42</f>
        <v>0</v>
      </c>
      <c r="H48" s="374">
        <f t="shared" si="3"/>
        <v>169610.36378326474</v>
      </c>
      <c r="I48" s="239">
        <f t="shared" si="4"/>
        <v>219658.81878326472</v>
      </c>
    </row>
    <row r="49" spans="1:9" s="35" customFormat="1" x14ac:dyDescent="0.25">
      <c r="A49" s="38">
        <f>Données!A43</f>
        <v>5475</v>
      </c>
      <c r="B49" s="404" t="str">
        <f>Données!B43</f>
        <v>Chavannes-le-Veyron</v>
      </c>
      <c r="C49" s="31">
        <f>VPI!R43</f>
        <v>4582.5893333333333</v>
      </c>
      <c r="D49" s="8">
        <f>Données!N43</f>
        <v>0</v>
      </c>
      <c r="E49" s="171">
        <f>Données!O43+Données!P43+Données!R43</f>
        <v>42855.5</v>
      </c>
      <c r="F49" s="373">
        <f t="shared" si="2"/>
        <v>21427.75</v>
      </c>
      <c r="G49" s="373">
        <f>Ecrêtage!M43</f>
        <v>0</v>
      </c>
      <c r="H49" s="374">
        <f t="shared" si="3"/>
        <v>52555.547825235299</v>
      </c>
      <c r="I49" s="239">
        <f t="shared" si="4"/>
        <v>73983.297825235291</v>
      </c>
    </row>
    <row r="50" spans="1:9" s="35" customFormat="1" x14ac:dyDescent="0.25">
      <c r="A50" s="38">
        <f>Données!A44</f>
        <v>5476</v>
      </c>
      <c r="B50" s="404" t="str">
        <f>Données!B44</f>
        <v>Chevilly</v>
      </c>
      <c r="C50" s="31">
        <f>VPI!R44</f>
        <v>13414.448028169016</v>
      </c>
      <c r="D50" s="8">
        <f>Données!N44</f>
        <v>0</v>
      </c>
      <c r="E50" s="171">
        <f>Données!O44+Données!P44+Données!R44</f>
        <v>78806.399999999994</v>
      </c>
      <c r="F50" s="373">
        <f t="shared" si="2"/>
        <v>39403.199999999997</v>
      </c>
      <c r="G50" s="373">
        <f>Ecrêtage!M44</f>
        <v>0</v>
      </c>
      <c r="H50" s="374">
        <f t="shared" si="3"/>
        <v>153843.95450088408</v>
      </c>
      <c r="I50" s="239">
        <f t="shared" si="4"/>
        <v>193247.15450088406</v>
      </c>
    </row>
    <row r="51" spans="1:9" s="35" customFormat="1" x14ac:dyDescent="0.25">
      <c r="A51" s="38">
        <f>Données!A45</f>
        <v>5477</v>
      </c>
      <c r="B51" s="404" t="str">
        <f>Données!B45</f>
        <v>Cossonay</v>
      </c>
      <c r="C51" s="31">
        <f>VPI!R45</f>
        <v>157014.45764705885</v>
      </c>
      <c r="D51" s="8">
        <f>Données!N45</f>
        <v>164975.85</v>
      </c>
      <c r="E51" s="171">
        <f>Données!O45+Données!P45+Données!R45</f>
        <v>1565263.1500000001</v>
      </c>
      <c r="F51" s="373">
        <f t="shared" si="2"/>
        <v>832124.33000000007</v>
      </c>
      <c r="G51" s="373">
        <f>Ecrêtage!M45</f>
        <v>0</v>
      </c>
      <c r="H51" s="374">
        <f t="shared" si="3"/>
        <v>1800724.4895586071</v>
      </c>
      <c r="I51" s="239">
        <f t="shared" si="4"/>
        <v>2632848.8195586074</v>
      </c>
    </row>
    <row r="52" spans="1:9" s="35" customFormat="1" x14ac:dyDescent="0.25">
      <c r="A52" s="38">
        <f>Données!A46</f>
        <v>5479</v>
      </c>
      <c r="B52" s="404" t="str">
        <f>Données!B46</f>
        <v>Cuarnens</v>
      </c>
      <c r="C52" s="31">
        <f>VPI!R46</f>
        <v>18824.412763157892</v>
      </c>
      <c r="D52" s="8">
        <f>Données!N46</f>
        <v>9993.2999999999993</v>
      </c>
      <c r="E52" s="171">
        <f>Données!O46+Données!P46+Données!R46</f>
        <v>78450.95</v>
      </c>
      <c r="F52" s="373">
        <f t="shared" si="2"/>
        <v>42223.464999999997</v>
      </c>
      <c r="G52" s="373">
        <f>Ecrêtage!M46</f>
        <v>0</v>
      </c>
      <c r="H52" s="374">
        <f t="shared" si="3"/>
        <v>215888.27915690336</v>
      </c>
      <c r="I52" s="239">
        <f t="shared" si="4"/>
        <v>258111.74415690335</v>
      </c>
    </row>
    <row r="53" spans="1:9" s="35" customFormat="1" x14ac:dyDescent="0.25">
      <c r="A53" s="38">
        <f>Données!A47</f>
        <v>5480</v>
      </c>
      <c r="B53" s="404" t="str">
        <f>Données!B47</f>
        <v>Daillens</v>
      </c>
      <c r="C53" s="31">
        <f>VPI!R47</f>
        <v>49216.067727272741</v>
      </c>
      <c r="D53" s="8">
        <f>Données!N47</f>
        <v>209316.65</v>
      </c>
      <c r="E53" s="171">
        <f>Données!O47+Données!P47+Données!R47</f>
        <v>299066.55</v>
      </c>
      <c r="F53" s="373">
        <f t="shared" si="2"/>
        <v>212328.27</v>
      </c>
      <c r="G53" s="373">
        <f>Ecrêtage!M47</f>
        <v>0</v>
      </c>
      <c r="H53" s="374">
        <f t="shared" si="3"/>
        <v>564435.78358553234</v>
      </c>
      <c r="I53" s="239">
        <f t="shared" si="4"/>
        <v>776764.05358553235</v>
      </c>
    </row>
    <row r="54" spans="1:9" s="35" customFormat="1" x14ac:dyDescent="0.25">
      <c r="A54" s="38">
        <f>Données!A48</f>
        <v>5481</v>
      </c>
      <c r="B54" s="404" t="str">
        <f>Données!B48</f>
        <v>Dizy</v>
      </c>
      <c r="C54" s="31">
        <f>VPI!R48</f>
        <v>8943.6092000000008</v>
      </c>
      <c r="D54" s="8">
        <f>Données!N48</f>
        <v>0</v>
      </c>
      <c r="E54" s="171">
        <f>Données!O48+Données!P48+Données!R48</f>
        <v>75185.95</v>
      </c>
      <c r="F54" s="373">
        <f t="shared" si="2"/>
        <v>37592.974999999999</v>
      </c>
      <c r="G54" s="373">
        <f>Ecrêtage!M48</f>
        <v>0</v>
      </c>
      <c r="H54" s="374">
        <f t="shared" si="3"/>
        <v>102570.02032056719</v>
      </c>
      <c r="I54" s="239">
        <f t="shared" si="4"/>
        <v>140162.99532056719</v>
      </c>
    </row>
    <row r="55" spans="1:9" s="35" customFormat="1" x14ac:dyDescent="0.25">
      <c r="A55" s="38">
        <f>Données!A49</f>
        <v>5482</v>
      </c>
      <c r="B55" s="404" t="str">
        <f>Données!B49</f>
        <v>Eclépens</v>
      </c>
      <c r="C55" s="31">
        <f>VPI!R49</f>
        <v>57580.307391304363</v>
      </c>
      <c r="D55" s="8">
        <f>Données!N49</f>
        <v>670975.94999999995</v>
      </c>
      <c r="E55" s="171">
        <f>Données!O49+Données!P49+Données!R49</f>
        <v>104589.5</v>
      </c>
      <c r="F55" s="373">
        <f t="shared" si="2"/>
        <v>253587.53499999997</v>
      </c>
      <c r="G55" s="373">
        <f>Ecrêtage!M49</f>
        <v>0</v>
      </c>
      <c r="H55" s="374">
        <f t="shared" si="3"/>
        <v>660361.28895151115</v>
      </c>
      <c r="I55" s="239">
        <f t="shared" si="4"/>
        <v>913948.82395151118</v>
      </c>
    </row>
    <row r="56" spans="1:9" s="35" customFormat="1" x14ac:dyDescent="0.25">
      <c r="A56" s="38">
        <f>Données!A50</f>
        <v>5483</v>
      </c>
      <c r="B56" s="404" t="str">
        <f>Données!B50</f>
        <v>Ferreyres</v>
      </c>
      <c r="C56" s="31">
        <f>VPI!R50</f>
        <v>11908.696842105262</v>
      </c>
      <c r="D56" s="8">
        <f>Données!N50</f>
        <v>934.25</v>
      </c>
      <c r="E56" s="171">
        <f>Données!O50+Données!P50+Données!R50</f>
        <v>8936.0499999999993</v>
      </c>
      <c r="F56" s="373">
        <f t="shared" si="2"/>
        <v>4748.2999999999993</v>
      </c>
      <c r="G56" s="373">
        <f>Ecrêtage!M50</f>
        <v>0</v>
      </c>
      <c r="H56" s="374">
        <f t="shared" si="3"/>
        <v>136575.20691827757</v>
      </c>
      <c r="I56" s="239">
        <f t="shared" si="4"/>
        <v>141323.50691827756</v>
      </c>
    </row>
    <row r="57" spans="1:9" s="35" customFormat="1" x14ac:dyDescent="0.25">
      <c r="A57" s="38">
        <f>Données!A51</f>
        <v>5484</v>
      </c>
      <c r="B57" s="404" t="str">
        <f>Données!B51</f>
        <v>Gollion</v>
      </c>
      <c r="C57" s="31">
        <f>VPI!R51</f>
        <v>34768.807162162164</v>
      </c>
      <c r="D57" s="8">
        <f>Données!N51</f>
        <v>39886.400000000001</v>
      </c>
      <c r="E57" s="171">
        <f>Données!O51+Données!P51+Données!R51</f>
        <v>195327.4</v>
      </c>
      <c r="F57" s="373">
        <f t="shared" si="2"/>
        <v>109629.62</v>
      </c>
      <c r="G57" s="373">
        <f>Ecrêtage!M51</f>
        <v>0</v>
      </c>
      <c r="H57" s="374">
        <f t="shared" si="3"/>
        <v>398746.99099607964</v>
      </c>
      <c r="I57" s="239">
        <f t="shared" si="4"/>
        <v>508376.61099607963</v>
      </c>
    </row>
    <row r="58" spans="1:9" s="35" customFormat="1" x14ac:dyDescent="0.25">
      <c r="A58" s="38">
        <f>Données!A52</f>
        <v>5485</v>
      </c>
      <c r="B58" s="404" t="str">
        <f>Données!B52</f>
        <v>Grancy</v>
      </c>
      <c r="C58" s="31">
        <f>VPI!R52</f>
        <v>29330.080571428571</v>
      </c>
      <c r="D58" s="8">
        <f>Données!N52</f>
        <v>8427.65</v>
      </c>
      <c r="E58" s="171">
        <f>Données!O52+Données!P52+Données!R52</f>
        <v>45511.15</v>
      </c>
      <c r="F58" s="373">
        <f t="shared" si="2"/>
        <v>25283.87</v>
      </c>
      <c r="G58" s="373">
        <f>Ecrêtage!M52</f>
        <v>31861.59931972318</v>
      </c>
      <c r="H58" s="374">
        <f t="shared" si="3"/>
        <v>336372.8102313886</v>
      </c>
      <c r="I58" s="239">
        <f t="shared" si="4"/>
        <v>393518.2795511118</v>
      </c>
    </row>
    <row r="59" spans="1:9" s="35" customFormat="1" x14ac:dyDescent="0.25">
      <c r="A59" s="38">
        <f>Données!A53</f>
        <v>5486</v>
      </c>
      <c r="B59" s="404" t="str">
        <f>Données!B53</f>
        <v>L'Isle</v>
      </c>
      <c r="C59" s="31">
        <f>VPI!R53</f>
        <v>33915.013599999991</v>
      </c>
      <c r="D59" s="8">
        <f>Données!N53</f>
        <v>58679</v>
      </c>
      <c r="E59" s="171">
        <f>Données!O53+Données!P53+Données!R53</f>
        <v>157912.35</v>
      </c>
      <c r="F59" s="373">
        <f t="shared" si="2"/>
        <v>96559.875</v>
      </c>
      <c r="G59" s="373">
        <f>Ecrêtage!M53</f>
        <v>0</v>
      </c>
      <c r="H59" s="374">
        <f t="shared" si="3"/>
        <v>388955.23678788554</v>
      </c>
      <c r="I59" s="239">
        <f t="shared" si="4"/>
        <v>485515.11178788554</v>
      </c>
    </row>
    <row r="60" spans="1:9" s="35" customFormat="1" x14ac:dyDescent="0.25">
      <c r="A60" s="38">
        <f>Données!A54</f>
        <v>5487</v>
      </c>
      <c r="B60" s="404" t="str">
        <f>Données!B54</f>
        <v>Lussery-Villars</v>
      </c>
      <c r="C60" s="31">
        <f>VPI!R54</f>
        <v>14930.073733333335</v>
      </c>
      <c r="D60" s="8">
        <f>Données!N54</f>
        <v>0</v>
      </c>
      <c r="E60" s="171">
        <f>Données!O54+Données!P54+Données!R54</f>
        <v>86790.6</v>
      </c>
      <c r="F60" s="373">
        <f t="shared" si="2"/>
        <v>43395.3</v>
      </c>
      <c r="G60" s="373">
        <f>Ecrêtage!M54</f>
        <v>0</v>
      </c>
      <c r="H60" s="374">
        <f t="shared" si="3"/>
        <v>171225.9482688003</v>
      </c>
      <c r="I60" s="239">
        <f t="shared" si="4"/>
        <v>214621.24826880032</v>
      </c>
    </row>
    <row r="61" spans="1:9" s="35" customFormat="1" x14ac:dyDescent="0.25">
      <c r="A61" s="38">
        <f>Données!A55</f>
        <v>5488</v>
      </c>
      <c r="B61" s="404" t="str">
        <f>Données!B55</f>
        <v>Mauraz</v>
      </c>
      <c r="C61" s="31">
        <f>VPI!R55</f>
        <v>1845.4819480519479</v>
      </c>
      <c r="D61" s="8">
        <f>Données!N55</f>
        <v>0</v>
      </c>
      <c r="E61" s="171">
        <f>Données!O55+Données!P55+Données!R55</f>
        <v>7976.4</v>
      </c>
      <c r="F61" s="373">
        <f t="shared" si="2"/>
        <v>3988.2</v>
      </c>
      <c r="G61" s="373">
        <f>Ecrêtage!M55</f>
        <v>0</v>
      </c>
      <c r="H61" s="374">
        <f t="shared" si="3"/>
        <v>21164.958875095774</v>
      </c>
      <c r="I61" s="239">
        <f t="shared" si="4"/>
        <v>25153.158875095774</v>
      </c>
    </row>
    <row r="62" spans="1:9" s="35" customFormat="1" x14ac:dyDescent="0.25">
      <c r="A62" s="38">
        <f>Données!A56</f>
        <v>5489</v>
      </c>
      <c r="B62" s="404" t="str">
        <f>Données!B56</f>
        <v>Mex</v>
      </c>
      <c r="C62" s="31">
        <f>VPI!R56</f>
        <v>61579.806386554606</v>
      </c>
      <c r="D62" s="8">
        <f>Données!N56</f>
        <v>211586.96</v>
      </c>
      <c r="E62" s="171">
        <f>Données!O56+Données!P56+Données!R56</f>
        <v>405623.95</v>
      </c>
      <c r="F62" s="373">
        <f t="shared" si="2"/>
        <v>266288.06300000002</v>
      </c>
      <c r="G62" s="373">
        <f>Ecrêtage!M56</f>
        <v>336965.23959103442</v>
      </c>
      <c r="H62" s="374">
        <f t="shared" si="3"/>
        <v>706229.64970400301</v>
      </c>
      <c r="I62" s="239">
        <f t="shared" si="4"/>
        <v>1309482.9522950375</v>
      </c>
    </row>
    <row r="63" spans="1:9" s="35" customFormat="1" x14ac:dyDescent="0.25">
      <c r="A63" s="38">
        <f>Données!A57</f>
        <v>5490</v>
      </c>
      <c r="B63" s="404" t="str">
        <f>Données!B57</f>
        <v>Moiry</v>
      </c>
      <c r="C63" s="31">
        <f>VPI!R57</f>
        <v>9143.6155263157889</v>
      </c>
      <c r="D63" s="8">
        <f>Données!N57</f>
        <v>16.5</v>
      </c>
      <c r="E63" s="171">
        <f>Données!O57+Données!P57+Données!R57</f>
        <v>9075</v>
      </c>
      <c r="F63" s="373">
        <f t="shared" si="2"/>
        <v>4542.45</v>
      </c>
      <c r="G63" s="373">
        <f>Ecrêtage!M57</f>
        <v>0</v>
      </c>
      <c r="H63" s="374">
        <f t="shared" si="3"/>
        <v>104863.79820102874</v>
      </c>
      <c r="I63" s="239">
        <f t="shared" si="4"/>
        <v>109406.24820102873</v>
      </c>
    </row>
    <row r="64" spans="1:9" s="35" customFormat="1" x14ac:dyDescent="0.25">
      <c r="A64" s="38">
        <f>Données!A58</f>
        <v>5491</v>
      </c>
      <c r="B64" s="404" t="str">
        <f>Données!B58</f>
        <v>Mont-la-Ville</v>
      </c>
      <c r="C64" s="31">
        <f>VPI!R58</f>
        <v>14485.97789473684</v>
      </c>
      <c r="D64" s="8">
        <f>Données!N58</f>
        <v>2386.65</v>
      </c>
      <c r="E64" s="171">
        <f>Données!O58+Données!P58+Données!R58</f>
        <v>54661.3</v>
      </c>
      <c r="F64" s="373">
        <f t="shared" si="2"/>
        <v>28046.645</v>
      </c>
      <c r="G64" s="373">
        <f>Ecrêtage!M58</f>
        <v>0</v>
      </c>
      <c r="H64" s="374">
        <f t="shared" si="3"/>
        <v>166132.823315496</v>
      </c>
      <c r="I64" s="239">
        <f t="shared" si="4"/>
        <v>194179.46831549599</v>
      </c>
    </row>
    <row r="65" spans="1:9" s="35" customFormat="1" x14ac:dyDescent="0.25">
      <c r="A65" s="38">
        <f>Données!A59</f>
        <v>5492</v>
      </c>
      <c r="B65" s="404" t="str">
        <f>Données!B59</f>
        <v>Montricher</v>
      </c>
      <c r="C65" s="31">
        <f>VPI!R59</f>
        <v>196115.50781249997</v>
      </c>
      <c r="D65" s="8">
        <f>Données!N59</f>
        <v>11096</v>
      </c>
      <c r="E65" s="171">
        <f>Données!O59+Données!P59+Données!R59</f>
        <v>207094.8</v>
      </c>
      <c r="F65" s="373">
        <f t="shared" si="2"/>
        <v>106876.2</v>
      </c>
      <c r="G65" s="373">
        <f>Ecrêtage!M59</f>
        <v>4577076.9909984749</v>
      </c>
      <c r="H65" s="374">
        <f t="shared" si="3"/>
        <v>2249155.9248257931</v>
      </c>
      <c r="I65" s="239">
        <f t="shared" si="4"/>
        <v>6933109.1158242682</v>
      </c>
    </row>
    <row r="66" spans="1:9" s="35" customFormat="1" x14ac:dyDescent="0.25">
      <c r="A66" s="38">
        <f>Données!A60</f>
        <v>5493</v>
      </c>
      <c r="B66" s="404" t="str">
        <f>Données!B60</f>
        <v>Orny</v>
      </c>
      <c r="C66" s="31">
        <f>VPI!R60</f>
        <v>15159.363245521601</v>
      </c>
      <c r="D66" s="8">
        <f>Données!N60</f>
        <v>63129.05</v>
      </c>
      <c r="E66" s="171">
        <f>Données!O60+Données!P60+Données!R60</f>
        <v>108710.45000000001</v>
      </c>
      <c r="F66" s="373">
        <f t="shared" si="2"/>
        <v>73293.94</v>
      </c>
      <c r="G66" s="373">
        <f>Ecrêtage!M60</f>
        <v>0</v>
      </c>
      <c r="H66" s="374">
        <f t="shared" si="3"/>
        <v>173855.56114638929</v>
      </c>
      <c r="I66" s="239">
        <f t="shared" si="4"/>
        <v>247149.50114638929</v>
      </c>
    </row>
    <row r="67" spans="1:9" s="35" customFormat="1" x14ac:dyDescent="0.25">
      <c r="A67" s="38">
        <f>Données!A61</f>
        <v>5495</v>
      </c>
      <c r="B67" s="404" t="str">
        <f>Données!B61</f>
        <v>Penthalaz</v>
      </c>
      <c r="C67" s="31">
        <f>VPI!R61</f>
        <v>95849.092413793114</v>
      </c>
      <c r="D67" s="8">
        <f>Données!N61</f>
        <v>350622.75</v>
      </c>
      <c r="E67" s="171">
        <f>Données!O61+Données!P61+Données!R61</f>
        <v>321609.15000000002</v>
      </c>
      <c r="F67" s="373">
        <f t="shared" si="2"/>
        <v>265991.40000000002</v>
      </c>
      <c r="G67" s="373">
        <f>Ecrêtage!M61</f>
        <v>0</v>
      </c>
      <c r="H67" s="374">
        <f t="shared" si="3"/>
        <v>1099247.869259614</v>
      </c>
      <c r="I67" s="239">
        <f t="shared" si="4"/>
        <v>1365239.2692596139</v>
      </c>
    </row>
    <row r="68" spans="1:9" s="35" customFormat="1" x14ac:dyDescent="0.25">
      <c r="A68" s="38">
        <f>Données!A62</f>
        <v>5496</v>
      </c>
      <c r="B68" s="404" t="str">
        <f>Données!B62</f>
        <v>Penthaz</v>
      </c>
      <c r="C68" s="31">
        <f>VPI!R62</f>
        <v>67087.565323741001</v>
      </c>
      <c r="D68" s="8">
        <f>Données!N62</f>
        <v>93034</v>
      </c>
      <c r="E68" s="171">
        <f>Données!O62+Données!P62+Données!R62</f>
        <v>388787.7</v>
      </c>
      <c r="F68" s="373">
        <f t="shared" si="2"/>
        <v>222304.05000000002</v>
      </c>
      <c r="G68" s="373">
        <f>Ecrêtage!M62</f>
        <v>0</v>
      </c>
      <c r="H68" s="374">
        <f t="shared" si="3"/>
        <v>769395.52977264393</v>
      </c>
      <c r="I68" s="239">
        <f t="shared" si="4"/>
        <v>991699.57977264398</v>
      </c>
    </row>
    <row r="69" spans="1:9" s="35" customFormat="1" x14ac:dyDescent="0.25">
      <c r="A69" s="38">
        <f>Données!A63</f>
        <v>5497</v>
      </c>
      <c r="B69" s="404" t="str">
        <f>Données!B63</f>
        <v>Pompaples</v>
      </c>
      <c r="C69" s="31">
        <f>VPI!R63</f>
        <v>25508.981363636369</v>
      </c>
      <c r="D69" s="8">
        <f>Données!N63</f>
        <v>202751.4</v>
      </c>
      <c r="E69" s="171">
        <f>Données!O63+Données!P63+Données!R63</f>
        <v>250050.34999999998</v>
      </c>
      <c r="F69" s="373">
        <f t="shared" si="2"/>
        <v>185850.59499999997</v>
      </c>
      <c r="G69" s="373">
        <f>Ecrêtage!M63</f>
        <v>0</v>
      </c>
      <c r="H69" s="374">
        <f t="shared" si="3"/>
        <v>292550.43219298444</v>
      </c>
      <c r="I69" s="239">
        <f t="shared" si="4"/>
        <v>478401.02719298442</v>
      </c>
    </row>
    <row r="70" spans="1:9" s="35" customFormat="1" x14ac:dyDescent="0.25">
      <c r="A70" s="38">
        <f>Données!A64</f>
        <v>5498</v>
      </c>
      <c r="B70" s="404" t="str">
        <f>Données!B64</f>
        <v>La Sarraz</v>
      </c>
      <c r="C70" s="31">
        <f>VPI!R64</f>
        <v>78158.734848484863</v>
      </c>
      <c r="D70" s="8">
        <f>Données!N64</f>
        <v>115425.7</v>
      </c>
      <c r="E70" s="171">
        <f>Données!O64+Données!P64+Données!R64</f>
        <v>345919.1</v>
      </c>
      <c r="F70" s="373">
        <f t="shared" si="2"/>
        <v>207587.25999999998</v>
      </c>
      <c r="G70" s="373">
        <f>Ecrêtage!M64</f>
        <v>0</v>
      </c>
      <c r="H70" s="374">
        <f t="shared" si="3"/>
        <v>896365.53234447166</v>
      </c>
      <c r="I70" s="239">
        <f t="shared" si="4"/>
        <v>1103952.7923444717</v>
      </c>
    </row>
    <row r="71" spans="1:9" s="35" customFormat="1" x14ac:dyDescent="0.25">
      <c r="A71" s="38">
        <f>Données!A65</f>
        <v>5499</v>
      </c>
      <c r="B71" s="404" t="str">
        <f>Données!B65</f>
        <v>Senarclens</v>
      </c>
      <c r="C71" s="31">
        <f>VPI!R65</f>
        <v>25627.946715328464</v>
      </c>
      <c r="D71" s="8">
        <f>Données!N65</f>
        <v>35031.15</v>
      </c>
      <c r="E71" s="171">
        <f>Données!O65+Données!P65+Données!R65</f>
        <v>174168.15</v>
      </c>
      <c r="F71" s="373">
        <f t="shared" si="2"/>
        <v>97593.42</v>
      </c>
      <c r="G71" s="373">
        <f>Ecrêtage!M65</f>
        <v>18404.812860587848</v>
      </c>
      <c r="H71" s="374">
        <f t="shared" si="3"/>
        <v>293914.78949747194</v>
      </c>
      <c r="I71" s="239">
        <f t="shared" si="4"/>
        <v>409913.02235805977</v>
      </c>
    </row>
    <row r="72" spans="1:9" s="35" customFormat="1" x14ac:dyDescent="0.25">
      <c r="A72" s="38">
        <f>Données!A66</f>
        <v>5501</v>
      </c>
      <c r="B72" s="404" t="str">
        <f>Données!B66</f>
        <v>Sullens</v>
      </c>
      <c r="C72" s="31">
        <f>VPI!R66</f>
        <v>54206.164375000008</v>
      </c>
      <c r="D72" s="8">
        <f>Données!N66</f>
        <v>15136.1</v>
      </c>
      <c r="E72" s="171">
        <f>Données!O66+Données!P66+Données!R66</f>
        <v>265996.95</v>
      </c>
      <c r="F72" s="373">
        <f t="shared" si="2"/>
        <v>137539.30499999999</v>
      </c>
      <c r="G72" s="373">
        <f>Ecrêtage!M66</f>
        <v>0</v>
      </c>
      <c r="H72" s="374">
        <f t="shared" si="3"/>
        <v>621664.8398997304</v>
      </c>
      <c r="I72" s="239">
        <f t="shared" si="4"/>
        <v>759204.14489973034</v>
      </c>
    </row>
    <row r="73" spans="1:9" s="35" customFormat="1" x14ac:dyDescent="0.25">
      <c r="A73" s="38">
        <f>Données!A67</f>
        <v>5503</v>
      </c>
      <c r="B73" s="404" t="str">
        <f>Données!B67</f>
        <v>Vufflens-la-Ville</v>
      </c>
      <c r="C73" s="31">
        <f>VPI!R67</f>
        <v>77419.766343283569</v>
      </c>
      <c r="D73" s="8">
        <f>Données!N67</f>
        <v>294580.28999999998</v>
      </c>
      <c r="E73" s="171">
        <f>Données!O67+Données!P67+Données!R67</f>
        <v>194873.7</v>
      </c>
      <c r="F73" s="373">
        <f t="shared" si="2"/>
        <v>185810.93699999998</v>
      </c>
      <c r="G73" s="373">
        <f>Ecrêtage!M67</f>
        <v>151984.2074374787</v>
      </c>
      <c r="H73" s="374">
        <f t="shared" si="3"/>
        <v>887890.65236036468</v>
      </c>
      <c r="I73" s="239">
        <f t="shared" si="4"/>
        <v>1225685.7967978434</v>
      </c>
    </row>
    <row r="74" spans="1:9" s="35" customFormat="1" x14ac:dyDescent="0.25">
      <c r="A74" s="38">
        <f>Données!A68</f>
        <v>5511</v>
      </c>
      <c r="B74" s="404" t="str">
        <f>Données!B68</f>
        <v>Assens</v>
      </c>
      <c r="C74" s="31">
        <f>VPI!R68</f>
        <v>74810.046857142865</v>
      </c>
      <c r="D74" s="8">
        <f>Données!N68</f>
        <v>530292.80000000005</v>
      </c>
      <c r="E74" s="171">
        <f>Données!O68+Données!P68+Données!R68</f>
        <v>172854.2</v>
      </c>
      <c r="F74" s="373">
        <f t="shared" si="2"/>
        <v>245514.94</v>
      </c>
      <c r="G74" s="373">
        <f>Ecrêtage!M68</f>
        <v>0</v>
      </c>
      <c r="H74" s="374">
        <f t="shared" si="3"/>
        <v>857961.01492445881</v>
      </c>
      <c r="I74" s="239">
        <f t="shared" si="4"/>
        <v>1103475.9549244589</v>
      </c>
    </row>
    <row r="75" spans="1:9" s="35" customFormat="1" x14ac:dyDescent="0.25">
      <c r="A75" s="38">
        <f>Données!A69</f>
        <v>5512</v>
      </c>
      <c r="B75" s="404" t="str">
        <f>Données!B69</f>
        <v>Bercher</v>
      </c>
      <c r="C75" s="31">
        <f>VPI!R69</f>
        <v>42301.871392405068</v>
      </c>
      <c r="D75" s="8">
        <f>Données!N69</f>
        <v>112013.15</v>
      </c>
      <c r="E75" s="171">
        <f>Données!O69+Données!P69+Données!R69</f>
        <v>140560.25</v>
      </c>
      <c r="F75" s="373">
        <f t="shared" si="2"/>
        <v>103884.07</v>
      </c>
      <c r="G75" s="373">
        <f>Ecrêtage!M69</f>
        <v>0</v>
      </c>
      <c r="H75" s="374">
        <f t="shared" si="3"/>
        <v>485140.13876154239</v>
      </c>
      <c r="I75" s="239">
        <f t="shared" si="4"/>
        <v>589024.20876154234</v>
      </c>
    </row>
    <row r="76" spans="1:9" s="35" customFormat="1" x14ac:dyDescent="0.25">
      <c r="A76" s="38">
        <f>Données!A70</f>
        <v>5514</v>
      </c>
      <c r="B76" s="404" t="str">
        <f>Données!B70</f>
        <v>Bottens</v>
      </c>
      <c r="C76" s="31">
        <f>VPI!R70</f>
        <v>45049.61903448277</v>
      </c>
      <c r="D76" s="8">
        <f>Données!N70</f>
        <v>27870.25</v>
      </c>
      <c r="E76" s="171">
        <f>Données!O70+Données!P70+Données!R70</f>
        <v>254733.8</v>
      </c>
      <c r="F76" s="373">
        <f t="shared" si="2"/>
        <v>135727.97500000001</v>
      </c>
      <c r="G76" s="373">
        <f>Ecrêtage!M70</f>
        <v>0</v>
      </c>
      <c r="H76" s="374">
        <f t="shared" si="3"/>
        <v>516652.75578015059</v>
      </c>
      <c r="I76" s="239">
        <f t="shared" si="4"/>
        <v>652380.73078015062</v>
      </c>
    </row>
    <row r="77" spans="1:9" s="35" customFormat="1" x14ac:dyDescent="0.25">
      <c r="A77" s="38">
        <f>Données!A71</f>
        <v>5515</v>
      </c>
      <c r="B77" s="404" t="str">
        <f>Données!B71</f>
        <v>Bretigny-sur-Morrens</v>
      </c>
      <c r="C77" s="31">
        <f>VPI!R71</f>
        <v>32261.164358974351</v>
      </c>
      <c r="D77" s="8">
        <f>Données!N71</f>
        <v>13889.7</v>
      </c>
      <c r="E77" s="171">
        <f>Données!O71+Données!P71+Données!R71</f>
        <v>143924.90000000002</v>
      </c>
      <c r="F77" s="373">
        <f t="shared" ref="F77:F140" si="5">D77*$D$11+E77*$E$11</f>
        <v>76129.360000000015</v>
      </c>
      <c r="G77" s="373">
        <f>Ecrêtage!M71</f>
        <v>0</v>
      </c>
      <c r="H77" s="374">
        <f t="shared" ref="H77:H140" si="6">$H$11*C77</f>
        <v>369988.02271740104</v>
      </c>
      <c r="I77" s="239">
        <f t="shared" ref="I77:I140" si="7">F77+H77+G77</f>
        <v>446117.38271740102</v>
      </c>
    </row>
    <row r="78" spans="1:9" s="35" customFormat="1" x14ac:dyDescent="0.25">
      <c r="A78" s="38">
        <f>Données!A72</f>
        <v>5516</v>
      </c>
      <c r="B78" s="404" t="str">
        <f>Données!B72</f>
        <v>Cugy</v>
      </c>
      <c r="C78" s="31">
        <f>VPI!R72</f>
        <v>114099.68980263159</v>
      </c>
      <c r="D78" s="8">
        <f>Données!N72</f>
        <v>104994.95</v>
      </c>
      <c r="E78" s="171">
        <f>Données!O72+Données!P72+Données!R72</f>
        <v>419810.65</v>
      </c>
      <c r="F78" s="373">
        <f t="shared" si="5"/>
        <v>241403.81</v>
      </c>
      <c r="G78" s="373">
        <f>Ecrêtage!M72</f>
        <v>0</v>
      </c>
      <c r="H78" s="374">
        <f t="shared" si="6"/>
        <v>1308555.3315127336</v>
      </c>
      <c r="I78" s="239">
        <f t="shared" si="7"/>
        <v>1549959.1415127337</v>
      </c>
    </row>
    <row r="79" spans="1:9" s="35" customFormat="1" x14ac:dyDescent="0.25">
      <c r="A79" s="38">
        <f>Données!A73</f>
        <v>5518</v>
      </c>
      <c r="B79" s="404" t="str">
        <f>Données!B73</f>
        <v>Echallens</v>
      </c>
      <c r="C79" s="31">
        <f>VPI!R73</f>
        <v>201769.75393103444</v>
      </c>
      <c r="D79" s="8">
        <f>Données!N73</f>
        <v>246468</v>
      </c>
      <c r="E79" s="171">
        <f>Données!O73+Données!P73+Données!R73</f>
        <v>2478776.5</v>
      </c>
      <c r="F79" s="373">
        <f t="shared" si="5"/>
        <v>1313328.6499999999</v>
      </c>
      <c r="G79" s="373">
        <f>Ecrêtage!M73</f>
        <v>0</v>
      </c>
      <c r="H79" s="374">
        <f t="shared" si="6"/>
        <v>2314001.7970353672</v>
      </c>
      <c r="I79" s="239">
        <f t="shared" si="7"/>
        <v>3627330.4470353671</v>
      </c>
    </row>
    <row r="80" spans="1:9" s="35" customFormat="1" x14ac:dyDescent="0.25">
      <c r="A80" s="38">
        <f>Données!A74</f>
        <v>5520</v>
      </c>
      <c r="B80" s="404" t="str">
        <f>Données!B74</f>
        <v>Essertines-sur-Yverdon</v>
      </c>
      <c r="C80" s="31">
        <f>VPI!R74</f>
        <v>32600.230945945943</v>
      </c>
      <c r="D80" s="8">
        <f>Données!N74</f>
        <v>31853.9</v>
      </c>
      <c r="E80" s="171">
        <f>Données!O74+Données!P74+Données!R74</f>
        <v>299571.34999999998</v>
      </c>
      <c r="F80" s="373">
        <f t="shared" si="5"/>
        <v>159341.845</v>
      </c>
      <c r="G80" s="373">
        <f>Ecrêtage!M74</f>
        <v>0</v>
      </c>
      <c r="H80" s="374">
        <f t="shared" si="6"/>
        <v>373876.61690102227</v>
      </c>
      <c r="I80" s="239">
        <f t="shared" si="7"/>
        <v>533218.46190102224</v>
      </c>
    </row>
    <row r="81" spans="1:9" s="35" customFormat="1" x14ac:dyDescent="0.25">
      <c r="A81" s="38">
        <f>Données!A75</f>
        <v>5521</v>
      </c>
      <c r="B81" s="404" t="str">
        <f>Données!B75</f>
        <v>Etagnières</v>
      </c>
      <c r="C81" s="31">
        <f>VPI!R75</f>
        <v>45069.292328767129</v>
      </c>
      <c r="D81" s="8">
        <f>Données!N75</f>
        <v>113270.55</v>
      </c>
      <c r="E81" s="171">
        <f>Données!O75+Données!P75+Données!R75</f>
        <v>145371.75</v>
      </c>
      <c r="F81" s="373">
        <f t="shared" si="5"/>
        <v>106667.04000000001</v>
      </c>
      <c r="G81" s="373">
        <f>Ecrêtage!M75</f>
        <v>0</v>
      </c>
      <c r="H81" s="374">
        <f t="shared" si="6"/>
        <v>516878.37947964307</v>
      </c>
      <c r="I81" s="239">
        <f t="shared" si="7"/>
        <v>623545.41947964311</v>
      </c>
    </row>
    <row r="82" spans="1:9" s="35" customFormat="1" x14ac:dyDescent="0.25">
      <c r="A82" s="38">
        <f>Données!A76</f>
        <v>5522</v>
      </c>
      <c r="B82" s="404" t="str">
        <f>Données!B76</f>
        <v>Fey</v>
      </c>
      <c r="C82" s="31">
        <f>VPI!R76</f>
        <v>22943.940666666665</v>
      </c>
      <c r="D82" s="8">
        <f>Données!N76</f>
        <v>61815.05</v>
      </c>
      <c r="E82" s="171">
        <f>Données!O76+Données!P76+Données!R76</f>
        <v>202574.25</v>
      </c>
      <c r="F82" s="373">
        <f t="shared" si="5"/>
        <v>119831.64</v>
      </c>
      <c r="G82" s="373">
        <f>Ecrêtage!M76</f>
        <v>0</v>
      </c>
      <c r="H82" s="374">
        <f t="shared" si="6"/>
        <v>263133.19464069244</v>
      </c>
      <c r="I82" s="239">
        <f t="shared" si="7"/>
        <v>382964.83464069245</v>
      </c>
    </row>
    <row r="83" spans="1:9" s="35" customFormat="1" x14ac:dyDescent="0.25">
      <c r="A83" s="38">
        <f>Données!A77</f>
        <v>5523</v>
      </c>
      <c r="B83" s="404" t="str">
        <f>Données!B77</f>
        <v>Froideville</v>
      </c>
      <c r="C83" s="31">
        <f>VPI!R77</f>
        <v>92586.842777777769</v>
      </c>
      <c r="D83" s="8">
        <f>Données!N77</f>
        <v>3558.35</v>
      </c>
      <c r="E83" s="171">
        <f>Données!O77+Données!P77+Données!R77</f>
        <v>456284.6</v>
      </c>
      <c r="F83" s="373">
        <f t="shared" si="5"/>
        <v>229209.80499999999</v>
      </c>
      <c r="G83" s="373">
        <f>Ecrêtage!M77</f>
        <v>0</v>
      </c>
      <c r="H83" s="374">
        <f t="shared" si="6"/>
        <v>1061834.6724199248</v>
      </c>
      <c r="I83" s="239">
        <f t="shared" si="7"/>
        <v>1291044.4774199247</v>
      </c>
    </row>
    <row r="84" spans="1:9" s="35" customFormat="1" x14ac:dyDescent="0.25">
      <c r="A84" s="38">
        <f>Données!A78</f>
        <v>5527</v>
      </c>
      <c r="B84" s="404" t="str">
        <f>Données!B78</f>
        <v>Morrens</v>
      </c>
      <c r="C84" s="31">
        <f>VPI!R78</f>
        <v>42908.9222972973</v>
      </c>
      <c r="D84" s="8">
        <f>Données!N78</f>
        <v>10602.75</v>
      </c>
      <c r="E84" s="171">
        <f>Données!O78+Données!P78+Données!R78</f>
        <v>296517.90000000002</v>
      </c>
      <c r="F84" s="373">
        <f t="shared" si="5"/>
        <v>151439.77500000002</v>
      </c>
      <c r="G84" s="373">
        <f>Ecrêtage!M78</f>
        <v>0</v>
      </c>
      <c r="H84" s="374">
        <f t="shared" si="6"/>
        <v>492102.11823291902</v>
      </c>
      <c r="I84" s="239">
        <f t="shared" si="7"/>
        <v>643541.89323291904</v>
      </c>
    </row>
    <row r="85" spans="1:9" s="35" customFormat="1" x14ac:dyDescent="0.25">
      <c r="A85" s="38">
        <f>Données!A79</f>
        <v>5529</v>
      </c>
      <c r="B85" s="404" t="str">
        <f>Données!B79</f>
        <v>Oulens-sous-Echallens</v>
      </c>
      <c r="C85" s="31">
        <f>VPI!R79</f>
        <v>22948.614507042254</v>
      </c>
      <c r="D85" s="8">
        <f>Données!N79</f>
        <v>1291.8</v>
      </c>
      <c r="E85" s="171">
        <f>Données!O79+Données!P79+Données!R79</f>
        <v>57569.899999999994</v>
      </c>
      <c r="F85" s="373">
        <f t="shared" si="5"/>
        <v>29172.489999999998</v>
      </c>
      <c r="G85" s="373">
        <f>Ecrêtage!M79</f>
        <v>0</v>
      </c>
      <c r="H85" s="374">
        <f t="shared" si="6"/>
        <v>263186.79670352623</v>
      </c>
      <c r="I85" s="239">
        <f t="shared" si="7"/>
        <v>292359.28670352622</v>
      </c>
    </row>
    <row r="86" spans="1:9" s="35" customFormat="1" x14ac:dyDescent="0.25">
      <c r="A86" s="38">
        <f>Données!A80</f>
        <v>5530</v>
      </c>
      <c r="B86" s="404" t="str">
        <f>Données!B80</f>
        <v>Pailly</v>
      </c>
      <c r="C86" s="31">
        <f>VPI!R80</f>
        <v>20543.565197368422</v>
      </c>
      <c r="D86" s="8">
        <f>Données!N80</f>
        <v>14828.7</v>
      </c>
      <c r="E86" s="171">
        <f>Données!O80+Données!P80+Données!R80</f>
        <v>104296.15</v>
      </c>
      <c r="F86" s="373">
        <f t="shared" si="5"/>
        <v>56596.684999999998</v>
      </c>
      <c r="G86" s="373">
        <f>Ecrêtage!M80</f>
        <v>0</v>
      </c>
      <c r="H86" s="374">
        <f t="shared" si="6"/>
        <v>235604.42463775986</v>
      </c>
      <c r="I86" s="239">
        <f t="shared" si="7"/>
        <v>292201.10963775986</v>
      </c>
    </row>
    <row r="87" spans="1:9" s="35" customFormat="1" x14ac:dyDescent="0.25">
      <c r="A87" s="38">
        <f>Données!A81</f>
        <v>5531</v>
      </c>
      <c r="B87" s="404" t="str">
        <f>Données!B81</f>
        <v>Penthéréaz</v>
      </c>
      <c r="C87" s="31">
        <f>VPI!R81</f>
        <v>17158.758513513516</v>
      </c>
      <c r="D87" s="8">
        <f>Données!N81</f>
        <v>19042.5</v>
      </c>
      <c r="E87" s="171">
        <f>Données!O81+Données!P81+Données!R81</f>
        <v>200062.5</v>
      </c>
      <c r="F87" s="373">
        <f t="shared" si="5"/>
        <v>105744</v>
      </c>
      <c r="G87" s="373">
        <f>Ecrêtage!M81</f>
        <v>0</v>
      </c>
      <c r="H87" s="374">
        <f t="shared" si="6"/>
        <v>196785.67903065201</v>
      </c>
      <c r="I87" s="239">
        <f t="shared" si="7"/>
        <v>302529.67903065204</v>
      </c>
    </row>
    <row r="88" spans="1:9" s="35" customFormat="1" x14ac:dyDescent="0.25">
      <c r="A88" s="38">
        <f>Données!A82</f>
        <v>5533</v>
      </c>
      <c r="B88" s="404" t="str">
        <f>Données!B82</f>
        <v>Poliez-Pittet</v>
      </c>
      <c r="C88" s="31">
        <f>VPI!R82</f>
        <v>27174.793424657531</v>
      </c>
      <c r="D88" s="8">
        <f>Données!N82</f>
        <v>13528.65</v>
      </c>
      <c r="E88" s="171">
        <f>Données!O82+Données!P82+Données!R82</f>
        <v>179319.9</v>
      </c>
      <c r="F88" s="373">
        <f t="shared" si="5"/>
        <v>93718.544999999998</v>
      </c>
      <c r="G88" s="373">
        <f>Ecrêtage!M82</f>
        <v>0</v>
      </c>
      <c r="H88" s="374">
        <f t="shared" si="6"/>
        <v>311654.84218321374</v>
      </c>
      <c r="I88" s="239">
        <f t="shared" si="7"/>
        <v>405373.38718321372</v>
      </c>
    </row>
    <row r="89" spans="1:9" s="35" customFormat="1" x14ac:dyDescent="0.25">
      <c r="A89" s="38">
        <f>Données!A83</f>
        <v>5534</v>
      </c>
      <c r="B89" s="404" t="str">
        <f>Données!B83</f>
        <v>Rueyres</v>
      </c>
      <c r="C89" s="31">
        <f>VPI!R83</f>
        <v>15880.296484018269</v>
      </c>
      <c r="D89" s="8">
        <f>Données!N83</f>
        <v>20723.25</v>
      </c>
      <c r="E89" s="171">
        <f>Données!O83+Données!P83+Données!R83</f>
        <v>17132.900000000001</v>
      </c>
      <c r="F89" s="373">
        <f t="shared" si="5"/>
        <v>14783.424999999999</v>
      </c>
      <c r="G89" s="373">
        <f>Ecrêtage!M83</f>
        <v>13776.262610636895</v>
      </c>
      <c r="H89" s="374">
        <f t="shared" si="6"/>
        <v>182123.60319393041</v>
      </c>
      <c r="I89" s="239">
        <f t="shared" si="7"/>
        <v>210683.29080456728</v>
      </c>
    </row>
    <row r="90" spans="1:9" s="35" customFormat="1" x14ac:dyDescent="0.25">
      <c r="A90" s="38">
        <f>Données!A84</f>
        <v>5535</v>
      </c>
      <c r="B90" s="404" t="str">
        <f>Données!B84</f>
        <v>Saint-Barthélemy</v>
      </c>
      <c r="C90" s="31">
        <f>VPI!R84</f>
        <v>27185.565066666662</v>
      </c>
      <c r="D90" s="8">
        <f>Données!N84</f>
        <v>71740.3</v>
      </c>
      <c r="E90" s="171">
        <f>Données!O84+Données!P84+Données!R84</f>
        <v>88000.3</v>
      </c>
      <c r="F90" s="373">
        <f t="shared" si="5"/>
        <v>65522.240000000005</v>
      </c>
      <c r="G90" s="373">
        <f>Ecrêtage!M84</f>
        <v>0</v>
      </c>
      <c r="H90" s="374">
        <f t="shared" si="6"/>
        <v>311778.37704649492</v>
      </c>
      <c r="I90" s="239">
        <f t="shared" si="7"/>
        <v>377300.61704649491</v>
      </c>
    </row>
    <row r="91" spans="1:9" s="35" customFormat="1" x14ac:dyDescent="0.25">
      <c r="A91" s="38">
        <f>Données!A85</f>
        <v>5537</v>
      </c>
      <c r="B91" s="404" t="str">
        <f>Données!B85</f>
        <v>Villars-le-Terroir</v>
      </c>
      <c r="C91" s="31">
        <f>VPI!R85</f>
        <v>37062.3994736842</v>
      </c>
      <c r="D91" s="8">
        <f>Données!N85</f>
        <v>7539.15</v>
      </c>
      <c r="E91" s="171">
        <f>Données!O85+Données!P85+Données!R85</f>
        <v>239973.2</v>
      </c>
      <c r="F91" s="373">
        <f t="shared" si="5"/>
        <v>122248.345</v>
      </c>
      <c r="G91" s="373">
        <f>Ecrêtage!M85</f>
        <v>0</v>
      </c>
      <c r="H91" s="374">
        <f t="shared" si="6"/>
        <v>425051.11550991813</v>
      </c>
      <c r="I91" s="239">
        <f t="shared" si="7"/>
        <v>547299.46050991816</v>
      </c>
    </row>
    <row r="92" spans="1:9" s="35" customFormat="1" x14ac:dyDescent="0.25">
      <c r="A92" s="38">
        <f>Données!A86</f>
        <v>5539</v>
      </c>
      <c r="B92" s="404" t="str">
        <f>Données!B86</f>
        <v>Vuarrens</v>
      </c>
      <c r="C92" s="31">
        <f>VPI!R86</f>
        <v>33245.200000000004</v>
      </c>
      <c r="D92" s="8">
        <f>Données!N86</f>
        <v>20340.2</v>
      </c>
      <c r="E92" s="171">
        <f>Données!O86+Données!P86+Données!R86</f>
        <v>234180.95</v>
      </c>
      <c r="F92" s="373">
        <f t="shared" si="5"/>
        <v>123192.535</v>
      </c>
      <c r="G92" s="373">
        <f>Ecrêtage!M86</f>
        <v>0</v>
      </c>
      <c r="H92" s="374">
        <f t="shared" si="6"/>
        <v>381273.46167599992</v>
      </c>
      <c r="I92" s="239">
        <f t="shared" si="7"/>
        <v>504465.99667599995</v>
      </c>
    </row>
    <row r="93" spans="1:9" s="35" customFormat="1" x14ac:dyDescent="0.25">
      <c r="A93" s="38">
        <f>Données!A87</f>
        <v>5540</v>
      </c>
      <c r="B93" s="404" t="str">
        <f>Données!B87</f>
        <v>Montilliez</v>
      </c>
      <c r="C93" s="31">
        <f>VPI!R87</f>
        <v>73930.013586206886</v>
      </c>
      <c r="D93" s="8">
        <f>Données!N87</f>
        <v>15299.15</v>
      </c>
      <c r="E93" s="171">
        <f>Données!O87+Données!P87+Données!R87</f>
        <v>235508.34999999998</v>
      </c>
      <c r="F93" s="373">
        <f t="shared" si="5"/>
        <v>122343.91999999998</v>
      </c>
      <c r="G93" s="373">
        <f>Ecrêtage!M87</f>
        <v>0</v>
      </c>
      <c r="H93" s="374">
        <f t="shared" si="6"/>
        <v>847868.32991730538</v>
      </c>
      <c r="I93" s="239">
        <f t="shared" si="7"/>
        <v>970212.24991730531</v>
      </c>
    </row>
    <row r="94" spans="1:9" s="35" customFormat="1" x14ac:dyDescent="0.25">
      <c r="A94" s="38">
        <f>Données!A88</f>
        <v>5541</v>
      </c>
      <c r="B94" s="404" t="str">
        <f>Données!B88</f>
        <v>Goumoëns</v>
      </c>
      <c r="C94" s="31">
        <f>VPI!R88</f>
        <v>42494.398410596026</v>
      </c>
      <c r="D94" s="8">
        <f>Données!N88</f>
        <v>7994.6</v>
      </c>
      <c r="E94" s="171">
        <f>Données!O88+Données!P88+Données!R88</f>
        <v>102182.75</v>
      </c>
      <c r="F94" s="373">
        <f t="shared" si="5"/>
        <v>53489.754999999997</v>
      </c>
      <c r="G94" s="373">
        <f>Ecrêtage!M88</f>
        <v>0</v>
      </c>
      <c r="H94" s="374">
        <f t="shared" si="6"/>
        <v>487348.13999756519</v>
      </c>
      <c r="I94" s="239">
        <f t="shared" si="7"/>
        <v>540837.89499756519</v>
      </c>
    </row>
    <row r="95" spans="1:9" s="35" customFormat="1" x14ac:dyDescent="0.25">
      <c r="A95" s="38">
        <f>Données!A89</f>
        <v>5551</v>
      </c>
      <c r="B95" s="404" t="str">
        <f>Données!B89</f>
        <v>Bonvillars</v>
      </c>
      <c r="C95" s="31">
        <f>VPI!R89</f>
        <v>18997.947192982458</v>
      </c>
      <c r="D95" s="8">
        <f>Données!N89</f>
        <v>6357</v>
      </c>
      <c r="E95" s="171">
        <f>Données!O89+Données!P89+Données!R89</f>
        <v>84304.75</v>
      </c>
      <c r="F95" s="373">
        <f t="shared" si="5"/>
        <v>44059.474999999999</v>
      </c>
      <c r="G95" s="373">
        <f>Ecrêtage!M89</f>
        <v>0</v>
      </c>
      <c r="H95" s="374">
        <f t="shared" si="6"/>
        <v>217878.46338738425</v>
      </c>
      <c r="I95" s="239">
        <f t="shared" si="7"/>
        <v>261937.93838738426</v>
      </c>
    </row>
    <row r="96" spans="1:9" s="35" customFormat="1" x14ac:dyDescent="0.25">
      <c r="A96" s="38">
        <f>Données!A90</f>
        <v>5552</v>
      </c>
      <c r="B96" s="404" t="str">
        <f>Données!B90</f>
        <v>Bullet</v>
      </c>
      <c r="C96" s="31">
        <f>VPI!R90</f>
        <v>20424.764857142854</v>
      </c>
      <c r="D96" s="8">
        <f>Données!N90</f>
        <v>90946.95</v>
      </c>
      <c r="E96" s="171">
        <f>Données!O90+Données!P90+Données!R90</f>
        <v>435726.5</v>
      </c>
      <c r="F96" s="373">
        <f t="shared" si="5"/>
        <v>245147.33499999999</v>
      </c>
      <c r="G96" s="373">
        <f>Ecrêtage!M90</f>
        <v>0</v>
      </c>
      <c r="H96" s="374">
        <f t="shared" si="6"/>
        <v>234241.95977167127</v>
      </c>
      <c r="I96" s="239">
        <f t="shared" si="7"/>
        <v>479389.2947716713</v>
      </c>
    </row>
    <row r="97" spans="1:9" s="35" customFormat="1" x14ac:dyDescent="0.25">
      <c r="A97" s="38">
        <f>Données!A91</f>
        <v>5553</v>
      </c>
      <c r="B97" s="404" t="str">
        <f>Données!B91</f>
        <v>Champagne</v>
      </c>
      <c r="C97" s="31">
        <f>VPI!R91</f>
        <v>36175.512923076931</v>
      </c>
      <c r="D97" s="8">
        <f>Données!N91</f>
        <v>207085.8</v>
      </c>
      <c r="E97" s="171">
        <f>Données!O91+Données!P91+Données!R91</f>
        <v>297206.05</v>
      </c>
      <c r="F97" s="373">
        <f t="shared" si="5"/>
        <v>210728.76499999998</v>
      </c>
      <c r="G97" s="373">
        <f>Ecrêtage!M91</f>
        <v>0</v>
      </c>
      <c r="H97" s="374">
        <f t="shared" si="6"/>
        <v>414879.83348231961</v>
      </c>
      <c r="I97" s="239">
        <f t="shared" si="7"/>
        <v>625608.59848231962</v>
      </c>
    </row>
    <row r="98" spans="1:9" s="35" customFormat="1" x14ac:dyDescent="0.25">
      <c r="A98" s="38">
        <f>Données!A92</f>
        <v>5554</v>
      </c>
      <c r="B98" s="404" t="str">
        <f>Données!B92</f>
        <v>Concise</v>
      </c>
      <c r="C98" s="31">
        <f>VPI!R92</f>
        <v>34308.622777777782</v>
      </c>
      <c r="D98" s="8">
        <f>Données!N92</f>
        <v>51622.05</v>
      </c>
      <c r="E98" s="171">
        <f>Données!O92+Données!P92+Données!R92</f>
        <v>2536609.7000000002</v>
      </c>
      <c r="F98" s="373">
        <f t="shared" si="5"/>
        <v>1283791.4650000001</v>
      </c>
      <c r="G98" s="373">
        <f>Ecrêtage!M92</f>
        <v>0</v>
      </c>
      <c r="H98" s="374">
        <f t="shared" si="6"/>
        <v>393469.35412689333</v>
      </c>
      <c r="I98" s="239">
        <f t="shared" si="7"/>
        <v>1677260.8191268933</v>
      </c>
    </row>
    <row r="99" spans="1:9" s="35" customFormat="1" x14ac:dyDescent="0.25">
      <c r="A99" s="38">
        <f>Données!A93</f>
        <v>5555</v>
      </c>
      <c r="B99" s="404" t="str">
        <f>Données!B93</f>
        <v>Corcelles-près-Concise</v>
      </c>
      <c r="C99" s="31">
        <f>VPI!R93</f>
        <v>13639.969855072464</v>
      </c>
      <c r="D99" s="8">
        <f>Données!N93</f>
        <v>8583.9500000000007</v>
      </c>
      <c r="E99" s="171">
        <f>Données!O93+Données!P93+Données!R93</f>
        <v>183101.9</v>
      </c>
      <c r="F99" s="373">
        <f t="shared" si="5"/>
        <v>94126.134999999995</v>
      </c>
      <c r="G99" s="373">
        <f>Ecrêtage!M93</f>
        <v>0</v>
      </c>
      <c r="H99" s="374">
        <f t="shared" si="6"/>
        <v>156430.35757943298</v>
      </c>
      <c r="I99" s="239">
        <f t="shared" si="7"/>
        <v>250556.49257943296</v>
      </c>
    </row>
    <row r="100" spans="1:9" s="35" customFormat="1" x14ac:dyDescent="0.25">
      <c r="A100" s="38">
        <f>Données!A94</f>
        <v>5556</v>
      </c>
      <c r="B100" s="404" t="str">
        <f>Données!B94</f>
        <v>Fiez</v>
      </c>
      <c r="C100" s="31">
        <f>VPI!R94</f>
        <v>12931.397729468599</v>
      </c>
      <c r="D100" s="8">
        <f>Données!N94</f>
        <v>2851.9</v>
      </c>
      <c r="E100" s="171">
        <f>Données!O94+Données!P94+Données!R94</f>
        <v>18933.8</v>
      </c>
      <c r="F100" s="373">
        <f t="shared" si="5"/>
        <v>10322.469999999999</v>
      </c>
      <c r="G100" s="373">
        <f>Ecrêtage!M94</f>
        <v>0</v>
      </c>
      <c r="H100" s="374">
        <f t="shared" si="6"/>
        <v>148304.07928433752</v>
      </c>
      <c r="I100" s="239">
        <f t="shared" si="7"/>
        <v>158626.54928433753</v>
      </c>
    </row>
    <row r="101" spans="1:9" s="35" customFormat="1" x14ac:dyDescent="0.25">
      <c r="A101" s="38">
        <f>Données!A95</f>
        <v>5557</v>
      </c>
      <c r="B101" s="404" t="str">
        <f>Données!B95</f>
        <v>Fontaines-sur-Grandson</v>
      </c>
      <c r="C101" s="31">
        <f>VPI!R95</f>
        <v>4700.3647826086954</v>
      </c>
      <c r="D101" s="8">
        <f>Données!N95</f>
        <v>0</v>
      </c>
      <c r="E101" s="171">
        <f>Données!O95+Données!P95+Données!R95</f>
        <v>18107.099999999999</v>
      </c>
      <c r="F101" s="373">
        <f t="shared" si="5"/>
        <v>9053.5499999999993</v>
      </c>
      <c r="G101" s="373">
        <f>Ecrêtage!M95</f>
        <v>0</v>
      </c>
      <c r="H101" s="374">
        <f t="shared" si="6"/>
        <v>53906.258702163803</v>
      </c>
      <c r="I101" s="239">
        <f t="shared" si="7"/>
        <v>62959.808702163806</v>
      </c>
    </row>
    <row r="102" spans="1:9" s="35" customFormat="1" x14ac:dyDescent="0.25">
      <c r="A102" s="38">
        <f>Données!A96</f>
        <v>5559</v>
      </c>
      <c r="B102" s="404" t="str">
        <f>Données!B96</f>
        <v>Giez</v>
      </c>
      <c r="C102" s="31">
        <f>VPI!R96</f>
        <v>19760.849242424243</v>
      </c>
      <c r="D102" s="8">
        <f>Données!N96</f>
        <v>7568.85</v>
      </c>
      <c r="E102" s="171">
        <f>Données!O96+Données!P96+Données!R96</f>
        <v>134053.19999999998</v>
      </c>
      <c r="F102" s="373">
        <f t="shared" si="5"/>
        <v>69297.25499999999</v>
      </c>
      <c r="G102" s="373">
        <f>Ecrêtage!M96</f>
        <v>0</v>
      </c>
      <c r="H102" s="374">
        <f t="shared" si="6"/>
        <v>226627.82586107621</v>
      </c>
      <c r="I102" s="239">
        <f t="shared" si="7"/>
        <v>295925.08086107619</v>
      </c>
    </row>
    <row r="103" spans="1:9" s="35" customFormat="1" x14ac:dyDescent="0.25">
      <c r="A103" s="38">
        <f>Données!A97</f>
        <v>5560</v>
      </c>
      <c r="B103" s="404" t="str">
        <f>Données!B97</f>
        <v>Grandevent</v>
      </c>
      <c r="C103" s="31">
        <f>VPI!R97</f>
        <v>8048.598285714289</v>
      </c>
      <c r="D103" s="8">
        <f>Données!N97</f>
        <v>0</v>
      </c>
      <c r="E103" s="171">
        <f>Données!O97+Données!P97+Données!R97</f>
        <v>57150.75</v>
      </c>
      <c r="F103" s="373">
        <f t="shared" si="5"/>
        <v>28575.375</v>
      </c>
      <c r="G103" s="373">
        <f>Ecrêtage!M97</f>
        <v>0</v>
      </c>
      <c r="H103" s="374">
        <f t="shared" si="6"/>
        <v>92305.563811732383</v>
      </c>
      <c r="I103" s="239">
        <f t="shared" si="7"/>
        <v>120880.93881173238</v>
      </c>
    </row>
    <row r="104" spans="1:9" s="35" customFormat="1" x14ac:dyDescent="0.25">
      <c r="A104" s="38">
        <f>Données!A98</f>
        <v>5561</v>
      </c>
      <c r="B104" s="404" t="str">
        <f>Données!B98</f>
        <v>Grandson</v>
      </c>
      <c r="C104" s="31">
        <f>VPI!R98</f>
        <v>179345.48057971016</v>
      </c>
      <c r="D104" s="8">
        <f>Données!N98</f>
        <v>374458.05</v>
      </c>
      <c r="E104" s="171">
        <f>Données!O98+Données!P98+Données!R98</f>
        <v>791955.35000000009</v>
      </c>
      <c r="F104" s="373">
        <f t="shared" si="5"/>
        <v>508315.09</v>
      </c>
      <c r="G104" s="373">
        <f>Ecrêtage!M98</f>
        <v>163891.53579504354</v>
      </c>
      <c r="H104" s="374">
        <f t="shared" si="6"/>
        <v>2056828.4208418629</v>
      </c>
      <c r="I104" s="239">
        <f t="shared" si="7"/>
        <v>2729035.0466369065</v>
      </c>
    </row>
    <row r="105" spans="1:9" s="35" customFormat="1" x14ac:dyDescent="0.25">
      <c r="A105" s="38">
        <f>Données!A99</f>
        <v>5562</v>
      </c>
      <c r="B105" s="404" t="str">
        <f>Données!B99</f>
        <v>Mauborget</v>
      </c>
      <c r="C105" s="31">
        <f>VPI!R99</f>
        <v>4951.6888333333327</v>
      </c>
      <c r="D105" s="8">
        <f>Données!N99</f>
        <v>702.35</v>
      </c>
      <c r="E105" s="171">
        <f>Données!O99+Données!P99+Données!R99</f>
        <v>79769.05</v>
      </c>
      <c r="F105" s="373">
        <f t="shared" si="5"/>
        <v>40095.230000000003</v>
      </c>
      <c r="G105" s="373">
        <f>Ecrêtage!M99</f>
        <v>0</v>
      </c>
      <c r="H105" s="374">
        <f t="shared" si="6"/>
        <v>56788.575271840535</v>
      </c>
      <c r="I105" s="239">
        <f t="shared" si="7"/>
        <v>96883.805271840538</v>
      </c>
    </row>
    <row r="106" spans="1:9" s="35" customFormat="1" x14ac:dyDescent="0.25">
      <c r="A106" s="38">
        <f>Données!A100</f>
        <v>5563</v>
      </c>
      <c r="B106" s="404" t="str">
        <f>Données!B100</f>
        <v>Mutrux</v>
      </c>
      <c r="C106" s="31">
        <f>VPI!R100</f>
        <v>2911.2397499999997</v>
      </c>
      <c r="D106" s="8">
        <f>Données!N100</f>
        <v>0</v>
      </c>
      <c r="E106" s="171">
        <f>Données!O100+Données!P100+Données!R100</f>
        <v>22798.300000000003</v>
      </c>
      <c r="F106" s="373">
        <f t="shared" si="5"/>
        <v>11399.150000000001</v>
      </c>
      <c r="G106" s="373">
        <f>Ecrêtage!M100</f>
        <v>0</v>
      </c>
      <c r="H106" s="374">
        <f t="shared" si="6"/>
        <v>33387.630612878624</v>
      </c>
      <c r="I106" s="239">
        <f t="shared" si="7"/>
        <v>44786.780612878625</v>
      </c>
    </row>
    <row r="107" spans="1:9" s="35" customFormat="1" x14ac:dyDescent="0.25">
      <c r="A107" s="38">
        <f>Données!A101</f>
        <v>5564</v>
      </c>
      <c r="B107" s="404" t="str">
        <f>Données!B101</f>
        <v>Novalles</v>
      </c>
      <c r="C107" s="31">
        <f>VPI!R101</f>
        <v>2278.1877960526317</v>
      </c>
      <c r="D107" s="8">
        <f>Données!N101</f>
        <v>0</v>
      </c>
      <c r="E107" s="171">
        <f>Données!O101+Données!P101+Données!R101</f>
        <v>10241.700000000001</v>
      </c>
      <c r="F107" s="373">
        <f t="shared" si="5"/>
        <v>5120.8500000000004</v>
      </c>
      <c r="G107" s="373">
        <f>Ecrêtage!M101</f>
        <v>0</v>
      </c>
      <c r="H107" s="374">
        <f t="shared" si="6"/>
        <v>26127.457417882993</v>
      </c>
      <c r="I107" s="239">
        <f t="shared" si="7"/>
        <v>31248.307417882992</v>
      </c>
    </row>
    <row r="108" spans="1:9" s="35" customFormat="1" x14ac:dyDescent="0.25">
      <c r="A108" s="38">
        <f>Données!A102</f>
        <v>5565</v>
      </c>
      <c r="B108" s="404" t="str">
        <f>Données!B102</f>
        <v>Onnens</v>
      </c>
      <c r="C108" s="31">
        <f>VPI!R102</f>
        <v>21491.927559055119</v>
      </c>
      <c r="D108" s="8">
        <f>Données!N102</f>
        <v>179567.65</v>
      </c>
      <c r="E108" s="171">
        <f>Données!O102+Données!P102+Données!R102</f>
        <v>43906.95</v>
      </c>
      <c r="F108" s="373">
        <f t="shared" si="5"/>
        <v>75823.76999999999</v>
      </c>
      <c r="G108" s="373">
        <f>Ecrêtage!M102</f>
        <v>0</v>
      </c>
      <c r="H108" s="374">
        <f t="shared" si="6"/>
        <v>246480.74364211279</v>
      </c>
      <c r="I108" s="239">
        <f t="shared" si="7"/>
        <v>322304.51364211278</v>
      </c>
    </row>
    <row r="109" spans="1:9" s="35" customFormat="1" x14ac:dyDescent="0.25">
      <c r="A109" s="38">
        <f>Données!A103</f>
        <v>5566</v>
      </c>
      <c r="B109" s="404" t="str">
        <f>Données!B103</f>
        <v>Provence</v>
      </c>
      <c r="C109" s="31">
        <f>VPI!R103</f>
        <v>9668.921111111109</v>
      </c>
      <c r="D109" s="8">
        <f>Données!N103</f>
        <v>37527.599999999999</v>
      </c>
      <c r="E109" s="171">
        <f>Données!O103+Données!P103+Données!R103</f>
        <v>99041</v>
      </c>
      <c r="F109" s="373">
        <f t="shared" si="5"/>
        <v>60778.78</v>
      </c>
      <c r="G109" s="373">
        <f>Ecrêtage!M103</f>
        <v>0</v>
      </c>
      <c r="H109" s="374">
        <f t="shared" si="6"/>
        <v>110888.27929161166</v>
      </c>
      <c r="I109" s="239">
        <f t="shared" si="7"/>
        <v>171667.05929161166</v>
      </c>
    </row>
    <row r="110" spans="1:9" s="35" customFormat="1" x14ac:dyDescent="0.25">
      <c r="A110" s="38">
        <f>Données!A104</f>
        <v>5568</v>
      </c>
      <c r="B110" s="404" t="str">
        <f>Données!B104</f>
        <v>Sainte-Croix</v>
      </c>
      <c r="C110" s="31">
        <f>VPI!R104</f>
        <v>108679.35057142857</v>
      </c>
      <c r="D110" s="8">
        <f>Données!N104</f>
        <v>2503659.4500000002</v>
      </c>
      <c r="E110" s="171">
        <f>Données!O104+Données!P104+Données!R104</f>
        <v>559032.1</v>
      </c>
      <c r="F110" s="373">
        <f t="shared" si="5"/>
        <v>1030613.885</v>
      </c>
      <c r="G110" s="373">
        <f>Ecrêtage!M104</f>
        <v>0</v>
      </c>
      <c r="H110" s="374">
        <f t="shared" si="6"/>
        <v>1246392.0266705607</v>
      </c>
      <c r="I110" s="239">
        <f t="shared" si="7"/>
        <v>2277005.9116705609</v>
      </c>
    </row>
    <row r="111" spans="1:9" s="35" customFormat="1" x14ac:dyDescent="0.25">
      <c r="A111" s="38">
        <f>Données!A105</f>
        <v>5571</v>
      </c>
      <c r="B111" s="404" t="str">
        <f>Données!B105</f>
        <v>Tévenon</v>
      </c>
      <c r="C111" s="31">
        <f>VPI!R105</f>
        <v>25950.769557109554</v>
      </c>
      <c r="D111" s="8">
        <f>Données!N105</f>
        <v>39846.949999999997</v>
      </c>
      <c r="E111" s="171">
        <f>Données!O105+Données!P105+Données!R105</f>
        <v>283359</v>
      </c>
      <c r="F111" s="373">
        <f t="shared" si="5"/>
        <v>153633.58499999999</v>
      </c>
      <c r="G111" s="373">
        <f>Ecrêtage!M105</f>
        <v>0</v>
      </c>
      <c r="H111" s="374">
        <f t="shared" si="6"/>
        <v>297617.0918567286</v>
      </c>
      <c r="I111" s="239">
        <f t="shared" si="7"/>
        <v>451250.67685672862</v>
      </c>
    </row>
    <row r="112" spans="1:9" s="35" customFormat="1" x14ac:dyDescent="0.25">
      <c r="A112" s="38">
        <f>Données!A106</f>
        <v>5581</v>
      </c>
      <c r="B112" s="404" t="str">
        <f>Données!B106</f>
        <v>Belmont-sur-Lausanne</v>
      </c>
      <c r="C112" s="31">
        <f>VPI!R106</f>
        <v>216786.11745370374</v>
      </c>
      <c r="D112" s="8">
        <f>Données!N106</f>
        <v>9643.15</v>
      </c>
      <c r="E112" s="171">
        <f>Données!O106+Données!P106+Données!R106</f>
        <v>1264666.3</v>
      </c>
      <c r="F112" s="373">
        <f t="shared" si="5"/>
        <v>635226.09499999997</v>
      </c>
      <c r="G112" s="373">
        <f>Ecrêtage!M106</f>
        <v>346933.1258289775</v>
      </c>
      <c r="H112" s="374">
        <f t="shared" si="6"/>
        <v>2486217.3620514697</v>
      </c>
      <c r="I112" s="239">
        <f t="shared" si="7"/>
        <v>3468376.5828804476</v>
      </c>
    </row>
    <row r="113" spans="1:9" s="35" customFormat="1" x14ac:dyDescent="0.25">
      <c r="A113" s="38">
        <f>Données!A107</f>
        <v>5582</v>
      </c>
      <c r="B113" s="404" t="str">
        <f>Données!B107</f>
        <v>Cheseaux-sur-Lausanne</v>
      </c>
      <c r="C113" s="31">
        <f>VPI!R107</f>
        <v>179452.21630136986</v>
      </c>
      <c r="D113" s="8">
        <f>Données!N107</f>
        <v>485177</v>
      </c>
      <c r="E113" s="171">
        <f>Données!O107+Données!P107+Données!R107</f>
        <v>702671.60000000009</v>
      </c>
      <c r="F113" s="373">
        <f t="shared" si="5"/>
        <v>496888.9</v>
      </c>
      <c r="G113" s="373">
        <f>Ecrêtage!M107</f>
        <v>0</v>
      </c>
      <c r="H113" s="374">
        <f t="shared" si="6"/>
        <v>2058052.5223085915</v>
      </c>
      <c r="I113" s="239">
        <f t="shared" si="7"/>
        <v>2554941.4223085917</v>
      </c>
    </row>
    <row r="114" spans="1:9" s="35" customFormat="1" x14ac:dyDescent="0.25">
      <c r="A114" s="38">
        <f>Données!A108</f>
        <v>5583</v>
      </c>
      <c r="B114" s="404" t="str">
        <f>Données!B108</f>
        <v>Crissier</v>
      </c>
      <c r="C114" s="31">
        <f>VPI!R108</f>
        <v>371804.01181102369</v>
      </c>
      <c r="D114" s="8">
        <f>Données!N108</f>
        <v>3168631.6</v>
      </c>
      <c r="E114" s="171">
        <f>Données!O108+Données!P108+Données!R108</f>
        <v>2190609.35</v>
      </c>
      <c r="F114" s="373">
        <f t="shared" si="5"/>
        <v>2045894.155</v>
      </c>
      <c r="G114" s="373">
        <f>Ecrêtage!M108</f>
        <v>0</v>
      </c>
      <c r="H114" s="374">
        <f t="shared" si="6"/>
        <v>4264044.2123438381</v>
      </c>
      <c r="I114" s="239">
        <f t="shared" si="7"/>
        <v>6309938.3673438383</v>
      </c>
    </row>
    <row r="115" spans="1:9" s="35" customFormat="1" x14ac:dyDescent="0.25">
      <c r="A115" s="38">
        <f>Données!A109</f>
        <v>5584</v>
      </c>
      <c r="B115" s="404" t="str">
        <f>Données!B109</f>
        <v>Epalinges</v>
      </c>
      <c r="C115" s="31">
        <f>VPI!R109</f>
        <v>516751.95968992251</v>
      </c>
      <c r="D115" s="8">
        <f>Données!N109</f>
        <v>364987.25</v>
      </c>
      <c r="E115" s="171">
        <f>Données!O109+Données!P109+Données!R109</f>
        <v>3318034.9499999997</v>
      </c>
      <c r="F115" s="373">
        <f t="shared" si="5"/>
        <v>1768513.65</v>
      </c>
      <c r="G115" s="373">
        <f>Ecrêtage!M109</f>
        <v>343269.33367486228</v>
      </c>
      <c r="H115" s="374">
        <f t="shared" si="6"/>
        <v>5926383.6132384073</v>
      </c>
      <c r="I115" s="239">
        <f t="shared" si="7"/>
        <v>8038166.5969132697</v>
      </c>
    </row>
    <row r="116" spans="1:9" s="35" customFormat="1" x14ac:dyDescent="0.25">
      <c r="A116" s="38">
        <f>Données!A110</f>
        <v>5585</v>
      </c>
      <c r="B116" s="404" t="str">
        <f>Données!B110</f>
        <v>Jouxtens-Mézery</v>
      </c>
      <c r="C116" s="31">
        <f>VPI!R110</f>
        <v>251674.37118644069</v>
      </c>
      <c r="D116" s="8">
        <f>Données!N110</f>
        <v>2231.5500000000002</v>
      </c>
      <c r="E116" s="171">
        <f>Données!O110+Données!P110+Données!R110</f>
        <v>731080.4</v>
      </c>
      <c r="F116" s="373">
        <f t="shared" si="5"/>
        <v>366209.66500000004</v>
      </c>
      <c r="G116" s="373">
        <f>Ecrêtage!M110</f>
        <v>4683250.6866213437</v>
      </c>
      <c r="H116" s="374">
        <f t="shared" si="6"/>
        <v>2886334.2292236104</v>
      </c>
      <c r="I116" s="239">
        <f t="shared" si="7"/>
        <v>7935794.5808449537</v>
      </c>
    </row>
    <row r="117" spans="1:9" s="35" customFormat="1" x14ac:dyDescent="0.25">
      <c r="A117" s="38">
        <f>Données!A111</f>
        <v>5586</v>
      </c>
      <c r="B117" s="404" t="str">
        <f>Données!B111</f>
        <v>Lausanne</v>
      </c>
      <c r="C117" s="31">
        <f>VPI!R111</f>
        <v>6915333.6485774955</v>
      </c>
      <c r="D117" s="8">
        <f>Données!N111</f>
        <v>15234706.550000001</v>
      </c>
      <c r="E117" s="171">
        <f>Données!O111+Données!P111+Données!R111</f>
        <v>34611674.700000003</v>
      </c>
      <c r="F117" s="373">
        <f t="shared" si="5"/>
        <v>21876249.315000001</v>
      </c>
      <c r="G117" s="373">
        <f>Ecrêtage!M111</f>
        <v>0</v>
      </c>
      <c r="H117" s="374">
        <f t="shared" si="6"/>
        <v>79308688.136563003</v>
      </c>
      <c r="I117" s="239">
        <f t="shared" si="7"/>
        <v>101184937.451563</v>
      </c>
    </row>
    <row r="118" spans="1:9" s="35" customFormat="1" x14ac:dyDescent="0.25">
      <c r="A118" s="38">
        <f>Données!A112</f>
        <v>5587</v>
      </c>
      <c r="B118" s="404" t="str">
        <f>Données!B112</f>
        <v>Le Mont-sur-Lausanne</v>
      </c>
      <c r="C118" s="31">
        <f>VPI!R112</f>
        <v>490592.89707482996</v>
      </c>
      <c r="D118" s="8">
        <f>Données!N112</f>
        <v>659328.30000000005</v>
      </c>
      <c r="E118" s="171">
        <f>Données!O112+Données!P112+Données!R112</f>
        <v>4139604.1</v>
      </c>
      <c r="F118" s="373">
        <f t="shared" si="5"/>
        <v>2267600.54</v>
      </c>
      <c r="G118" s="373">
        <f>Ecrêtage!M112</f>
        <v>469034.30285021767</v>
      </c>
      <c r="H118" s="374">
        <f t="shared" si="6"/>
        <v>5626377.7068983773</v>
      </c>
      <c r="I118" s="239">
        <f t="shared" si="7"/>
        <v>8363012.5497485949</v>
      </c>
    </row>
    <row r="119" spans="1:9" s="35" customFormat="1" x14ac:dyDescent="0.25">
      <c r="A119" s="38">
        <f>Données!A113</f>
        <v>5588</v>
      </c>
      <c r="B119" s="404" t="str">
        <f>Données!B113</f>
        <v>Paudex</v>
      </c>
      <c r="C119" s="31">
        <f>VPI!R113</f>
        <v>123433.64683136411</v>
      </c>
      <c r="D119" s="8">
        <f>Données!N113</f>
        <v>34307.949999999997</v>
      </c>
      <c r="E119" s="171">
        <f>Données!O113+Données!P113+Données!R113</f>
        <v>592913.85</v>
      </c>
      <c r="F119" s="373">
        <f t="shared" si="5"/>
        <v>306749.31</v>
      </c>
      <c r="G119" s="373">
        <f>Ecrêtage!M113</f>
        <v>905815.74376973626</v>
      </c>
      <c r="H119" s="374">
        <f t="shared" si="6"/>
        <v>1415602.0663039179</v>
      </c>
      <c r="I119" s="239">
        <f t="shared" si="7"/>
        <v>2628167.1200736542</v>
      </c>
    </row>
    <row r="120" spans="1:9" s="35" customFormat="1" x14ac:dyDescent="0.25">
      <c r="A120" s="38">
        <f>Données!A114</f>
        <v>5589</v>
      </c>
      <c r="B120" s="404" t="str">
        <f>Données!B114</f>
        <v>Prilly</v>
      </c>
      <c r="C120" s="31">
        <f>VPI!R114</f>
        <v>450278.56075331569</v>
      </c>
      <c r="D120" s="8">
        <f>Données!N114</f>
        <v>1476159.9</v>
      </c>
      <c r="E120" s="171">
        <f>Données!O114+Données!P114+Données!R114</f>
        <v>3139227.05</v>
      </c>
      <c r="F120" s="373">
        <f t="shared" si="5"/>
        <v>2012461.4949999999</v>
      </c>
      <c r="G120" s="373">
        <f>Ecrêtage!M114</f>
        <v>0</v>
      </c>
      <c r="H120" s="374">
        <f t="shared" si="6"/>
        <v>5164031.6670347508</v>
      </c>
      <c r="I120" s="239">
        <f t="shared" si="7"/>
        <v>7176493.1620347509</v>
      </c>
    </row>
    <row r="121" spans="1:9" s="35" customFormat="1" x14ac:dyDescent="0.25">
      <c r="A121" s="38">
        <f>Données!A115</f>
        <v>5590</v>
      </c>
      <c r="B121" s="404" t="str">
        <f>Données!B115</f>
        <v>Pully</v>
      </c>
      <c r="C121" s="31">
        <f>VPI!R115</f>
        <v>1605465.5341920371</v>
      </c>
      <c r="D121" s="8">
        <f>Données!N115</f>
        <v>203130.75</v>
      </c>
      <c r="E121" s="171">
        <f>Données!O115+Données!P115+Données!R115</f>
        <v>10888375.25</v>
      </c>
      <c r="F121" s="373">
        <f t="shared" si="5"/>
        <v>5505126.8499999996</v>
      </c>
      <c r="G121" s="373">
        <f>Ecrêtage!M115</f>
        <v>11808815.982207913</v>
      </c>
      <c r="H121" s="374">
        <f t="shared" si="6"/>
        <v>18412324.239977691</v>
      </c>
      <c r="I121" s="239">
        <f t="shared" si="7"/>
        <v>35726267.072185606</v>
      </c>
    </row>
    <row r="122" spans="1:9" s="35" customFormat="1" x14ac:dyDescent="0.25">
      <c r="A122" s="38">
        <f>Données!A116</f>
        <v>5591</v>
      </c>
      <c r="B122" s="404" t="str">
        <f>Données!B116</f>
        <v>Renens</v>
      </c>
      <c r="C122" s="31">
        <f>VPI!R116</f>
        <v>640589.63196660485</v>
      </c>
      <c r="D122" s="8">
        <f>Données!N116</f>
        <v>3253812.45</v>
      </c>
      <c r="E122" s="171">
        <f>Données!O116+Données!P116+Données!R116</f>
        <v>5084496.75</v>
      </c>
      <c r="F122" s="373">
        <f t="shared" si="5"/>
        <v>3518392.11</v>
      </c>
      <c r="G122" s="373">
        <f>Ecrêtage!M116</f>
        <v>0</v>
      </c>
      <c r="H122" s="374">
        <f t="shared" si="6"/>
        <v>7346619.2561230548</v>
      </c>
      <c r="I122" s="239">
        <f t="shared" si="7"/>
        <v>10865011.366123054</v>
      </c>
    </row>
    <row r="123" spans="1:9" s="35" customFormat="1" x14ac:dyDescent="0.25">
      <c r="A123" s="38">
        <f>Données!A117</f>
        <v>5592</v>
      </c>
      <c r="B123" s="404" t="str">
        <f>Données!B117</f>
        <v>Romanel-sur-Lausanne</v>
      </c>
      <c r="C123" s="31">
        <f>VPI!R117</f>
        <v>135992.91645390069</v>
      </c>
      <c r="D123" s="8">
        <f>Données!N117</f>
        <v>788199.3</v>
      </c>
      <c r="E123" s="171">
        <f>Données!O117+Données!P117+Données!R117</f>
        <v>572900.1</v>
      </c>
      <c r="F123" s="373">
        <f t="shared" si="5"/>
        <v>522909.83999999997</v>
      </c>
      <c r="G123" s="373">
        <f>Ecrêtage!M117</f>
        <v>0</v>
      </c>
      <c r="H123" s="374">
        <f t="shared" si="6"/>
        <v>1559638.3844823842</v>
      </c>
      <c r="I123" s="239">
        <f t="shared" si="7"/>
        <v>2082548.224482384</v>
      </c>
    </row>
    <row r="124" spans="1:9" s="35" customFormat="1" x14ac:dyDescent="0.25">
      <c r="A124" s="38">
        <f>Données!A118</f>
        <v>5601</v>
      </c>
      <c r="B124" s="404" t="str">
        <f>Données!B118</f>
        <v>Chexbres</v>
      </c>
      <c r="C124" s="31">
        <f>VPI!R118</f>
        <v>102021.70311111111</v>
      </c>
      <c r="D124" s="8">
        <f>Données!N118</f>
        <v>79986.5</v>
      </c>
      <c r="E124" s="171">
        <f>Données!O118+Données!P118+Données!R118</f>
        <v>401233.25</v>
      </c>
      <c r="F124" s="373">
        <f t="shared" si="5"/>
        <v>224612.57500000001</v>
      </c>
      <c r="G124" s="373">
        <f>Ecrêtage!M118</f>
        <v>0</v>
      </c>
      <c r="H124" s="374">
        <f t="shared" si="6"/>
        <v>1170038.6194474529</v>
      </c>
      <c r="I124" s="239">
        <f t="shared" si="7"/>
        <v>1394651.1944474529</v>
      </c>
    </row>
    <row r="125" spans="1:9" s="35" customFormat="1" x14ac:dyDescent="0.25">
      <c r="A125" s="38">
        <f>Données!A119</f>
        <v>5604</v>
      </c>
      <c r="B125" s="404" t="str">
        <f>Données!B119</f>
        <v>Forel (Lavaux)</v>
      </c>
      <c r="C125" s="31">
        <f>VPI!R119</f>
        <v>75702.239275362328</v>
      </c>
      <c r="D125" s="8">
        <f>Données!N119</f>
        <v>132569.70000000001</v>
      </c>
      <c r="E125" s="171">
        <f>Données!O119+Données!P119+Données!R119</f>
        <v>313913.84999999998</v>
      </c>
      <c r="F125" s="373">
        <f t="shared" si="5"/>
        <v>196727.83499999999</v>
      </c>
      <c r="G125" s="373">
        <f>Ecrêtage!M119</f>
        <v>0</v>
      </c>
      <c r="H125" s="374">
        <f t="shared" si="6"/>
        <v>868193.14743608795</v>
      </c>
      <c r="I125" s="239">
        <f t="shared" si="7"/>
        <v>1064920.9824360879</v>
      </c>
    </row>
    <row r="126" spans="1:9" s="35" customFormat="1" x14ac:dyDescent="0.25">
      <c r="A126" s="38">
        <f>Données!A120</f>
        <v>5606</v>
      </c>
      <c r="B126" s="404" t="str">
        <f>Données!B120</f>
        <v>Lutry</v>
      </c>
      <c r="C126" s="31">
        <f>VPI!R120</f>
        <v>997292.15626984113</v>
      </c>
      <c r="D126" s="8">
        <f>Données!N120</f>
        <v>111976.8</v>
      </c>
      <c r="E126" s="171">
        <f>Données!O120+Données!P120+Données!R120</f>
        <v>8524704.75</v>
      </c>
      <c r="F126" s="373">
        <f t="shared" si="5"/>
        <v>4295945.415</v>
      </c>
      <c r="G126" s="373">
        <f>Ecrêtage!M120</f>
        <v>7989532.2283370346</v>
      </c>
      <c r="H126" s="374">
        <f t="shared" si="6"/>
        <v>11437471.65676021</v>
      </c>
      <c r="I126" s="239">
        <f t="shared" si="7"/>
        <v>23722949.300097246</v>
      </c>
    </row>
    <row r="127" spans="1:9" s="35" customFormat="1" x14ac:dyDescent="0.25">
      <c r="A127" s="38">
        <f>Données!A121</f>
        <v>5607</v>
      </c>
      <c r="B127" s="404" t="str">
        <f>Données!B121</f>
        <v>Puidoux</v>
      </c>
      <c r="C127" s="31">
        <f>VPI!R121</f>
        <v>134658.72766105999</v>
      </c>
      <c r="D127" s="8">
        <f>Données!N121</f>
        <v>306935.90000000002</v>
      </c>
      <c r="E127" s="171">
        <f>Données!O121+Données!P121+Données!R121</f>
        <v>1102625.45</v>
      </c>
      <c r="F127" s="373">
        <f t="shared" si="5"/>
        <v>643393.495</v>
      </c>
      <c r="G127" s="373">
        <f>Ecrêtage!M121</f>
        <v>0</v>
      </c>
      <c r="H127" s="374">
        <f t="shared" si="6"/>
        <v>1544337.2047759695</v>
      </c>
      <c r="I127" s="239">
        <f t="shared" si="7"/>
        <v>2187730.6997759696</v>
      </c>
    </row>
    <row r="128" spans="1:9" s="35" customFormat="1" x14ac:dyDescent="0.25">
      <c r="A128" s="38">
        <f>Données!A122</f>
        <v>5609</v>
      </c>
      <c r="B128" s="404" t="str">
        <f>Données!B122</f>
        <v>Rivaz</v>
      </c>
      <c r="C128" s="31">
        <f>VPI!R122</f>
        <v>13979.892580645163</v>
      </c>
      <c r="D128" s="8">
        <f>Données!N122</f>
        <v>0</v>
      </c>
      <c r="E128" s="171">
        <f>Données!O122+Données!P122+Données!R122</f>
        <v>16149.45</v>
      </c>
      <c r="F128" s="373">
        <f t="shared" si="5"/>
        <v>8074.7250000000004</v>
      </c>
      <c r="G128" s="373">
        <f>Ecrêtage!M122</f>
        <v>0</v>
      </c>
      <c r="H128" s="374">
        <f t="shared" si="6"/>
        <v>160328.77041140402</v>
      </c>
      <c r="I128" s="239">
        <f t="shared" si="7"/>
        <v>168403.49541140403</v>
      </c>
    </row>
    <row r="129" spans="1:9" s="35" customFormat="1" x14ac:dyDescent="0.25">
      <c r="A129" s="38">
        <f>Données!A123</f>
        <v>5610</v>
      </c>
      <c r="B129" s="404" t="str">
        <f>Données!B123</f>
        <v>St-Saphorin (Lavaux)</v>
      </c>
      <c r="C129" s="31">
        <f>VPI!R123</f>
        <v>19286.757384259257</v>
      </c>
      <c r="D129" s="8">
        <f>Données!N123</f>
        <v>0</v>
      </c>
      <c r="E129" s="171">
        <f>Données!O123+Données!P123+Données!R123</f>
        <v>38831.800000000003</v>
      </c>
      <c r="F129" s="373">
        <f t="shared" si="5"/>
        <v>19415.900000000001</v>
      </c>
      <c r="G129" s="373">
        <f>Ecrêtage!M123</f>
        <v>0</v>
      </c>
      <c r="H129" s="374">
        <f t="shared" si="6"/>
        <v>221190.69075841564</v>
      </c>
      <c r="I129" s="239">
        <f t="shared" si="7"/>
        <v>240606.59075841564</v>
      </c>
    </row>
    <row r="130" spans="1:9" s="35" customFormat="1" x14ac:dyDescent="0.25">
      <c r="A130" s="38">
        <f>Données!A124</f>
        <v>5611</v>
      </c>
      <c r="B130" s="404" t="str">
        <f>Données!B124</f>
        <v>Savigny</v>
      </c>
      <c r="C130" s="31">
        <f>VPI!R124</f>
        <v>143902.95567632848</v>
      </c>
      <c r="D130" s="8">
        <f>Données!N124</f>
        <v>137808.85</v>
      </c>
      <c r="E130" s="171">
        <f>Données!O124+Données!P124+Données!R124</f>
        <v>1380132.4500000002</v>
      </c>
      <c r="F130" s="373">
        <f t="shared" si="5"/>
        <v>731408.88000000012</v>
      </c>
      <c r="G130" s="373">
        <f>Ecrêtage!M124</f>
        <v>0</v>
      </c>
      <c r="H130" s="374">
        <f t="shared" si="6"/>
        <v>1650354.879986336</v>
      </c>
      <c r="I130" s="239">
        <f t="shared" si="7"/>
        <v>2381763.7599863363</v>
      </c>
    </row>
    <row r="131" spans="1:9" s="35" customFormat="1" x14ac:dyDescent="0.25">
      <c r="A131" s="38">
        <f>Données!A125</f>
        <v>5613</v>
      </c>
      <c r="B131" s="404" t="str">
        <f>Données!B125</f>
        <v>Bourg-en-Lavaux</v>
      </c>
      <c r="C131" s="31">
        <f>VPI!R125</f>
        <v>363833.56800000003</v>
      </c>
      <c r="D131" s="8">
        <f>Données!N125</f>
        <v>53138.9</v>
      </c>
      <c r="E131" s="171">
        <f>Données!O125+Données!P125+Données!R125</f>
        <v>2581821.35</v>
      </c>
      <c r="F131" s="373">
        <f t="shared" si="5"/>
        <v>1306852.345</v>
      </c>
      <c r="G131" s="373">
        <f>Ecrêtage!M125</f>
        <v>1469390.9965291792</v>
      </c>
      <c r="H131" s="374">
        <f t="shared" si="6"/>
        <v>4172634.9652067157</v>
      </c>
      <c r="I131" s="239">
        <f t="shared" si="7"/>
        <v>6948878.3067358956</v>
      </c>
    </row>
    <row r="132" spans="1:9" s="35" customFormat="1" x14ac:dyDescent="0.25">
      <c r="A132" s="38">
        <f>Données!A126</f>
        <v>5621</v>
      </c>
      <c r="B132" s="404" t="str">
        <f>Données!B126</f>
        <v>Aclens</v>
      </c>
      <c r="C132" s="31">
        <f>VPI!R126</f>
        <v>33787.730043988267</v>
      </c>
      <c r="D132" s="8">
        <f>Données!N126</f>
        <v>281467.34999999998</v>
      </c>
      <c r="E132" s="171">
        <f>Données!O126+Données!P126+Données!R126</f>
        <v>241685.55000000002</v>
      </c>
      <c r="F132" s="373">
        <f t="shared" si="5"/>
        <v>205282.97999999998</v>
      </c>
      <c r="G132" s="373">
        <f>Ecrêtage!M126</f>
        <v>64482.961717917329</v>
      </c>
      <c r="H132" s="374">
        <f t="shared" si="6"/>
        <v>387495.48193560546</v>
      </c>
      <c r="I132" s="239">
        <f t="shared" si="7"/>
        <v>657261.42365352274</v>
      </c>
    </row>
    <row r="133" spans="1:9" s="35" customFormat="1" x14ac:dyDescent="0.25">
      <c r="A133" s="38">
        <f>Données!A127</f>
        <v>5622</v>
      </c>
      <c r="B133" s="404" t="str">
        <f>Données!B127</f>
        <v>Bremblens</v>
      </c>
      <c r="C133" s="31">
        <f>VPI!R127</f>
        <v>29905.330441176469</v>
      </c>
      <c r="D133" s="8">
        <f>Données!N127</f>
        <v>29575.9</v>
      </c>
      <c r="E133" s="171">
        <f>Données!O127+Données!P127+Données!R127</f>
        <v>103758.29999999999</v>
      </c>
      <c r="F133" s="373">
        <f t="shared" si="5"/>
        <v>60751.92</v>
      </c>
      <c r="G133" s="373">
        <f>Ecrêtage!M127</f>
        <v>0</v>
      </c>
      <c r="H133" s="374">
        <f t="shared" si="6"/>
        <v>342970.07868420129</v>
      </c>
      <c r="I133" s="239">
        <f t="shared" si="7"/>
        <v>403721.99868420127</v>
      </c>
    </row>
    <row r="134" spans="1:9" s="35" customFormat="1" x14ac:dyDescent="0.25">
      <c r="A134" s="38">
        <f>Données!A128</f>
        <v>5623</v>
      </c>
      <c r="B134" s="404" t="str">
        <f>Données!B128</f>
        <v>Buchillon</v>
      </c>
      <c r="C134" s="31">
        <f>VPI!R128</f>
        <v>94247.214615384597</v>
      </c>
      <c r="D134" s="8">
        <f>Données!N128</f>
        <v>7618.5</v>
      </c>
      <c r="E134" s="171">
        <f>Données!O128+Données!P128+Données!R128</f>
        <v>241396.55</v>
      </c>
      <c r="F134" s="373">
        <f t="shared" si="5"/>
        <v>122983.825</v>
      </c>
      <c r="G134" s="373">
        <f>Ecrêtage!M128</f>
        <v>1266614.623650467</v>
      </c>
      <c r="H134" s="374">
        <f t="shared" si="6"/>
        <v>1080876.6910630278</v>
      </c>
      <c r="I134" s="239">
        <f t="shared" si="7"/>
        <v>2470475.139713495</v>
      </c>
    </row>
    <row r="135" spans="1:9" s="35" customFormat="1" x14ac:dyDescent="0.25">
      <c r="A135" s="38">
        <f>Données!A129</f>
        <v>5624</v>
      </c>
      <c r="B135" s="404" t="str">
        <f>Données!B129</f>
        <v>Bussigny</v>
      </c>
      <c r="C135" s="31">
        <f>VPI!R129</f>
        <v>412146.03071999998</v>
      </c>
      <c r="D135" s="8">
        <f>Données!N129</f>
        <v>1181413.95</v>
      </c>
      <c r="E135" s="171">
        <f>Données!O129+Données!P129+Données!R129</f>
        <v>2645776.35</v>
      </c>
      <c r="F135" s="373">
        <f t="shared" si="5"/>
        <v>1677312.36</v>
      </c>
      <c r="G135" s="373">
        <f>Ecrêtage!M129</f>
        <v>0</v>
      </c>
      <c r="H135" s="374">
        <f t="shared" si="6"/>
        <v>4726707.7306990903</v>
      </c>
      <c r="I135" s="239">
        <f t="shared" si="7"/>
        <v>6404020.0906990906</v>
      </c>
    </row>
    <row r="136" spans="1:9" s="35" customFormat="1" x14ac:dyDescent="0.25">
      <c r="A136" s="38">
        <f>Données!A130</f>
        <v>5627</v>
      </c>
      <c r="B136" s="404" t="str">
        <f>Données!B130</f>
        <v>Chavannes-près-Renens</v>
      </c>
      <c r="C136" s="31">
        <f>VPI!R130</f>
        <v>197756.36438709678</v>
      </c>
      <c r="D136" s="8">
        <f>Données!N130</f>
        <v>500773.4</v>
      </c>
      <c r="E136" s="171">
        <f>Données!O130+Données!P130+Données!R130</f>
        <v>672526.75000000012</v>
      </c>
      <c r="F136" s="373">
        <f t="shared" si="5"/>
        <v>486495.39500000002</v>
      </c>
      <c r="G136" s="373">
        <f>Ecrêtage!M130</f>
        <v>0</v>
      </c>
      <c r="H136" s="374">
        <f t="shared" si="6"/>
        <v>2267974.1321552829</v>
      </c>
      <c r="I136" s="239">
        <f t="shared" si="7"/>
        <v>2754469.5271552829</v>
      </c>
    </row>
    <row r="137" spans="1:9" s="35" customFormat="1" x14ac:dyDescent="0.25">
      <c r="A137" s="38">
        <f>Données!A131</f>
        <v>5628</v>
      </c>
      <c r="B137" s="404" t="str">
        <f>Données!B131</f>
        <v>Chigny</v>
      </c>
      <c r="C137" s="31">
        <f>VPI!R131</f>
        <v>29701.321935483869</v>
      </c>
      <c r="D137" s="8">
        <f>Données!N131</f>
        <v>3831.1</v>
      </c>
      <c r="E137" s="171">
        <f>Données!O131+Données!P131+Données!R131</f>
        <v>172810.15</v>
      </c>
      <c r="F137" s="373">
        <f t="shared" si="5"/>
        <v>87554.404999999999</v>
      </c>
      <c r="G137" s="373">
        <f>Ecrêtage!M131</f>
        <v>138347.35913018492</v>
      </c>
      <c r="H137" s="374">
        <f t="shared" si="6"/>
        <v>340630.40170295996</v>
      </c>
      <c r="I137" s="239">
        <f t="shared" si="7"/>
        <v>566532.16583314491</v>
      </c>
    </row>
    <row r="138" spans="1:9" s="35" customFormat="1" x14ac:dyDescent="0.25">
      <c r="A138" s="38">
        <f>Données!A132</f>
        <v>5629</v>
      </c>
      <c r="B138" s="404" t="str">
        <f>Données!B132</f>
        <v>Clarmont</v>
      </c>
      <c r="C138" s="31">
        <f>VPI!R132</f>
        <v>11214.945694444446</v>
      </c>
      <c r="D138" s="8">
        <f>Données!N132</f>
        <v>0</v>
      </c>
      <c r="E138" s="171">
        <f>Données!O132+Données!P132+Données!R132</f>
        <v>37849.300000000003</v>
      </c>
      <c r="F138" s="373">
        <f t="shared" si="5"/>
        <v>18924.650000000001</v>
      </c>
      <c r="G138" s="373">
        <f>Ecrêtage!M132</f>
        <v>5520.2833374091488</v>
      </c>
      <c r="H138" s="374">
        <f t="shared" si="6"/>
        <v>128618.90340347432</v>
      </c>
      <c r="I138" s="239">
        <f t="shared" si="7"/>
        <v>153063.83674088347</v>
      </c>
    </row>
    <row r="139" spans="1:9" s="35" customFormat="1" x14ac:dyDescent="0.25">
      <c r="A139" s="38">
        <f>Données!A133</f>
        <v>5631</v>
      </c>
      <c r="B139" s="404" t="str">
        <f>Données!B133</f>
        <v>Denens</v>
      </c>
      <c r="C139" s="31">
        <f>VPI!R133</f>
        <v>47500.25692307693</v>
      </c>
      <c r="D139" s="8">
        <f>Données!N133</f>
        <v>0</v>
      </c>
      <c r="E139" s="171">
        <f>Données!O133+Données!P133+Données!R133</f>
        <v>326730.40000000002</v>
      </c>
      <c r="F139" s="373">
        <f t="shared" si="5"/>
        <v>163365.20000000001</v>
      </c>
      <c r="G139" s="373">
        <f>Ecrêtage!M133</f>
        <v>162919.53574563618</v>
      </c>
      <c r="H139" s="374">
        <f t="shared" si="6"/>
        <v>544757.96167750296</v>
      </c>
      <c r="I139" s="239">
        <f t="shared" si="7"/>
        <v>871042.69742313924</v>
      </c>
    </row>
    <row r="140" spans="1:9" s="35" customFormat="1" x14ac:dyDescent="0.25">
      <c r="A140" s="38">
        <f>Données!A134</f>
        <v>5632</v>
      </c>
      <c r="B140" s="404" t="str">
        <f>Données!B134</f>
        <v>Denges</v>
      </c>
      <c r="C140" s="31">
        <f>VPI!R134</f>
        <v>89815.216612903241</v>
      </c>
      <c r="D140" s="8">
        <f>Données!N134</f>
        <v>137381.25</v>
      </c>
      <c r="E140" s="171">
        <f>Données!O134+Données!P134+Données!R134</f>
        <v>440423</v>
      </c>
      <c r="F140" s="373">
        <f t="shared" si="5"/>
        <v>261425.875</v>
      </c>
      <c r="G140" s="373">
        <f>Ecrêtage!M134</f>
        <v>0</v>
      </c>
      <c r="H140" s="374">
        <f t="shared" si="6"/>
        <v>1030048.2039266238</v>
      </c>
      <c r="I140" s="239">
        <f t="shared" si="7"/>
        <v>1291474.0789266238</v>
      </c>
    </row>
    <row r="141" spans="1:9" s="35" customFormat="1" x14ac:dyDescent="0.25">
      <c r="A141" s="38">
        <f>Données!A135</f>
        <v>5633</v>
      </c>
      <c r="B141" s="404" t="str">
        <f>Données!B135</f>
        <v>Echandens</v>
      </c>
      <c r="C141" s="31">
        <f>VPI!R135</f>
        <v>146616.96727272726</v>
      </c>
      <c r="D141" s="8">
        <f>Données!N135</f>
        <v>284462.05</v>
      </c>
      <c r="E141" s="171">
        <f>Données!O135+Données!P135+Données!R135</f>
        <v>1088438.5</v>
      </c>
      <c r="F141" s="373">
        <f t="shared" ref="F141:F204" si="8">D141*$D$11+E141*$E$11</f>
        <v>629557.86499999999</v>
      </c>
      <c r="G141" s="373">
        <f>Ecrêtage!M135</f>
        <v>32552.929442513931</v>
      </c>
      <c r="H141" s="374">
        <f t="shared" ref="H141:H204" si="9">$H$11*C141</f>
        <v>1681480.5942665259</v>
      </c>
      <c r="I141" s="239">
        <f t="shared" ref="I141:I204" si="10">F141+H141+G141</f>
        <v>2343591.3887090394</v>
      </c>
    </row>
    <row r="142" spans="1:9" s="35" customFormat="1" x14ac:dyDescent="0.25">
      <c r="A142" s="38">
        <f>Données!A136</f>
        <v>5634</v>
      </c>
      <c r="B142" s="404" t="str">
        <f>Données!B136</f>
        <v>Echichens</v>
      </c>
      <c r="C142" s="31">
        <f>VPI!R136</f>
        <v>181424.03242424241</v>
      </c>
      <c r="D142" s="8">
        <f>Données!N136</f>
        <v>63745.35</v>
      </c>
      <c r="E142" s="171">
        <f>Données!O136+Données!P136+Données!R136</f>
        <v>1541848.6</v>
      </c>
      <c r="F142" s="373">
        <f t="shared" si="8"/>
        <v>790047.90500000003</v>
      </c>
      <c r="G142" s="373">
        <f>Ecrêtage!M136</f>
        <v>318039.64094569342</v>
      </c>
      <c r="H142" s="374">
        <f t="shared" si="9"/>
        <v>2080666.3480324904</v>
      </c>
      <c r="I142" s="239">
        <f t="shared" si="10"/>
        <v>3188753.8939781841</v>
      </c>
    </row>
    <row r="143" spans="1:9" s="35" customFormat="1" x14ac:dyDescent="0.25">
      <c r="A143" s="38">
        <f>Données!A137</f>
        <v>5635</v>
      </c>
      <c r="B143" s="404" t="str">
        <f>Données!B137</f>
        <v>Ecublens</v>
      </c>
      <c r="C143" s="31">
        <f>VPI!R137</f>
        <v>505560.77512000001</v>
      </c>
      <c r="D143" s="8">
        <f>Données!N137</f>
        <v>2685309.25</v>
      </c>
      <c r="E143" s="171">
        <f>Données!O137+Données!P137+Données!R137</f>
        <v>3958373.05</v>
      </c>
      <c r="F143" s="373">
        <f t="shared" si="8"/>
        <v>2784779.3</v>
      </c>
      <c r="G143" s="373">
        <f>Ecrêtage!M137</f>
        <v>0</v>
      </c>
      <c r="H143" s="374">
        <f t="shared" si="9"/>
        <v>5798037.2149243839</v>
      </c>
      <c r="I143" s="239">
        <f t="shared" si="10"/>
        <v>8582816.5149243847</v>
      </c>
    </row>
    <row r="144" spans="1:9" s="35" customFormat="1" x14ac:dyDescent="0.25">
      <c r="A144" s="38">
        <f>Données!A138</f>
        <v>5636</v>
      </c>
      <c r="B144" s="404" t="str">
        <f>Données!B138</f>
        <v>Etoy</v>
      </c>
      <c r="C144" s="31">
        <f>VPI!R138</f>
        <v>236704.12550000002</v>
      </c>
      <c r="D144" s="8">
        <f>Données!N138</f>
        <v>670981.55000000005</v>
      </c>
      <c r="E144" s="171">
        <f>Données!O138+Données!P138+Données!R138</f>
        <v>1759886.3499999999</v>
      </c>
      <c r="F144" s="373">
        <f t="shared" si="8"/>
        <v>1081237.6399999999</v>
      </c>
      <c r="G144" s="373">
        <f>Ecrêtage!M138</f>
        <v>1608220.1624767948</v>
      </c>
      <c r="H144" s="374">
        <f t="shared" si="9"/>
        <v>2714647.5678406307</v>
      </c>
      <c r="I144" s="239">
        <f t="shared" si="10"/>
        <v>5404105.3703174256</v>
      </c>
    </row>
    <row r="145" spans="1:9" s="35" customFormat="1" x14ac:dyDescent="0.25">
      <c r="A145" s="38">
        <f>Données!A139</f>
        <v>5637</v>
      </c>
      <c r="B145" s="404" t="str">
        <f>Données!B139</f>
        <v>Lavigny</v>
      </c>
      <c r="C145" s="31">
        <f>VPI!R139</f>
        <v>38282.802876712332</v>
      </c>
      <c r="D145" s="8">
        <f>Données!N139</f>
        <v>340164.3</v>
      </c>
      <c r="E145" s="171">
        <f>Données!O139+Données!P139+Données!R139</f>
        <v>166246.20000000001</v>
      </c>
      <c r="F145" s="373">
        <f t="shared" si="8"/>
        <v>185172.39</v>
      </c>
      <c r="G145" s="373">
        <f>Ecrêtage!M139</f>
        <v>0</v>
      </c>
      <c r="H145" s="374">
        <f t="shared" si="9"/>
        <v>439047.34444262745</v>
      </c>
      <c r="I145" s="239">
        <f t="shared" si="10"/>
        <v>624219.73444262752</v>
      </c>
    </row>
    <row r="146" spans="1:9" s="35" customFormat="1" x14ac:dyDescent="0.25">
      <c r="A146" s="38">
        <f>Données!A140</f>
        <v>5638</v>
      </c>
      <c r="B146" s="404" t="str">
        <f>Données!B140</f>
        <v>Lonay</v>
      </c>
      <c r="C146" s="31">
        <f>VPI!R140</f>
        <v>168507.09218181815</v>
      </c>
      <c r="D146" s="8">
        <f>Données!N140</f>
        <v>328627.84999999998</v>
      </c>
      <c r="E146" s="171">
        <f>Données!O140+Données!P140+Données!R140</f>
        <v>11683576.949999999</v>
      </c>
      <c r="F146" s="373">
        <f t="shared" si="8"/>
        <v>5940376.8300000001</v>
      </c>
      <c r="G146" s="373">
        <f>Ecrêtage!M140</f>
        <v>436153.17548506829</v>
      </c>
      <c r="H146" s="374">
        <f t="shared" si="9"/>
        <v>1932528.0748233919</v>
      </c>
      <c r="I146" s="239">
        <f t="shared" si="10"/>
        <v>8309058.0803084597</v>
      </c>
    </row>
    <row r="147" spans="1:9" s="35" customFormat="1" x14ac:dyDescent="0.25">
      <c r="A147" s="38">
        <f>Données!A141</f>
        <v>5639</v>
      </c>
      <c r="B147" s="404" t="str">
        <f>Données!B141</f>
        <v>Lully</v>
      </c>
      <c r="C147" s="31">
        <f>VPI!R141</f>
        <v>50946.176393442627</v>
      </c>
      <c r="D147" s="8">
        <f>Données!N141</f>
        <v>11000.25</v>
      </c>
      <c r="E147" s="171">
        <f>Données!O141+Données!P141+Données!R141</f>
        <v>521091</v>
      </c>
      <c r="F147" s="373">
        <f t="shared" si="8"/>
        <v>263845.57500000001</v>
      </c>
      <c r="G147" s="373">
        <f>Ecrêtage!M141</f>
        <v>128098.45214913967</v>
      </c>
      <c r="H147" s="374">
        <f t="shared" si="9"/>
        <v>584277.58090443071</v>
      </c>
      <c r="I147" s="239">
        <f t="shared" si="10"/>
        <v>976221.60805357038</v>
      </c>
    </row>
    <row r="148" spans="1:9" s="35" customFormat="1" x14ac:dyDescent="0.25">
      <c r="A148" s="38">
        <f>Données!A142</f>
        <v>5640</v>
      </c>
      <c r="B148" s="404" t="str">
        <f>Données!B142</f>
        <v>Lussy-sur-Morges</v>
      </c>
      <c r="C148" s="31">
        <f>VPI!R142</f>
        <v>53692.239837398381</v>
      </c>
      <c r="D148" s="8">
        <f>Données!N142</f>
        <v>31301.05</v>
      </c>
      <c r="E148" s="171">
        <f>Données!O142+Données!P142+Données!R142</f>
        <v>199885.8</v>
      </c>
      <c r="F148" s="373">
        <f t="shared" si="8"/>
        <v>109333.215</v>
      </c>
      <c r="G148" s="373">
        <f>Ecrêtage!M142</f>
        <v>278122.62574677682</v>
      </c>
      <c r="H148" s="374">
        <f t="shared" si="9"/>
        <v>615770.88265201915</v>
      </c>
      <c r="I148" s="239">
        <f t="shared" si="10"/>
        <v>1003226.7233987959</v>
      </c>
    </row>
    <row r="149" spans="1:9" s="35" customFormat="1" x14ac:dyDescent="0.25">
      <c r="A149" s="38">
        <f>Données!A143</f>
        <v>5642</v>
      </c>
      <c r="B149" s="404" t="str">
        <f>Données!B143</f>
        <v>Morges</v>
      </c>
      <c r="C149" s="31">
        <f>VPI!R143</f>
        <v>1132235.5279104479</v>
      </c>
      <c r="D149" s="8">
        <f>Données!N143</f>
        <v>1804653.8</v>
      </c>
      <c r="E149" s="171">
        <f>Données!O143+Données!P143+Données!R143</f>
        <v>10277203.550000001</v>
      </c>
      <c r="F149" s="373">
        <f t="shared" si="8"/>
        <v>5679997.915</v>
      </c>
      <c r="G149" s="373">
        <f>Ecrêtage!M143</f>
        <v>3930390.4630448385</v>
      </c>
      <c r="H149" s="374">
        <f t="shared" si="9"/>
        <v>12985073.308597021</v>
      </c>
      <c r="I149" s="239">
        <f t="shared" si="10"/>
        <v>22595461.686641857</v>
      </c>
    </row>
    <row r="150" spans="1:9" s="35" customFormat="1" x14ac:dyDescent="0.25">
      <c r="A150" s="38">
        <f>Données!A144</f>
        <v>5643</v>
      </c>
      <c r="B150" s="404" t="str">
        <f>Données!B144</f>
        <v>Préverenges</v>
      </c>
      <c r="C150" s="31">
        <f>VPI!R144</f>
        <v>249027.28047999999</v>
      </c>
      <c r="D150" s="8">
        <f>Données!N144</f>
        <v>215359.8</v>
      </c>
      <c r="E150" s="171">
        <f>Données!O144+Données!P144+Données!R144</f>
        <v>1314729.6499999999</v>
      </c>
      <c r="F150" s="373">
        <f t="shared" si="8"/>
        <v>721972.7649999999</v>
      </c>
      <c r="G150" s="373">
        <f>Ecrêtage!M144</f>
        <v>0</v>
      </c>
      <c r="H150" s="374">
        <f t="shared" si="9"/>
        <v>2855975.9989523226</v>
      </c>
      <c r="I150" s="239">
        <f t="shared" si="10"/>
        <v>3577948.7639523223</v>
      </c>
    </row>
    <row r="151" spans="1:9" s="35" customFormat="1" x14ac:dyDescent="0.25">
      <c r="A151" s="38">
        <f>Données!A145</f>
        <v>5645</v>
      </c>
      <c r="B151" s="404" t="str">
        <f>Données!B145</f>
        <v>Romanel-sur-Morges</v>
      </c>
      <c r="C151" s="31">
        <f>VPI!R145</f>
        <v>27135.573571428577</v>
      </c>
      <c r="D151" s="8">
        <f>Données!N145</f>
        <v>167801.05</v>
      </c>
      <c r="E151" s="171">
        <f>Données!O145+Données!P145+Données!R145</f>
        <v>29678.65</v>
      </c>
      <c r="F151" s="373">
        <f t="shared" si="8"/>
        <v>65179.64</v>
      </c>
      <c r="G151" s="373">
        <f>Ecrêtage!M145</f>
        <v>47996.080672339544</v>
      </c>
      <c r="H151" s="374">
        <f t="shared" si="9"/>
        <v>311205.04825184838</v>
      </c>
      <c r="I151" s="239">
        <f t="shared" si="10"/>
        <v>424380.76892418793</v>
      </c>
    </row>
    <row r="152" spans="1:9" s="35" customFormat="1" x14ac:dyDescent="0.25">
      <c r="A152" s="38">
        <f>Données!A146</f>
        <v>5646</v>
      </c>
      <c r="B152" s="404" t="str">
        <f>Données!B146</f>
        <v>Saint-Prex</v>
      </c>
      <c r="C152" s="31">
        <f>VPI!R146</f>
        <v>525095.71629943512</v>
      </c>
      <c r="D152" s="8">
        <f>Données!N146</f>
        <v>773219.15</v>
      </c>
      <c r="E152" s="171">
        <f>Données!O146+Données!P146+Données!R146</f>
        <v>2110177.25</v>
      </c>
      <c r="F152" s="373">
        <f t="shared" si="8"/>
        <v>1287054.3700000001</v>
      </c>
      <c r="G152" s="373">
        <f>Ecrêtage!M146</f>
        <v>4290766.1884344704</v>
      </c>
      <c r="H152" s="374">
        <f t="shared" si="9"/>
        <v>6022074.2081480753</v>
      </c>
      <c r="I152" s="239">
        <f t="shared" si="10"/>
        <v>11599894.766582545</v>
      </c>
    </row>
    <row r="153" spans="1:9" s="35" customFormat="1" x14ac:dyDescent="0.25">
      <c r="A153" s="38">
        <f>Données!A147</f>
        <v>5648</v>
      </c>
      <c r="B153" s="404" t="str">
        <f>Données!B147</f>
        <v>Saint-Sulpice</v>
      </c>
      <c r="C153" s="31">
        <f>VPI!R147</f>
        <v>396373.38209090912</v>
      </c>
      <c r="D153" s="8">
        <f>Données!N147</f>
        <v>58495.75</v>
      </c>
      <c r="E153" s="171">
        <f>Données!O147+Données!P147+Données!R147</f>
        <v>3662202.9</v>
      </c>
      <c r="F153" s="373">
        <f t="shared" si="8"/>
        <v>1848650.175</v>
      </c>
      <c r="G153" s="373">
        <f>Ecrêtage!M147</f>
        <v>2151160.0904362858</v>
      </c>
      <c r="H153" s="374">
        <f t="shared" si="9"/>
        <v>4545818.6897965632</v>
      </c>
      <c r="I153" s="239">
        <f t="shared" si="10"/>
        <v>8545628.9552328493</v>
      </c>
    </row>
    <row r="154" spans="1:9" s="35" customFormat="1" x14ac:dyDescent="0.25">
      <c r="A154" s="38">
        <f>Données!A148</f>
        <v>5649</v>
      </c>
      <c r="B154" s="404" t="str">
        <f>Données!B148</f>
        <v>Tolochenaz</v>
      </c>
      <c r="C154" s="31">
        <f>VPI!R148</f>
        <v>281314.52828124992</v>
      </c>
      <c r="D154" s="8">
        <f>Données!N148</f>
        <v>360571</v>
      </c>
      <c r="E154" s="171">
        <f>Données!O148+Données!P148+Données!R148</f>
        <v>1512612.95</v>
      </c>
      <c r="F154" s="373">
        <f t="shared" si="8"/>
        <v>864477.77500000002</v>
      </c>
      <c r="G154" s="373">
        <f>Ecrêtage!M148</f>
        <v>4925856.6378786424</v>
      </c>
      <c r="H154" s="374">
        <f t="shared" si="9"/>
        <v>3226263.1603221856</v>
      </c>
      <c r="I154" s="239">
        <f t="shared" si="10"/>
        <v>9016597.5732008275</v>
      </c>
    </row>
    <row r="155" spans="1:9" s="35" customFormat="1" x14ac:dyDescent="0.25">
      <c r="A155" s="38">
        <f>Données!A149</f>
        <v>5650</v>
      </c>
      <c r="B155" s="404" t="str">
        <f>Données!B149</f>
        <v>Vaux-sur-Morges</v>
      </c>
      <c r="C155" s="31">
        <f>VPI!R149</f>
        <v>96067.741964285728</v>
      </c>
      <c r="D155" s="8">
        <f>Données!N149</f>
        <v>106.8</v>
      </c>
      <c r="E155" s="171">
        <f>Données!O149+Données!P149+Données!R149</f>
        <v>5493.9000000000005</v>
      </c>
      <c r="F155" s="373">
        <f t="shared" si="8"/>
        <v>2778.9900000000002</v>
      </c>
      <c r="G155" s="373">
        <f>Ecrêtage!M149</f>
        <v>2744282.6111146156</v>
      </c>
      <c r="H155" s="374">
        <f t="shared" si="9"/>
        <v>1101755.4574531042</v>
      </c>
      <c r="I155" s="239">
        <f t="shared" si="10"/>
        <v>3848817.0585677195</v>
      </c>
    </row>
    <row r="156" spans="1:9" s="35" customFormat="1" x14ac:dyDescent="0.25">
      <c r="A156" s="38">
        <f>Données!A150</f>
        <v>5651</v>
      </c>
      <c r="B156" s="404" t="str">
        <f>Données!B150</f>
        <v>Villars-Sainte-Croix</v>
      </c>
      <c r="C156" s="31">
        <f>VPI!R150</f>
        <v>61414.015041322302</v>
      </c>
      <c r="D156" s="8">
        <f>Données!N150</f>
        <v>318288.86</v>
      </c>
      <c r="E156" s="171">
        <f>Données!O150+Données!P150+Données!R150</f>
        <v>161329.95000000001</v>
      </c>
      <c r="F156" s="373">
        <f t="shared" si="8"/>
        <v>176151.633</v>
      </c>
      <c r="G156" s="373">
        <f>Ecrêtage!M150</f>
        <v>176282.44746524462</v>
      </c>
      <c r="H156" s="374">
        <f t="shared" si="9"/>
        <v>704328.26724540326</v>
      </c>
      <c r="I156" s="239">
        <f t="shared" si="10"/>
        <v>1056762.3477106479</v>
      </c>
    </row>
    <row r="157" spans="1:9" s="35" customFormat="1" x14ac:dyDescent="0.25">
      <c r="A157" s="38">
        <f>Données!A151</f>
        <v>5652</v>
      </c>
      <c r="B157" s="404" t="str">
        <f>Données!B151</f>
        <v>Villars-sous-Yens</v>
      </c>
      <c r="C157" s="31">
        <f>VPI!R151</f>
        <v>29186.92625</v>
      </c>
      <c r="D157" s="8">
        <f>Données!N151</f>
        <v>0</v>
      </c>
      <c r="E157" s="171">
        <f>Données!O151+Données!P151+Données!R151</f>
        <v>692590.6</v>
      </c>
      <c r="F157" s="373">
        <f t="shared" si="8"/>
        <v>346295.3</v>
      </c>
      <c r="G157" s="373">
        <f>Ecrêtage!M151</f>
        <v>0</v>
      </c>
      <c r="H157" s="374">
        <f t="shared" si="9"/>
        <v>334731.0410832123</v>
      </c>
      <c r="I157" s="239">
        <f t="shared" si="10"/>
        <v>681026.34108321229</v>
      </c>
    </row>
    <row r="158" spans="1:9" s="35" customFormat="1" x14ac:dyDescent="0.25">
      <c r="A158" s="38">
        <f>Données!A152</f>
        <v>5653</v>
      </c>
      <c r="B158" s="404" t="str">
        <f>Données!B152</f>
        <v>Vufflens-le-Château</v>
      </c>
      <c r="C158" s="31">
        <f>VPI!R152</f>
        <v>66751.135840000003</v>
      </c>
      <c r="D158" s="8">
        <f>Données!N152</f>
        <v>2293.3000000000002</v>
      </c>
      <c r="E158" s="171">
        <f>Données!O152+Données!P152+Données!R152</f>
        <v>127188.05</v>
      </c>
      <c r="F158" s="373">
        <f t="shared" si="8"/>
        <v>64282.014999999999</v>
      </c>
      <c r="G158" s="373">
        <f>Ecrêtage!M152</f>
        <v>387349.04908238153</v>
      </c>
      <c r="H158" s="374">
        <f t="shared" si="9"/>
        <v>765537.17927766126</v>
      </c>
      <c r="I158" s="239">
        <f t="shared" si="10"/>
        <v>1217168.2433600428</v>
      </c>
    </row>
    <row r="159" spans="1:9" s="35" customFormat="1" x14ac:dyDescent="0.25">
      <c r="A159" s="38">
        <f>Données!A153</f>
        <v>5654</v>
      </c>
      <c r="B159" s="404" t="str">
        <f>Données!B153</f>
        <v>Vullierens</v>
      </c>
      <c r="C159" s="31">
        <f>VPI!R153</f>
        <v>21960.434210526313</v>
      </c>
      <c r="D159" s="8">
        <f>Données!N153</f>
        <v>5793.5</v>
      </c>
      <c r="E159" s="171">
        <f>Données!O153+Données!P153+Données!R153</f>
        <v>90977.85</v>
      </c>
      <c r="F159" s="373">
        <f t="shared" si="8"/>
        <v>47226.975000000006</v>
      </c>
      <c r="G159" s="373">
        <f>Ecrêtage!M153</f>
        <v>0</v>
      </c>
      <c r="H159" s="374">
        <f t="shared" si="9"/>
        <v>251853.82465304527</v>
      </c>
      <c r="I159" s="239">
        <f t="shared" si="10"/>
        <v>299080.79965304525</v>
      </c>
    </row>
    <row r="160" spans="1:9" s="35" customFormat="1" x14ac:dyDescent="0.25">
      <c r="A160" s="38">
        <f>Données!A154</f>
        <v>5655</v>
      </c>
      <c r="B160" s="404" t="str">
        <f>Données!B154</f>
        <v>Yens</v>
      </c>
      <c r="C160" s="31">
        <f>VPI!R154</f>
        <v>83347.731285714282</v>
      </c>
      <c r="D160" s="8">
        <f>Données!N154</f>
        <v>90095.15</v>
      </c>
      <c r="E160" s="171">
        <f>Données!O154+Données!P154+Données!R154</f>
        <v>409365.75</v>
      </c>
      <c r="F160" s="373">
        <f t="shared" si="8"/>
        <v>231711.41999999998</v>
      </c>
      <c r="G160" s="373">
        <f>Ecrêtage!M154</f>
        <v>124760.21119229136</v>
      </c>
      <c r="H160" s="374">
        <f t="shared" si="9"/>
        <v>955875.67619221192</v>
      </c>
      <c r="I160" s="239">
        <f t="shared" si="10"/>
        <v>1312347.3073845033</v>
      </c>
    </row>
    <row r="161" spans="1:9" s="35" customFormat="1" x14ac:dyDescent="0.25">
      <c r="A161" s="38">
        <f>Données!A155</f>
        <v>5656</v>
      </c>
      <c r="B161" s="404" t="str">
        <f>Données!B155</f>
        <v>Hautemorges</v>
      </c>
      <c r="C161" s="31">
        <f>VPI!R155</f>
        <v>167962.47422535214</v>
      </c>
      <c r="D161" s="8">
        <f>Données!N155</f>
        <v>111993.15</v>
      </c>
      <c r="E161" s="171">
        <f>Données!O155+Données!P155+Données!R155</f>
        <v>819306.10000000009</v>
      </c>
      <c r="F161" s="373">
        <f t="shared" si="8"/>
        <v>443250.99500000005</v>
      </c>
      <c r="G161" s="373">
        <f>Ecrêtage!M155</f>
        <v>0</v>
      </c>
      <c r="H161" s="374">
        <f t="shared" si="9"/>
        <v>1926282.1092839243</v>
      </c>
      <c r="I161" s="239">
        <f t="shared" si="10"/>
        <v>2369533.1042839242</v>
      </c>
    </row>
    <row r="162" spans="1:9" s="35" customFormat="1" x14ac:dyDescent="0.25">
      <c r="A162" s="38">
        <f>Données!A156</f>
        <v>5661</v>
      </c>
      <c r="B162" s="404" t="str">
        <f>Données!B156</f>
        <v>Boulens</v>
      </c>
      <c r="C162" s="31">
        <f>VPI!R156</f>
        <v>10042.510349650349</v>
      </c>
      <c r="D162" s="8">
        <f>Données!N156</f>
        <v>16677.45</v>
      </c>
      <c r="E162" s="171">
        <f>Données!O156+Données!P156+Données!R156</f>
        <v>77680.5</v>
      </c>
      <c r="F162" s="373">
        <f t="shared" si="8"/>
        <v>43843.485000000001</v>
      </c>
      <c r="G162" s="373">
        <f>Ecrêtage!M156</f>
        <v>0</v>
      </c>
      <c r="H162" s="374">
        <f t="shared" si="9"/>
        <v>115172.79742423703</v>
      </c>
      <c r="I162" s="239">
        <f t="shared" si="10"/>
        <v>159016.28242423703</v>
      </c>
    </row>
    <row r="163" spans="1:9" s="35" customFormat="1" x14ac:dyDescent="0.25">
      <c r="A163" s="38">
        <f>Données!A157</f>
        <v>5663</v>
      </c>
      <c r="B163" s="404" t="str">
        <f>Données!B157</f>
        <v>Bussy-sur-Moudon</v>
      </c>
      <c r="C163" s="31">
        <f>VPI!R157</f>
        <v>7115.4099363057312</v>
      </c>
      <c r="D163" s="8">
        <f>Données!N157</f>
        <v>0</v>
      </c>
      <c r="E163" s="171">
        <f>Données!O157+Données!P157+Données!R157</f>
        <v>39470.5</v>
      </c>
      <c r="F163" s="373">
        <f t="shared" si="8"/>
        <v>19735.25</v>
      </c>
      <c r="G163" s="373">
        <f>Ecrêtage!M157</f>
        <v>0</v>
      </c>
      <c r="H163" s="374">
        <f t="shared" si="9"/>
        <v>81603.268371346596</v>
      </c>
      <c r="I163" s="239">
        <f t="shared" si="10"/>
        <v>101338.5183713466</v>
      </c>
    </row>
    <row r="164" spans="1:9" s="35" customFormat="1" x14ac:dyDescent="0.25">
      <c r="A164" s="38">
        <f>Données!A158</f>
        <v>5665</v>
      </c>
      <c r="B164" s="404" t="str">
        <f>Données!B158</f>
        <v>Chavannes-sur-Moudon</v>
      </c>
      <c r="C164" s="31">
        <f>VPI!R158</f>
        <v>5907.4868571428569</v>
      </c>
      <c r="D164" s="8">
        <f>Données!N158</f>
        <v>0</v>
      </c>
      <c r="E164" s="171">
        <f>Données!O158+Données!P158+Données!R158</f>
        <v>660</v>
      </c>
      <c r="F164" s="373">
        <f t="shared" si="8"/>
        <v>330</v>
      </c>
      <c r="G164" s="373">
        <f>Ecrêtage!M158</f>
        <v>0</v>
      </c>
      <c r="H164" s="374">
        <f t="shared" si="9"/>
        <v>67750.170365295751</v>
      </c>
      <c r="I164" s="239">
        <f t="shared" si="10"/>
        <v>68080.170365295751</v>
      </c>
    </row>
    <row r="165" spans="1:9" s="35" customFormat="1" x14ac:dyDescent="0.25">
      <c r="A165" s="38">
        <f>Données!A159</f>
        <v>5669</v>
      </c>
      <c r="B165" s="404" t="str">
        <f>Données!B159</f>
        <v>Curtilles</v>
      </c>
      <c r="C165" s="31">
        <f>VPI!R159</f>
        <v>9466.6579452054793</v>
      </c>
      <c r="D165" s="8">
        <f>Données!N159</f>
        <v>0</v>
      </c>
      <c r="E165" s="171">
        <f>Données!O159+Données!P159+Données!R159</f>
        <v>146758.35</v>
      </c>
      <c r="F165" s="373">
        <f t="shared" si="8"/>
        <v>73379.175000000003</v>
      </c>
      <c r="G165" s="373">
        <f>Ecrêtage!M159</f>
        <v>0</v>
      </c>
      <c r="H165" s="374">
        <f t="shared" si="9"/>
        <v>108568.61878620376</v>
      </c>
      <c r="I165" s="239">
        <f t="shared" si="10"/>
        <v>181947.79378620378</v>
      </c>
    </row>
    <row r="166" spans="1:9" s="35" customFormat="1" x14ac:dyDescent="0.25">
      <c r="A166" s="38">
        <f>Données!A160</f>
        <v>5671</v>
      </c>
      <c r="B166" s="404" t="str">
        <f>Données!B160</f>
        <v>Dompierre</v>
      </c>
      <c r="C166" s="31">
        <f>VPI!R160</f>
        <v>8071.3430769230772</v>
      </c>
      <c r="D166" s="8">
        <f>Données!N160</f>
        <v>0</v>
      </c>
      <c r="E166" s="171">
        <f>Données!O160+Données!P160+Données!R160</f>
        <v>37415.949999999997</v>
      </c>
      <c r="F166" s="373">
        <f t="shared" si="8"/>
        <v>18707.974999999999</v>
      </c>
      <c r="G166" s="373">
        <f>Ecrêtage!M160</f>
        <v>0</v>
      </c>
      <c r="H166" s="374">
        <f t="shared" si="9"/>
        <v>92566.413055511104</v>
      </c>
      <c r="I166" s="239">
        <f t="shared" si="10"/>
        <v>111274.38805551111</v>
      </c>
    </row>
    <row r="167" spans="1:9" s="35" customFormat="1" x14ac:dyDescent="0.25">
      <c r="A167" s="38">
        <f>Données!A161</f>
        <v>5673</v>
      </c>
      <c r="B167" s="404" t="str">
        <f>Données!B161</f>
        <v>Hermenches</v>
      </c>
      <c r="C167" s="31">
        <f>VPI!R161</f>
        <v>11048.340272108846</v>
      </c>
      <c r="D167" s="8">
        <f>Données!N161</f>
        <v>10190.6</v>
      </c>
      <c r="E167" s="171">
        <f>Données!O161+Données!P161+Données!R161</f>
        <v>45163.45</v>
      </c>
      <c r="F167" s="373">
        <f t="shared" si="8"/>
        <v>25638.904999999999</v>
      </c>
      <c r="G167" s="373">
        <f>Ecrêtage!M161</f>
        <v>0</v>
      </c>
      <c r="H167" s="374">
        <f t="shared" si="9"/>
        <v>126708.18467993269</v>
      </c>
      <c r="I167" s="239">
        <f t="shared" si="10"/>
        <v>152347.08967993269</v>
      </c>
    </row>
    <row r="168" spans="1:9" s="35" customFormat="1" x14ac:dyDescent="0.25">
      <c r="A168" s="38">
        <f>Données!A162</f>
        <v>5674</v>
      </c>
      <c r="B168" s="404" t="str">
        <f>Données!B162</f>
        <v>Lovatens</v>
      </c>
      <c r="C168" s="31">
        <f>VPI!R162</f>
        <v>4104.2373333333326</v>
      </c>
      <c r="D168" s="8">
        <f>Données!N162</f>
        <v>0</v>
      </c>
      <c r="E168" s="171">
        <f>Données!O162+Données!P162+Données!R162</f>
        <v>1001.45</v>
      </c>
      <c r="F168" s="373">
        <f t="shared" si="8"/>
        <v>500.72500000000002</v>
      </c>
      <c r="G168" s="373">
        <f>Ecrêtage!M162</f>
        <v>0</v>
      </c>
      <c r="H168" s="374">
        <f t="shared" si="9"/>
        <v>47069.555172472246</v>
      </c>
      <c r="I168" s="239">
        <f t="shared" si="10"/>
        <v>47570.280172472245</v>
      </c>
    </row>
    <row r="169" spans="1:9" s="35" customFormat="1" x14ac:dyDescent="0.25">
      <c r="A169" s="38">
        <f>Données!A163</f>
        <v>5675</v>
      </c>
      <c r="B169" s="404" t="str">
        <f>Données!B163</f>
        <v>Lucens</v>
      </c>
      <c r="C169" s="31">
        <f>VPI!R163</f>
        <v>97920.060444735136</v>
      </c>
      <c r="D169" s="8">
        <f>Données!N163</f>
        <v>22017.7</v>
      </c>
      <c r="E169" s="171">
        <f>Données!O163+Données!P163+Données!R163</f>
        <v>772242.6</v>
      </c>
      <c r="F169" s="373">
        <f t="shared" si="8"/>
        <v>392726.61</v>
      </c>
      <c r="G169" s="373">
        <f>Ecrêtage!M163</f>
        <v>0</v>
      </c>
      <c r="H169" s="374">
        <f t="shared" si="9"/>
        <v>1122998.8212820892</v>
      </c>
      <c r="I169" s="239">
        <f t="shared" si="10"/>
        <v>1515725.4312820891</v>
      </c>
    </row>
    <row r="170" spans="1:9" s="35" customFormat="1" x14ac:dyDescent="0.25">
      <c r="A170" s="38">
        <f>Données!A164</f>
        <v>5678</v>
      </c>
      <c r="B170" s="404" t="str">
        <f>Données!B164</f>
        <v>Moudon</v>
      </c>
      <c r="C170" s="31">
        <f>VPI!R164</f>
        <v>133786.12827586205</v>
      </c>
      <c r="D170" s="8">
        <f>Données!N164</f>
        <v>216058.7</v>
      </c>
      <c r="E170" s="171">
        <f>Données!O164+Données!P164+Données!R164</f>
        <v>1183774.95</v>
      </c>
      <c r="F170" s="373">
        <f t="shared" si="8"/>
        <v>656705.08499999996</v>
      </c>
      <c r="G170" s="373">
        <f>Ecrêtage!M164</f>
        <v>0</v>
      </c>
      <c r="H170" s="374">
        <f t="shared" si="9"/>
        <v>1534329.7754854022</v>
      </c>
      <c r="I170" s="239">
        <f t="shared" si="10"/>
        <v>2191034.8604854019</v>
      </c>
    </row>
    <row r="171" spans="1:9" s="35" customFormat="1" x14ac:dyDescent="0.25">
      <c r="A171" s="38">
        <f>Données!A165</f>
        <v>5680</v>
      </c>
      <c r="B171" s="404" t="str">
        <f>Données!B165</f>
        <v>Ogens</v>
      </c>
      <c r="C171" s="31">
        <f>VPI!R165</f>
        <v>7909.509316239315</v>
      </c>
      <c r="D171" s="8">
        <f>Données!N165</f>
        <v>0</v>
      </c>
      <c r="E171" s="171">
        <f>Données!O165+Données!P165+Données!R165</f>
        <v>104577.5</v>
      </c>
      <c r="F171" s="373">
        <f t="shared" si="8"/>
        <v>52288.75</v>
      </c>
      <c r="G171" s="373">
        <f>Ecrêtage!M165</f>
        <v>0</v>
      </c>
      <c r="H171" s="374">
        <f t="shared" si="9"/>
        <v>90710.418260715363</v>
      </c>
      <c r="I171" s="239">
        <f t="shared" si="10"/>
        <v>142999.16826071538</v>
      </c>
    </row>
    <row r="172" spans="1:9" s="35" customFormat="1" x14ac:dyDescent="0.25">
      <c r="A172" s="38">
        <f>Données!A166</f>
        <v>5683</v>
      </c>
      <c r="B172" s="404" t="str">
        <f>Données!B166</f>
        <v>Prévonloup</v>
      </c>
      <c r="C172" s="31">
        <f>VPI!R166</f>
        <v>6488.9761379310348</v>
      </c>
      <c r="D172" s="8">
        <f>Données!N166</f>
        <v>0</v>
      </c>
      <c r="E172" s="171">
        <f>Données!O166+Données!P166+Données!R166</f>
        <v>85259.4</v>
      </c>
      <c r="F172" s="373">
        <f t="shared" si="8"/>
        <v>42629.7</v>
      </c>
      <c r="G172" s="373">
        <f>Ecrêtage!M166</f>
        <v>0</v>
      </c>
      <c r="H172" s="374">
        <f t="shared" si="9"/>
        <v>74418.995669808763</v>
      </c>
      <c r="I172" s="239">
        <f t="shared" si="10"/>
        <v>117048.69566980876</v>
      </c>
    </row>
    <row r="173" spans="1:9" s="35" customFormat="1" x14ac:dyDescent="0.25">
      <c r="A173" s="38">
        <f>Données!A167</f>
        <v>5684</v>
      </c>
      <c r="B173" s="404" t="str">
        <f>Données!B167</f>
        <v>Rossenges</v>
      </c>
      <c r="C173" s="31">
        <f>VPI!R167</f>
        <v>5023.6746428571432</v>
      </c>
      <c r="D173" s="8">
        <f>Données!N167</f>
        <v>0</v>
      </c>
      <c r="E173" s="171">
        <f>Données!O167+Données!P167+Données!R167</f>
        <v>0</v>
      </c>
      <c r="F173" s="373">
        <f t="shared" si="8"/>
        <v>0</v>
      </c>
      <c r="G173" s="373">
        <f>Ecrêtage!M167</f>
        <v>9397.5537315094061</v>
      </c>
      <c r="H173" s="374">
        <f t="shared" si="9"/>
        <v>57614.146445684957</v>
      </c>
      <c r="I173" s="239">
        <f t="shared" si="10"/>
        <v>67011.700177194361</v>
      </c>
    </row>
    <row r="174" spans="1:9" s="35" customFormat="1" x14ac:dyDescent="0.25">
      <c r="A174" s="38">
        <f>Données!A168</f>
        <v>5688</v>
      </c>
      <c r="B174" s="404" t="str">
        <f>Données!B168</f>
        <v>Syens</v>
      </c>
      <c r="C174" s="31">
        <f>VPI!R168</f>
        <v>5225.3353846153841</v>
      </c>
      <c r="D174" s="8">
        <f>Données!N168</f>
        <v>0</v>
      </c>
      <c r="E174" s="171">
        <f>Données!O168+Données!P168+Données!R168</f>
        <v>4025.5</v>
      </c>
      <c r="F174" s="373">
        <f t="shared" si="8"/>
        <v>2012.75</v>
      </c>
      <c r="G174" s="373">
        <f>Ecrêtage!M168</f>
        <v>0</v>
      </c>
      <c r="H174" s="374">
        <f t="shared" si="9"/>
        <v>59926.898033713129</v>
      </c>
      <c r="I174" s="239">
        <f t="shared" si="10"/>
        <v>61939.648033713129</v>
      </c>
    </row>
    <row r="175" spans="1:9" s="35" customFormat="1" x14ac:dyDescent="0.25">
      <c r="A175" s="38">
        <f>Données!A169</f>
        <v>5690</v>
      </c>
      <c r="B175" s="404" t="str">
        <f>Données!B169</f>
        <v>Villars-le-Comte</v>
      </c>
      <c r="C175" s="31">
        <f>VPI!R169</f>
        <v>4383.2226470588239</v>
      </c>
      <c r="D175" s="8">
        <f>Données!N169</f>
        <v>0</v>
      </c>
      <c r="E175" s="171">
        <f>Données!O169+Données!P169+Données!R169</f>
        <v>63893.149999999994</v>
      </c>
      <c r="F175" s="373">
        <f t="shared" si="8"/>
        <v>31946.574999999997</v>
      </c>
      <c r="G175" s="373">
        <f>Ecrêtage!M169</f>
        <v>0</v>
      </c>
      <c r="H175" s="374">
        <f t="shared" si="9"/>
        <v>50269.105673623781</v>
      </c>
      <c r="I175" s="239">
        <f t="shared" si="10"/>
        <v>82215.680673623778</v>
      </c>
    </row>
    <row r="176" spans="1:9" s="35" customFormat="1" x14ac:dyDescent="0.25">
      <c r="A176" s="38">
        <f>Données!A170</f>
        <v>5692</v>
      </c>
      <c r="B176" s="404" t="str">
        <f>Données!B170</f>
        <v>Vucherens</v>
      </c>
      <c r="C176" s="31">
        <f>VPI!R170</f>
        <v>18408.334805194805</v>
      </c>
      <c r="D176" s="8">
        <f>Données!N170</f>
        <v>16449.150000000001</v>
      </c>
      <c r="E176" s="171">
        <f>Données!O170+Données!P170+Données!R170</f>
        <v>160023.59999999998</v>
      </c>
      <c r="F176" s="373">
        <f t="shared" si="8"/>
        <v>84946.544999999984</v>
      </c>
      <c r="G176" s="373">
        <f>Ecrêtage!M170</f>
        <v>0</v>
      </c>
      <c r="H176" s="374">
        <f t="shared" si="9"/>
        <v>211116.47801389123</v>
      </c>
      <c r="I176" s="239">
        <f t="shared" si="10"/>
        <v>296063.02301389119</v>
      </c>
    </row>
    <row r="177" spans="1:9" s="35" customFormat="1" x14ac:dyDescent="0.25">
      <c r="A177" s="38">
        <f>Données!A171</f>
        <v>5693</v>
      </c>
      <c r="B177" s="404" t="str">
        <f>Données!B171</f>
        <v>Montanaire</v>
      </c>
      <c r="C177" s="31">
        <f>VPI!R171</f>
        <v>74596.156714285724</v>
      </c>
      <c r="D177" s="8">
        <f>Données!N171</f>
        <v>62792.2</v>
      </c>
      <c r="E177" s="171">
        <f>Données!O171+Données!P171+Données!R171</f>
        <v>559577.94999999995</v>
      </c>
      <c r="F177" s="373">
        <f t="shared" si="8"/>
        <v>298626.63499999995</v>
      </c>
      <c r="G177" s="373">
        <f>Ecrêtage!M171</f>
        <v>0</v>
      </c>
      <c r="H177" s="374">
        <f t="shared" si="9"/>
        <v>855508.01012420142</v>
      </c>
      <c r="I177" s="239">
        <f t="shared" si="10"/>
        <v>1154134.6451242014</v>
      </c>
    </row>
    <row r="178" spans="1:9" s="35" customFormat="1" x14ac:dyDescent="0.25">
      <c r="A178" s="38">
        <f>Données!A172</f>
        <v>5701</v>
      </c>
      <c r="B178" s="404" t="str">
        <f>Données!B172</f>
        <v>Arnex-sur-Nyon</v>
      </c>
      <c r="C178" s="31">
        <f>VPI!R172</f>
        <v>14428.628999999999</v>
      </c>
      <c r="D178" s="8">
        <f>Données!N172</f>
        <v>644.65</v>
      </c>
      <c r="E178" s="171">
        <f>Données!O172+Données!P172+Données!R172</f>
        <v>53317.95</v>
      </c>
      <c r="F178" s="373">
        <f t="shared" si="8"/>
        <v>26852.37</v>
      </c>
      <c r="G178" s="373">
        <f>Ecrêtage!M172</f>
        <v>34892.087418641335</v>
      </c>
      <c r="H178" s="374">
        <f t="shared" si="9"/>
        <v>165475.11598873584</v>
      </c>
      <c r="I178" s="239">
        <f t="shared" si="10"/>
        <v>227219.57340737717</v>
      </c>
    </row>
    <row r="179" spans="1:9" s="35" customFormat="1" x14ac:dyDescent="0.25">
      <c r="A179" s="38">
        <f>Données!A173</f>
        <v>5702</v>
      </c>
      <c r="B179" s="404" t="str">
        <f>Données!B173</f>
        <v>Arzier-Le Muids</v>
      </c>
      <c r="C179" s="31">
        <f>VPI!R173</f>
        <v>188642.38078125002</v>
      </c>
      <c r="D179" s="8">
        <f>Données!N173</f>
        <v>93365.75</v>
      </c>
      <c r="E179" s="171">
        <f>Données!O173+Données!P173+Données!R173</f>
        <v>1164729.75</v>
      </c>
      <c r="F179" s="373">
        <f t="shared" si="8"/>
        <v>610374.6</v>
      </c>
      <c r="G179" s="373">
        <f>Ecrêtage!M173</f>
        <v>612527.52363483782</v>
      </c>
      <c r="H179" s="374">
        <f t="shared" si="9"/>
        <v>2163450.1684233905</v>
      </c>
      <c r="I179" s="239">
        <f t="shared" si="10"/>
        <v>3386352.2920582285</v>
      </c>
    </row>
    <row r="180" spans="1:9" s="35" customFormat="1" x14ac:dyDescent="0.25">
      <c r="A180" s="38">
        <f>Données!A174</f>
        <v>5703</v>
      </c>
      <c r="B180" s="404" t="str">
        <f>Données!B174</f>
        <v>Bassins</v>
      </c>
      <c r="C180" s="31">
        <f>VPI!R174</f>
        <v>66120.332571428575</v>
      </c>
      <c r="D180" s="8">
        <f>Données!N174</f>
        <v>36468.65</v>
      </c>
      <c r="E180" s="171">
        <f>Données!O174+Données!P174+Données!R174</f>
        <v>378126.7</v>
      </c>
      <c r="F180" s="373">
        <f t="shared" si="8"/>
        <v>200003.94500000001</v>
      </c>
      <c r="G180" s="373">
        <f>Ecrêtage!M174</f>
        <v>0</v>
      </c>
      <c r="H180" s="374">
        <f t="shared" si="9"/>
        <v>758302.79519079265</v>
      </c>
      <c r="I180" s="239">
        <f t="shared" si="10"/>
        <v>958306.7401907926</v>
      </c>
    </row>
    <row r="181" spans="1:9" s="35" customFormat="1" x14ac:dyDescent="0.25">
      <c r="A181" s="38">
        <f>Données!A175</f>
        <v>5704</v>
      </c>
      <c r="B181" s="404" t="str">
        <f>Données!B175</f>
        <v>Begnins</v>
      </c>
      <c r="C181" s="31">
        <f>VPI!R175</f>
        <v>140338.01370666668</v>
      </c>
      <c r="D181" s="8">
        <f>Données!N175</f>
        <v>28223.4</v>
      </c>
      <c r="E181" s="171">
        <f>Données!O175+Données!P175+Données!R175</f>
        <v>1084421.5</v>
      </c>
      <c r="F181" s="373">
        <f t="shared" si="8"/>
        <v>550677.77</v>
      </c>
      <c r="G181" s="373">
        <f>Ecrêtage!M175</f>
        <v>645051.17149465764</v>
      </c>
      <c r="H181" s="374">
        <f t="shared" si="9"/>
        <v>1609470.2480561021</v>
      </c>
      <c r="I181" s="239">
        <f t="shared" si="10"/>
        <v>2805199.1895507597</v>
      </c>
    </row>
    <row r="182" spans="1:9" s="35" customFormat="1" x14ac:dyDescent="0.25">
      <c r="A182" s="38">
        <f>Données!A176</f>
        <v>5705</v>
      </c>
      <c r="B182" s="404" t="str">
        <f>Données!B176</f>
        <v>Bogis-Bossey</v>
      </c>
      <c r="C182" s="31">
        <f>VPI!R176</f>
        <v>55817.342916666668</v>
      </c>
      <c r="D182" s="8">
        <f>Données!N176</f>
        <v>50458.95</v>
      </c>
      <c r="E182" s="171">
        <f>Données!O176+Données!P176+Données!R176</f>
        <v>241414.3</v>
      </c>
      <c r="F182" s="373">
        <f t="shared" si="8"/>
        <v>135844.83499999999</v>
      </c>
      <c r="G182" s="373">
        <f>Ecrêtage!M176</f>
        <v>103663.06780216061</v>
      </c>
      <c r="H182" s="374">
        <f t="shared" si="9"/>
        <v>640142.68391809508</v>
      </c>
      <c r="I182" s="239">
        <f t="shared" si="10"/>
        <v>879650.58672025567</v>
      </c>
    </row>
    <row r="183" spans="1:9" s="35" customFormat="1" x14ac:dyDescent="0.25">
      <c r="A183" s="38">
        <f>Données!A177</f>
        <v>5706</v>
      </c>
      <c r="B183" s="404" t="str">
        <f>Données!B177</f>
        <v>Borex</v>
      </c>
      <c r="C183" s="31">
        <f>VPI!R177</f>
        <v>71534.631578947388</v>
      </c>
      <c r="D183" s="8">
        <f>Données!N177</f>
        <v>3512.45</v>
      </c>
      <c r="E183" s="171">
        <f>Données!O177+Données!P177+Données!R177</f>
        <v>139039.54999999999</v>
      </c>
      <c r="F183" s="373">
        <f t="shared" si="8"/>
        <v>70573.509999999995</v>
      </c>
      <c r="G183" s="373">
        <f>Ecrêtage!M177</f>
        <v>199315.42191818231</v>
      </c>
      <c r="H183" s="374">
        <f t="shared" si="9"/>
        <v>820396.82756676362</v>
      </c>
      <c r="I183" s="239">
        <f t="shared" si="10"/>
        <v>1090285.759484946</v>
      </c>
    </row>
    <row r="184" spans="1:9" s="35" customFormat="1" x14ac:dyDescent="0.25">
      <c r="A184" s="38">
        <f>Données!A178</f>
        <v>5707</v>
      </c>
      <c r="B184" s="404" t="str">
        <f>Données!B178</f>
        <v>Chavannes-de-Bogis</v>
      </c>
      <c r="C184" s="31">
        <f>VPI!R178</f>
        <v>92416.422643678146</v>
      </c>
      <c r="D184" s="8">
        <f>Données!N178</f>
        <v>513625.1</v>
      </c>
      <c r="E184" s="171">
        <f>Données!O178+Données!P178+Données!R178</f>
        <v>842124.55</v>
      </c>
      <c r="F184" s="373">
        <f t="shared" si="8"/>
        <v>575149.80500000005</v>
      </c>
      <c r="G184" s="373">
        <f>Ecrêtage!M178</f>
        <v>328402.38339220709</v>
      </c>
      <c r="H184" s="374">
        <f t="shared" si="9"/>
        <v>1059880.2045729137</v>
      </c>
      <c r="I184" s="239">
        <f t="shared" si="10"/>
        <v>1963432.392965121</v>
      </c>
    </row>
    <row r="185" spans="1:9" s="35" customFormat="1" x14ac:dyDescent="0.25">
      <c r="A185" s="38">
        <f>Données!A179</f>
        <v>5708</v>
      </c>
      <c r="B185" s="404" t="str">
        <f>Données!B179</f>
        <v>Chavannes-des-Bois</v>
      </c>
      <c r="C185" s="31">
        <f>VPI!R179</f>
        <v>78320.692500000005</v>
      </c>
      <c r="D185" s="8">
        <f>Données!N179</f>
        <v>18366.25</v>
      </c>
      <c r="E185" s="171">
        <f>Données!O179+Données!P179+Données!R179</f>
        <v>298852.5</v>
      </c>
      <c r="F185" s="373">
        <f t="shared" si="8"/>
        <v>154936.125</v>
      </c>
      <c r="G185" s="373">
        <f>Ecrêtage!M179</f>
        <v>532214.81347133941</v>
      </c>
      <c r="H185" s="374">
        <f t="shared" si="9"/>
        <v>898222.94798456691</v>
      </c>
      <c r="I185" s="239">
        <f t="shared" si="10"/>
        <v>1585373.8864559063</v>
      </c>
    </row>
    <row r="186" spans="1:9" s="35" customFormat="1" x14ac:dyDescent="0.25">
      <c r="A186" s="38">
        <f>Données!A180</f>
        <v>5709</v>
      </c>
      <c r="B186" s="404" t="str">
        <f>Données!B180</f>
        <v>Chéserex</v>
      </c>
      <c r="C186" s="31">
        <f>VPI!R180</f>
        <v>110451.70315789471</v>
      </c>
      <c r="D186" s="8">
        <f>Données!N180</f>
        <v>64683.25</v>
      </c>
      <c r="E186" s="171">
        <f>Données!O180+Données!P180+Données!R180</f>
        <v>272265.05</v>
      </c>
      <c r="F186" s="373">
        <f t="shared" si="8"/>
        <v>155537.5</v>
      </c>
      <c r="G186" s="373">
        <f>Ecrêtage!M180</f>
        <v>827579.2082356055</v>
      </c>
      <c r="H186" s="374">
        <f t="shared" si="9"/>
        <v>1266718.2995145309</v>
      </c>
      <c r="I186" s="239">
        <f t="shared" si="10"/>
        <v>2249835.0077501363</v>
      </c>
    </row>
    <row r="187" spans="1:9" s="35" customFormat="1" x14ac:dyDescent="0.25">
      <c r="A187" s="38">
        <f>Données!A181</f>
        <v>5710</v>
      </c>
      <c r="B187" s="404" t="str">
        <f>Données!B181</f>
        <v>Coinsins</v>
      </c>
      <c r="C187" s="31">
        <f>VPI!R181</f>
        <v>31247.070588235296</v>
      </c>
      <c r="D187" s="8">
        <f>Données!N181</f>
        <v>61842.45</v>
      </c>
      <c r="E187" s="171">
        <f>Données!O181+Données!P181+Données!R181</f>
        <v>149353.20000000001</v>
      </c>
      <c r="F187" s="373">
        <f t="shared" si="8"/>
        <v>93229.335000000006</v>
      </c>
      <c r="G187" s="373">
        <f>Ecrêtage!M181</f>
        <v>59155.720782940931</v>
      </c>
      <c r="H187" s="374">
        <f t="shared" si="9"/>
        <v>358357.86129759467</v>
      </c>
      <c r="I187" s="239">
        <f t="shared" si="10"/>
        <v>510742.91708053561</v>
      </c>
    </row>
    <row r="188" spans="1:9" s="35" customFormat="1" x14ac:dyDescent="0.25">
      <c r="A188" s="38">
        <f>Données!A182</f>
        <v>5711</v>
      </c>
      <c r="B188" s="404" t="str">
        <f>Données!B182</f>
        <v>Commugny</v>
      </c>
      <c r="C188" s="31">
        <f>VPI!R182</f>
        <v>264202.11623481783</v>
      </c>
      <c r="D188" s="8">
        <f>Données!N182</f>
        <v>27334.95</v>
      </c>
      <c r="E188" s="171">
        <f>Données!O182+Données!P182+Données!R182</f>
        <v>1545793</v>
      </c>
      <c r="F188" s="373">
        <f t="shared" si="8"/>
        <v>781096.98499999999</v>
      </c>
      <c r="G188" s="373">
        <f>Ecrêtage!M182</f>
        <v>2058037.2204306254</v>
      </c>
      <c r="H188" s="374">
        <f t="shared" si="9"/>
        <v>3030009.0069836816</v>
      </c>
      <c r="I188" s="239">
        <f t="shared" si="10"/>
        <v>5869143.2124143066</v>
      </c>
    </row>
    <row r="189" spans="1:9" s="35" customFormat="1" x14ac:dyDescent="0.25">
      <c r="A189" s="38">
        <f>Données!A183</f>
        <v>5712</v>
      </c>
      <c r="B189" s="404" t="str">
        <f>Données!B183</f>
        <v>Coppet</v>
      </c>
      <c r="C189" s="31">
        <f>VPI!R183</f>
        <v>381890.66242424241</v>
      </c>
      <c r="D189" s="8">
        <f>Données!N183</f>
        <v>145031.95000000001</v>
      </c>
      <c r="E189" s="171">
        <f>Données!O183+Données!P183+Données!R183</f>
        <v>9196255.3000000007</v>
      </c>
      <c r="F189" s="373">
        <f t="shared" si="8"/>
        <v>4641637.2350000003</v>
      </c>
      <c r="G189" s="373">
        <f>Ecrêtage!M183</f>
        <v>4700733.1337159639</v>
      </c>
      <c r="H189" s="374">
        <f t="shared" si="9"/>
        <v>4379723.2335564718</v>
      </c>
      <c r="I189" s="239">
        <f t="shared" si="10"/>
        <v>13722093.602272436</v>
      </c>
    </row>
    <row r="190" spans="1:9" s="35" customFormat="1" x14ac:dyDescent="0.25">
      <c r="A190" s="38">
        <f>Données!A184</f>
        <v>5713</v>
      </c>
      <c r="B190" s="404" t="str">
        <f>Données!B184</f>
        <v>Crans</v>
      </c>
      <c r="C190" s="31">
        <f>VPI!R184</f>
        <v>303238.4722033898</v>
      </c>
      <c r="D190" s="8">
        <f>Données!N184</f>
        <v>43261.45</v>
      </c>
      <c r="E190" s="171">
        <f>Données!O184+Données!P184+Données!R184</f>
        <v>1662672.2</v>
      </c>
      <c r="F190" s="373">
        <f t="shared" si="8"/>
        <v>844314.53500000003</v>
      </c>
      <c r="G190" s="373">
        <f>Ecrêtage!M184</f>
        <v>4206306.5746846721</v>
      </c>
      <c r="H190" s="374">
        <f t="shared" si="9"/>
        <v>3477698.4951309632</v>
      </c>
      <c r="I190" s="239">
        <f t="shared" si="10"/>
        <v>8528319.6048156358</v>
      </c>
    </row>
    <row r="191" spans="1:9" s="35" customFormat="1" x14ac:dyDescent="0.25">
      <c r="A191" s="38">
        <f>Données!A185</f>
        <v>5714</v>
      </c>
      <c r="B191" s="404" t="str">
        <f>Données!B185</f>
        <v>Crassier</v>
      </c>
      <c r="C191" s="31">
        <f>VPI!R185</f>
        <v>66120.939097744369</v>
      </c>
      <c r="D191" s="8">
        <f>Données!N185</f>
        <v>133178.15</v>
      </c>
      <c r="E191" s="171">
        <f>Données!O185+Données!P185+Données!R185</f>
        <v>514820.35</v>
      </c>
      <c r="F191" s="373">
        <f t="shared" si="8"/>
        <v>297363.62</v>
      </c>
      <c r="G191" s="373">
        <f>Ecrêtage!M185</f>
        <v>42017.564936942028</v>
      </c>
      <c r="H191" s="374">
        <f t="shared" si="9"/>
        <v>758309.75115399994</v>
      </c>
      <c r="I191" s="239">
        <f t="shared" si="10"/>
        <v>1097690.936090942</v>
      </c>
    </row>
    <row r="192" spans="1:9" s="35" customFormat="1" x14ac:dyDescent="0.25">
      <c r="A192" s="38">
        <f>Données!A186</f>
        <v>5715</v>
      </c>
      <c r="B192" s="404" t="str">
        <f>Données!B186</f>
        <v>Duillier</v>
      </c>
      <c r="C192" s="31">
        <f>VPI!R186</f>
        <v>62085.974545454548</v>
      </c>
      <c r="D192" s="8">
        <f>Données!N186</f>
        <v>156577.95000000001</v>
      </c>
      <c r="E192" s="171">
        <f>Données!O186+Données!P186+Données!R186</f>
        <v>321545.05</v>
      </c>
      <c r="F192" s="373">
        <f t="shared" si="8"/>
        <v>207745.91</v>
      </c>
      <c r="G192" s="373">
        <f>Ecrêtage!M186</f>
        <v>91592.484381781978</v>
      </c>
      <c r="H192" s="374">
        <f t="shared" si="9"/>
        <v>712034.6527159852</v>
      </c>
      <c r="I192" s="239">
        <f t="shared" si="10"/>
        <v>1011373.0470977672</v>
      </c>
    </row>
    <row r="193" spans="1:9" s="35" customFormat="1" x14ac:dyDescent="0.25">
      <c r="A193" s="38">
        <f>Données!A187</f>
        <v>5716</v>
      </c>
      <c r="B193" s="404" t="str">
        <f>Données!B187</f>
        <v>Eysins</v>
      </c>
      <c r="C193" s="31">
        <f>VPI!R187</f>
        <v>264344.77579831937</v>
      </c>
      <c r="D193" s="8">
        <f>Données!N187</f>
        <v>697309.4</v>
      </c>
      <c r="E193" s="171">
        <f>Données!O187+Données!P187+Données!R187</f>
        <v>320353.84999999998</v>
      </c>
      <c r="F193" s="373">
        <f t="shared" si="8"/>
        <v>369369.745</v>
      </c>
      <c r="G193" s="373">
        <f>Ecrêtage!M187</f>
        <v>4473054.6075247861</v>
      </c>
      <c r="H193" s="374">
        <f t="shared" si="9"/>
        <v>3031645.101987394</v>
      </c>
      <c r="I193" s="239">
        <f t="shared" si="10"/>
        <v>7874069.4545121808</v>
      </c>
    </row>
    <row r="194" spans="1:9" s="35" customFormat="1" x14ac:dyDescent="0.25">
      <c r="A194" s="38">
        <f>Données!A188</f>
        <v>5717</v>
      </c>
      <c r="B194" s="404" t="str">
        <f>Données!B188</f>
        <v>Founex</v>
      </c>
      <c r="C194" s="31">
        <f>VPI!R188</f>
        <v>391171.86561403517</v>
      </c>
      <c r="D194" s="8">
        <f>Données!N188</f>
        <v>274487.09999999998</v>
      </c>
      <c r="E194" s="171">
        <f>Données!O188+Données!P188+Données!R188</f>
        <v>1345217.15</v>
      </c>
      <c r="F194" s="373">
        <f t="shared" si="8"/>
        <v>754954.70499999996</v>
      </c>
      <c r="G194" s="373">
        <f>Ecrêtage!M188</f>
        <v>3985872.4831448528</v>
      </c>
      <c r="H194" s="374">
        <f t="shared" si="9"/>
        <v>4486164.9595406922</v>
      </c>
      <c r="I194" s="239">
        <f t="shared" si="10"/>
        <v>9226992.1476855446</v>
      </c>
    </row>
    <row r="195" spans="1:9" s="35" customFormat="1" x14ac:dyDescent="0.25">
      <c r="A195" s="38">
        <f>Données!A189</f>
        <v>5718</v>
      </c>
      <c r="B195" s="404" t="str">
        <f>Données!B189</f>
        <v>Genolier</v>
      </c>
      <c r="C195" s="31">
        <f>VPI!R189</f>
        <v>199612.23730769227</v>
      </c>
      <c r="D195" s="8">
        <f>Données!N189</f>
        <v>204356.2</v>
      </c>
      <c r="E195" s="171">
        <f>Données!O189+Données!P189+Données!R189</f>
        <v>835637</v>
      </c>
      <c r="F195" s="373">
        <f t="shared" si="8"/>
        <v>479125.36</v>
      </c>
      <c r="G195" s="373">
        <f>Ecrêtage!M189</f>
        <v>1688428.7497153457</v>
      </c>
      <c r="H195" s="374">
        <f t="shared" si="9"/>
        <v>2289258.2601757548</v>
      </c>
      <c r="I195" s="239">
        <f t="shared" si="10"/>
        <v>4456812.3698911006</v>
      </c>
    </row>
    <row r="196" spans="1:9" s="35" customFormat="1" x14ac:dyDescent="0.25">
      <c r="A196" s="38">
        <f>Données!A190</f>
        <v>5719</v>
      </c>
      <c r="B196" s="404" t="str">
        <f>Données!B190</f>
        <v>Gingins</v>
      </c>
      <c r="C196" s="31">
        <f>VPI!R190</f>
        <v>144024.32127777775</v>
      </c>
      <c r="D196" s="8">
        <f>Données!N190</f>
        <v>76217.899999999994</v>
      </c>
      <c r="E196" s="171">
        <f>Données!O190+Données!P190+Données!R190</f>
        <v>691680.25</v>
      </c>
      <c r="F196" s="373">
        <f t="shared" si="8"/>
        <v>368705.495</v>
      </c>
      <c r="G196" s="373">
        <f>Ecrêtage!M190</f>
        <v>1811539.2605820559</v>
      </c>
      <c r="H196" s="374">
        <f t="shared" si="9"/>
        <v>1651746.7646190936</v>
      </c>
      <c r="I196" s="239">
        <f t="shared" si="10"/>
        <v>3831991.5202011494</v>
      </c>
    </row>
    <row r="197" spans="1:9" s="35" customFormat="1" x14ac:dyDescent="0.25">
      <c r="A197" s="38">
        <f>Données!A191</f>
        <v>5720</v>
      </c>
      <c r="B197" s="404" t="str">
        <f>Données!B191</f>
        <v>Givrins</v>
      </c>
      <c r="C197" s="31">
        <f>VPI!R191</f>
        <v>79448.9027363184</v>
      </c>
      <c r="D197" s="8">
        <f>Données!N191</f>
        <v>6712.25</v>
      </c>
      <c r="E197" s="171">
        <f>Données!O191+Données!P191+Données!R191</f>
        <v>403707.2</v>
      </c>
      <c r="F197" s="373">
        <f t="shared" si="8"/>
        <v>203867.27499999999</v>
      </c>
      <c r="G197" s="373">
        <f>Ecrêtage!M191</f>
        <v>542164.36563071981</v>
      </c>
      <c r="H197" s="374">
        <f t="shared" si="9"/>
        <v>911161.85712932807</v>
      </c>
      <c r="I197" s="239">
        <f t="shared" si="10"/>
        <v>1657193.4977600479</v>
      </c>
    </row>
    <row r="198" spans="1:9" s="35" customFormat="1" x14ac:dyDescent="0.25">
      <c r="A198" s="38">
        <f>Données!A192</f>
        <v>5721</v>
      </c>
      <c r="B198" s="404" t="str">
        <f>Données!B192</f>
        <v>Gland</v>
      </c>
      <c r="C198" s="31">
        <f>VPI!R192</f>
        <v>729933.83950819669</v>
      </c>
      <c r="D198" s="8">
        <f>Données!N192</f>
        <v>3037805.05</v>
      </c>
      <c r="E198" s="171">
        <f>Données!O192+Données!P192+Données!R192</f>
        <v>4165484.65</v>
      </c>
      <c r="F198" s="373">
        <f t="shared" si="8"/>
        <v>2994083.8399999999</v>
      </c>
      <c r="G198" s="373">
        <f>Ecrêtage!M192</f>
        <v>472021.42536462587</v>
      </c>
      <c r="H198" s="374">
        <f t="shared" si="9"/>
        <v>8371265.6799701573</v>
      </c>
      <c r="I198" s="239">
        <f t="shared" si="10"/>
        <v>11837370.945334783</v>
      </c>
    </row>
    <row r="199" spans="1:9" s="35" customFormat="1" x14ac:dyDescent="0.25">
      <c r="A199" s="38">
        <f>Données!A193</f>
        <v>5722</v>
      </c>
      <c r="B199" s="404" t="str">
        <f>Données!B193</f>
        <v>Grens</v>
      </c>
      <c r="C199" s="31">
        <f>VPI!R193</f>
        <v>21839.736451612909</v>
      </c>
      <c r="D199" s="8">
        <f>Données!N193</f>
        <v>111059.85</v>
      </c>
      <c r="E199" s="171">
        <f>Données!O193+Données!P193+Données!R193</f>
        <v>936800.55</v>
      </c>
      <c r="F199" s="373">
        <f t="shared" si="8"/>
        <v>501718.23000000004</v>
      </c>
      <c r="G199" s="373">
        <f>Ecrêtage!M193</f>
        <v>30400.833722500814</v>
      </c>
      <c r="H199" s="374">
        <f t="shared" si="9"/>
        <v>250469.59919019806</v>
      </c>
      <c r="I199" s="239">
        <f t="shared" si="10"/>
        <v>782588.66291269893</v>
      </c>
    </row>
    <row r="200" spans="1:9" s="35" customFormat="1" x14ac:dyDescent="0.25">
      <c r="A200" s="38">
        <f>Données!A194</f>
        <v>5723</v>
      </c>
      <c r="B200" s="404" t="str">
        <f>Données!B194</f>
        <v>Mies</v>
      </c>
      <c r="C200" s="31">
        <f>VPI!R194</f>
        <v>253199.57134615383</v>
      </c>
      <c r="D200" s="8">
        <f>Données!N194</f>
        <v>249514.6</v>
      </c>
      <c r="E200" s="171">
        <f>Données!O194+Données!P194+Données!R194</f>
        <v>1303786.8999999999</v>
      </c>
      <c r="F200" s="373">
        <f t="shared" si="8"/>
        <v>726747.83</v>
      </c>
      <c r="G200" s="373">
        <f>Ecrêtage!M194</f>
        <v>2842202.0598983481</v>
      </c>
      <c r="H200" s="374">
        <f t="shared" si="9"/>
        <v>2903826.0278785322</v>
      </c>
      <c r="I200" s="239">
        <f t="shared" si="10"/>
        <v>6472775.9177768808</v>
      </c>
    </row>
    <row r="201" spans="1:9" s="35" customFormat="1" x14ac:dyDescent="0.25">
      <c r="A201" s="38">
        <f>Données!A195</f>
        <v>5724</v>
      </c>
      <c r="B201" s="404" t="str">
        <f>Données!B195</f>
        <v>Nyon</v>
      </c>
      <c r="C201" s="31">
        <f>VPI!R195</f>
        <v>1663090.0153005463</v>
      </c>
      <c r="D201" s="8">
        <f>Données!N195</f>
        <v>6245954.3499999996</v>
      </c>
      <c r="E201" s="171">
        <f>Données!O195+Données!P195+Données!R195</f>
        <v>12733907.600000001</v>
      </c>
      <c r="F201" s="373">
        <f t="shared" si="8"/>
        <v>8240740.1050000004</v>
      </c>
      <c r="G201" s="373">
        <f>Ecrêtage!M195</f>
        <v>8250527.496205193</v>
      </c>
      <c r="H201" s="374">
        <f t="shared" si="9"/>
        <v>19073192.136381522</v>
      </c>
      <c r="I201" s="239">
        <f t="shared" si="10"/>
        <v>35564459.737586714</v>
      </c>
    </row>
    <row r="202" spans="1:9" s="35" customFormat="1" x14ac:dyDescent="0.25">
      <c r="A202" s="38">
        <f>Données!A196</f>
        <v>5725</v>
      </c>
      <c r="B202" s="404" t="str">
        <f>Données!B196</f>
        <v>Prangins</v>
      </c>
      <c r="C202" s="31">
        <f>VPI!R196</f>
        <v>341674.87389610388</v>
      </c>
      <c r="D202" s="8">
        <f>Données!N196</f>
        <v>1249117.6499999999</v>
      </c>
      <c r="E202" s="171">
        <f>Données!O196+Données!P196+Données!R196</f>
        <v>1421249.8</v>
      </c>
      <c r="F202" s="373">
        <f t="shared" si="8"/>
        <v>1085360.1950000001</v>
      </c>
      <c r="G202" s="373">
        <f>Ecrêtage!M196</f>
        <v>2039652.074317836</v>
      </c>
      <c r="H202" s="374">
        <f t="shared" si="9"/>
        <v>3918507.3916859655</v>
      </c>
      <c r="I202" s="239">
        <f t="shared" si="10"/>
        <v>7043519.661003802</v>
      </c>
    </row>
    <row r="203" spans="1:9" s="35" customFormat="1" x14ac:dyDescent="0.25">
      <c r="A203" s="38">
        <f>Données!A197</f>
        <v>5726</v>
      </c>
      <c r="B203" s="404" t="str">
        <f>Données!B197</f>
        <v>La Rippe</v>
      </c>
      <c r="C203" s="31">
        <f>VPI!R197</f>
        <v>71131.071496062999</v>
      </c>
      <c r="D203" s="8">
        <f>Données!N197</f>
        <v>27291.25</v>
      </c>
      <c r="E203" s="171">
        <f>Données!O197+Données!P197+Données!R197</f>
        <v>118298.65</v>
      </c>
      <c r="F203" s="373">
        <f t="shared" si="8"/>
        <v>67336.7</v>
      </c>
      <c r="G203" s="373">
        <f>Ecrêtage!M197</f>
        <v>145835.6587739808</v>
      </c>
      <c r="H203" s="374">
        <f t="shared" si="9"/>
        <v>815768.58800750133</v>
      </c>
      <c r="I203" s="239">
        <f t="shared" si="10"/>
        <v>1028940.9467814821</v>
      </c>
    </row>
    <row r="204" spans="1:9" s="35" customFormat="1" x14ac:dyDescent="0.25">
      <c r="A204" s="38">
        <f>Données!A198</f>
        <v>5727</v>
      </c>
      <c r="B204" s="404" t="str">
        <f>Données!B198</f>
        <v>Saint-Cergue</v>
      </c>
      <c r="C204" s="31">
        <f>VPI!R198</f>
        <v>108766.91914141414</v>
      </c>
      <c r="D204" s="8">
        <f>Données!N198</f>
        <v>211642.65</v>
      </c>
      <c r="E204" s="171">
        <f>Données!O198+Données!P198+Données!R198</f>
        <v>1588449.5</v>
      </c>
      <c r="F204" s="373">
        <f t="shared" si="8"/>
        <v>857717.54500000004</v>
      </c>
      <c r="G204" s="373">
        <f>Ecrêtage!M198</f>
        <v>0</v>
      </c>
      <c r="H204" s="374">
        <f t="shared" si="9"/>
        <v>1247396.3091478031</v>
      </c>
      <c r="I204" s="239">
        <f t="shared" si="10"/>
        <v>2105113.854147803</v>
      </c>
    </row>
    <row r="205" spans="1:9" s="35" customFormat="1" x14ac:dyDescent="0.25">
      <c r="A205" s="38">
        <f>Données!A199</f>
        <v>5728</v>
      </c>
      <c r="B205" s="404" t="str">
        <f>Données!B199</f>
        <v>Signy-Avenex</v>
      </c>
      <c r="C205" s="31">
        <f>VPI!R199</f>
        <v>54935.229999999996</v>
      </c>
      <c r="D205" s="8">
        <f>Données!N199</f>
        <v>180348</v>
      </c>
      <c r="E205" s="171">
        <f>Données!O199+Données!P199+Données!R199</f>
        <v>108968.20000000001</v>
      </c>
      <c r="F205" s="373">
        <f t="shared" ref="F205:F268" si="11">D205*$D$11+E205*$E$11</f>
        <v>108588.5</v>
      </c>
      <c r="G205" s="373">
        <f>Ecrêtage!M199</f>
        <v>457451.0106401731</v>
      </c>
      <c r="H205" s="374">
        <f t="shared" ref="H205:H268" si="12">$H$11*C205</f>
        <v>630026.14843848848</v>
      </c>
      <c r="I205" s="239">
        <f t="shared" ref="I205:I268" si="13">F205+H205+G205</f>
        <v>1196065.6590786616</v>
      </c>
    </row>
    <row r="206" spans="1:9" s="35" customFormat="1" x14ac:dyDescent="0.25">
      <c r="A206" s="38">
        <f>Données!A200</f>
        <v>5729</v>
      </c>
      <c r="B206" s="404" t="str">
        <f>Données!B200</f>
        <v>Tannay</v>
      </c>
      <c r="C206" s="31">
        <f>VPI!R200</f>
        <v>200776.3305785124</v>
      </c>
      <c r="D206" s="8">
        <f>Données!N200</f>
        <v>17058.400000000001</v>
      </c>
      <c r="E206" s="171">
        <f>Données!O200+Données!P200+Données!R200</f>
        <v>847700.35</v>
      </c>
      <c r="F206" s="373">
        <f t="shared" si="11"/>
        <v>428967.69500000001</v>
      </c>
      <c r="G206" s="373">
        <f>Ecrêtage!M200</f>
        <v>2635193.9759703116</v>
      </c>
      <c r="H206" s="374">
        <f t="shared" si="12"/>
        <v>2302608.694857433</v>
      </c>
      <c r="I206" s="239">
        <f t="shared" si="13"/>
        <v>5366770.3658277448</v>
      </c>
    </row>
    <row r="207" spans="1:9" s="35" customFormat="1" x14ac:dyDescent="0.25">
      <c r="A207" s="38">
        <f>Données!A201</f>
        <v>5730</v>
      </c>
      <c r="B207" s="404" t="str">
        <f>Données!B201</f>
        <v>Trélex</v>
      </c>
      <c r="C207" s="31">
        <f>VPI!R201</f>
        <v>146462.65611611609</v>
      </c>
      <c r="D207" s="8">
        <f>Données!N201</f>
        <v>18271.45</v>
      </c>
      <c r="E207" s="171">
        <f>Données!O201+Données!P201+Données!R201</f>
        <v>485981.75</v>
      </c>
      <c r="F207" s="373">
        <f t="shared" si="11"/>
        <v>248472.31</v>
      </c>
      <c r="G207" s="373">
        <f>Ecrêtage!M201</f>
        <v>1403095.7667621267</v>
      </c>
      <c r="H207" s="374">
        <f t="shared" si="12"/>
        <v>1679710.872656899</v>
      </c>
      <c r="I207" s="239">
        <f t="shared" si="13"/>
        <v>3331278.9494190258</v>
      </c>
    </row>
    <row r="208" spans="1:9" s="35" customFormat="1" x14ac:dyDescent="0.25">
      <c r="A208" s="38">
        <f>Données!A202</f>
        <v>5731</v>
      </c>
      <c r="B208" s="404" t="str">
        <f>Données!B202</f>
        <v>Le Vaud</v>
      </c>
      <c r="C208" s="31">
        <f>VPI!R202</f>
        <v>70899.219223744294</v>
      </c>
      <c r="D208" s="8">
        <f>Données!N202</f>
        <v>37421.599999999999</v>
      </c>
      <c r="E208" s="171">
        <f>Données!O202+Données!P202+Données!R202</f>
        <v>299382.09999999998</v>
      </c>
      <c r="F208" s="373">
        <f t="shared" si="11"/>
        <v>160917.53</v>
      </c>
      <c r="G208" s="373">
        <f>Ecrêtage!M202</f>
        <v>14792.569748884769</v>
      </c>
      <c r="H208" s="374">
        <f t="shared" si="12"/>
        <v>813109.58404709806</v>
      </c>
      <c r="I208" s="239">
        <f t="shared" si="13"/>
        <v>988819.68379598286</v>
      </c>
    </row>
    <row r="209" spans="1:9" s="35" customFormat="1" x14ac:dyDescent="0.25">
      <c r="A209" s="38">
        <f>Données!A203</f>
        <v>5732</v>
      </c>
      <c r="B209" s="404" t="str">
        <f>Données!B203</f>
        <v>Vich</v>
      </c>
      <c r="C209" s="31">
        <f>VPI!R203</f>
        <v>83913.803650793649</v>
      </c>
      <c r="D209" s="8">
        <f>Données!N203</f>
        <v>163074.20000000001</v>
      </c>
      <c r="E209" s="171">
        <f>Données!O203+Données!P203+Données!R203</f>
        <v>306890.2</v>
      </c>
      <c r="F209" s="373">
        <f t="shared" si="11"/>
        <v>202367.36000000002</v>
      </c>
      <c r="G209" s="373">
        <f>Ecrêtage!M203</f>
        <v>415375.44328568788</v>
      </c>
      <c r="H209" s="374">
        <f t="shared" si="12"/>
        <v>962367.69218829344</v>
      </c>
      <c r="I209" s="239">
        <f t="shared" si="13"/>
        <v>1580110.4954739814</v>
      </c>
    </row>
    <row r="210" spans="1:9" s="35" customFormat="1" x14ac:dyDescent="0.25">
      <c r="A210" s="38">
        <f>Données!A204</f>
        <v>5741</v>
      </c>
      <c r="B210" s="404" t="str">
        <f>Données!B204</f>
        <v>L'Abergement</v>
      </c>
      <c r="C210" s="31">
        <f>VPI!R204</f>
        <v>8275.7188124999993</v>
      </c>
      <c r="D210" s="8">
        <f>Données!N204</f>
        <v>4606.8999999999996</v>
      </c>
      <c r="E210" s="171">
        <f>Données!O204+Données!P204+Données!R204</f>
        <v>30895.15</v>
      </c>
      <c r="F210" s="373">
        <f t="shared" si="11"/>
        <v>16829.645</v>
      </c>
      <c r="G210" s="373">
        <f>Ecrêtage!M204</f>
        <v>0</v>
      </c>
      <c r="H210" s="374">
        <f t="shared" si="12"/>
        <v>94910.301622461891</v>
      </c>
      <c r="I210" s="239">
        <f t="shared" si="13"/>
        <v>111739.9466224619</v>
      </c>
    </row>
    <row r="211" spans="1:9" s="35" customFormat="1" x14ac:dyDescent="0.25">
      <c r="A211" s="38">
        <f>Données!A205</f>
        <v>5742</v>
      </c>
      <c r="B211" s="404" t="str">
        <f>Données!B205</f>
        <v>Agiez</v>
      </c>
      <c r="C211" s="31">
        <f>VPI!R205</f>
        <v>9208.6422368421081</v>
      </c>
      <c r="D211" s="8">
        <f>Données!N205</f>
        <v>2746.7</v>
      </c>
      <c r="E211" s="171">
        <f>Données!O205+Données!P205+Données!R205</f>
        <v>8360</v>
      </c>
      <c r="F211" s="373">
        <f t="shared" si="11"/>
        <v>5004.01</v>
      </c>
      <c r="G211" s="373">
        <f>Ecrêtage!M205</f>
        <v>0</v>
      </c>
      <c r="H211" s="374">
        <f t="shared" si="12"/>
        <v>105609.5587626669</v>
      </c>
      <c r="I211" s="239">
        <f t="shared" si="13"/>
        <v>110613.5687626669</v>
      </c>
    </row>
    <row r="212" spans="1:9" s="35" customFormat="1" x14ac:dyDescent="0.25">
      <c r="A212" s="38">
        <f>Données!A206</f>
        <v>5743</v>
      </c>
      <c r="B212" s="404" t="str">
        <f>Données!B206</f>
        <v>Arnex-sur-Orbe</v>
      </c>
      <c r="C212" s="31">
        <f>VPI!R206</f>
        <v>19122.067147887326</v>
      </c>
      <c r="D212" s="8">
        <f>Données!N206</f>
        <v>23807.55</v>
      </c>
      <c r="E212" s="171">
        <f>Données!O206+Données!P206+Données!R206</f>
        <v>203890.65000000002</v>
      </c>
      <c r="F212" s="373">
        <f t="shared" si="11"/>
        <v>109087.59000000001</v>
      </c>
      <c r="G212" s="373">
        <f>Ecrêtage!M206</f>
        <v>0</v>
      </c>
      <c r="H212" s="374">
        <f t="shared" si="12"/>
        <v>219301.93639610877</v>
      </c>
      <c r="I212" s="239">
        <f t="shared" si="13"/>
        <v>328389.52639610879</v>
      </c>
    </row>
    <row r="213" spans="1:9" s="35" customFormat="1" x14ac:dyDescent="0.25">
      <c r="A213" s="38">
        <f>Données!A207</f>
        <v>5744</v>
      </c>
      <c r="B213" s="404" t="str">
        <f>Données!B207</f>
        <v>Ballaigues</v>
      </c>
      <c r="C213" s="31">
        <f>VPI!R207</f>
        <v>60998.783230769215</v>
      </c>
      <c r="D213" s="8">
        <f>Données!N207</f>
        <v>1597765.35</v>
      </c>
      <c r="E213" s="171">
        <f>Données!O207+Données!P207+Données!R207</f>
        <v>132521.65000000002</v>
      </c>
      <c r="F213" s="373">
        <f t="shared" si="11"/>
        <v>545590.42999999993</v>
      </c>
      <c r="G213" s="373">
        <f>Ecrêtage!M207</f>
        <v>25919.474465080362</v>
      </c>
      <c r="H213" s="374">
        <f t="shared" si="12"/>
        <v>699566.17016649956</v>
      </c>
      <c r="I213" s="239">
        <f t="shared" si="13"/>
        <v>1271076.0746315799</v>
      </c>
    </row>
    <row r="214" spans="1:9" s="35" customFormat="1" x14ac:dyDescent="0.25">
      <c r="A214" s="38">
        <f>Données!A208</f>
        <v>5745</v>
      </c>
      <c r="B214" s="404" t="str">
        <f>Données!B208</f>
        <v>Baulmes</v>
      </c>
      <c r="C214" s="31">
        <f>VPI!R208</f>
        <v>29147.980130718955</v>
      </c>
      <c r="D214" s="8">
        <f>Données!N208</f>
        <v>231540.55</v>
      </c>
      <c r="E214" s="171">
        <f>Données!O208+Données!P208+Données!R208</f>
        <v>28343.85</v>
      </c>
      <c r="F214" s="373">
        <f t="shared" si="11"/>
        <v>83634.09</v>
      </c>
      <c r="G214" s="373">
        <f>Ecrêtage!M208</f>
        <v>0</v>
      </c>
      <c r="H214" s="374">
        <f t="shared" si="12"/>
        <v>334284.3864769194</v>
      </c>
      <c r="I214" s="239">
        <f t="shared" si="13"/>
        <v>417918.47647691937</v>
      </c>
    </row>
    <row r="215" spans="1:9" s="35" customFormat="1" x14ac:dyDescent="0.25">
      <c r="A215" s="38">
        <f>Données!A209</f>
        <v>5746</v>
      </c>
      <c r="B215" s="404" t="str">
        <f>Données!B209</f>
        <v>Bavois</v>
      </c>
      <c r="C215" s="31">
        <f>VPI!R209</f>
        <v>33851.911712962959</v>
      </c>
      <c r="D215" s="8">
        <f>Données!N209</f>
        <v>9923.2999999999993</v>
      </c>
      <c r="E215" s="171">
        <f>Données!O209+Données!P209+Données!R209</f>
        <v>208251.25</v>
      </c>
      <c r="F215" s="373">
        <f t="shared" si="11"/>
        <v>107102.61500000001</v>
      </c>
      <c r="G215" s="373">
        <f>Ecrêtage!M209</f>
        <v>0</v>
      </c>
      <c r="H215" s="374">
        <f t="shared" si="12"/>
        <v>388231.55111570138</v>
      </c>
      <c r="I215" s="239">
        <f t="shared" si="13"/>
        <v>495334.16611570137</v>
      </c>
    </row>
    <row r="216" spans="1:9" s="35" customFormat="1" x14ac:dyDescent="0.25">
      <c r="A216" s="38">
        <f>Données!A210</f>
        <v>5747</v>
      </c>
      <c r="B216" s="404" t="str">
        <f>Données!B210</f>
        <v>Bofflens</v>
      </c>
      <c r="C216" s="31">
        <f>VPI!R210</f>
        <v>7065.5449275362316</v>
      </c>
      <c r="D216" s="8">
        <f>Données!N210</f>
        <v>0</v>
      </c>
      <c r="E216" s="171">
        <f>Données!O210+Données!P210+Données!R210</f>
        <v>41924.300000000003</v>
      </c>
      <c r="F216" s="373">
        <f t="shared" si="11"/>
        <v>20962.150000000001</v>
      </c>
      <c r="G216" s="373">
        <f>Ecrêtage!M210</f>
        <v>0</v>
      </c>
      <c r="H216" s="374">
        <f t="shared" si="12"/>
        <v>81031.390190133941</v>
      </c>
      <c r="I216" s="239">
        <f t="shared" si="13"/>
        <v>101993.54019013394</v>
      </c>
    </row>
    <row r="217" spans="1:9" s="35" customFormat="1" x14ac:dyDescent="0.25">
      <c r="A217" s="38">
        <f>Données!A211</f>
        <v>5748</v>
      </c>
      <c r="B217" s="404" t="str">
        <f>Données!B211</f>
        <v>Bretonnières</v>
      </c>
      <c r="C217" s="31">
        <f>VPI!R211</f>
        <v>6864.9177304964542</v>
      </c>
      <c r="D217" s="8">
        <f>Données!N211</f>
        <v>10879.65</v>
      </c>
      <c r="E217" s="171">
        <f>Données!O211+Données!P211+Données!R211</f>
        <v>20683.05</v>
      </c>
      <c r="F217" s="373">
        <f t="shared" si="11"/>
        <v>13605.42</v>
      </c>
      <c r="G217" s="373">
        <f>Ecrêtage!M211</f>
        <v>0</v>
      </c>
      <c r="H217" s="374">
        <f t="shared" si="12"/>
        <v>78730.491837237612</v>
      </c>
      <c r="I217" s="239">
        <f t="shared" si="13"/>
        <v>92335.911837237611</v>
      </c>
    </row>
    <row r="218" spans="1:9" s="35" customFormat="1" x14ac:dyDescent="0.25">
      <c r="A218" s="38">
        <f>Données!A212</f>
        <v>5749</v>
      </c>
      <c r="B218" s="404" t="str">
        <f>Données!B212</f>
        <v>Chavornay</v>
      </c>
      <c r="C218" s="31">
        <f>VPI!R212</f>
        <v>149579.8465248227</v>
      </c>
      <c r="D218" s="8">
        <f>Données!N212</f>
        <v>730002.4</v>
      </c>
      <c r="E218" s="171">
        <f>Données!O212+Données!P212+Données!R212</f>
        <v>1220647.6000000001</v>
      </c>
      <c r="F218" s="373">
        <f t="shared" si="11"/>
        <v>829324.52</v>
      </c>
      <c r="G218" s="373">
        <f>Ecrêtage!M212</f>
        <v>0</v>
      </c>
      <c r="H218" s="374">
        <f t="shared" si="12"/>
        <v>1715460.4538845888</v>
      </c>
      <c r="I218" s="239">
        <f t="shared" si="13"/>
        <v>2544784.973884589</v>
      </c>
    </row>
    <row r="219" spans="1:9" s="35" customFormat="1" x14ac:dyDescent="0.25">
      <c r="A219" s="38">
        <f>Données!A213</f>
        <v>5750</v>
      </c>
      <c r="B219" s="404" t="str">
        <f>Données!B213</f>
        <v>Les Clées</v>
      </c>
      <c r="C219" s="31">
        <f>VPI!R213</f>
        <v>5320.5294166666672</v>
      </c>
      <c r="D219" s="8">
        <f>Données!N213</f>
        <v>6528.25</v>
      </c>
      <c r="E219" s="171">
        <f>Données!O213+Données!P213+Données!R213</f>
        <v>1433.25</v>
      </c>
      <c r="F219" s="373">
        <f t="shared" si="11"/>
        <v>2675.1</v>
      </c>
      <c r="G219" s="373">
        <f>Ecrêtage!M213</f>
        <v>0</v>
      </c>
      <c r="H219" s="374">
        <f t="shared" si="12"/>
        <v>61018.633325757961</v>
      </c>
      <c r="I219" s="239">
        <f t="shared" si="13"/>
        <v>63693.733325757959</v>
      </c>
    </row>
    <row r="220" spans="1:9" s="35" customFormat="1" x14ac:dyDescent="0.25">
      <c r="A220" s="38">
        <f>Données!A214</f>
        <v>5752</v>
      </c>
      <c r="B220" s="404" t="str">
        <f>Données!B214</f>
        <v>Croy</v>
      </c>
      <c r="C220" s="31">
        <f>VPI!R214</f>
        <v>9858.3588996138969</v>
      </c>
      <c r="D220" s="8">
        <f>Données!N214</f>
        <v>27429.35</v>
      </c>
      <c r="E220" s="171">
        <f>Données!O214+Données!P214+Données!R214</f>
        <v>242208.7</v>
      </c>
      <c r="F220" s="373">
        <f t="shared" si="11"/>
        <v>129333.155</v>
      </c>
      <c r="G220" s="373">
        <f>Ecrêtage!M214</f>
        <v>0</v>
      </c>
      <c r="H220" s="374">
        <f t="shared" si="12"/>
        <v>113060.85161467495</v>
      </c>
      <c r="I220" s="239">
        <f t="shared" si="13"/>
        <v>242394.00661467493</v>
      </c>
    </row>
    <row r="221" spans="1:9" s="35" customFormat="1" x14ac:dyDescent="0.25">
      <c r="A221" s="38">
        <f>Données!A215</f>
        <v>5754</v>
      </c>
      <c r="B221" s="404" t="str">
        <f>Données!B215</f>
        <v>Juriens</v>
      </c>
      <c r="C221" s="31">
        <f>VPI!R215</f>
        <v>8812.2215189873423</v>
      </c>
      <c r="D221" s="8">
        <f>Données!N215</f>
        <v>0</v>
      </c>
      <c r="E221" s="171">
        <f>Données!O215+Données!P215+Données!R215</f>
        <v>53983.850000000006</v>
      </c>
      <c r="F221" s="373">
        <f t="shared" si="11"/>
        <v>26991.925000000003</v>
      </c>
      <c r="G221" s="373">
        <f>Ecrêtage!M215</f>
        <v>0</v>
      </c>
      <c r="H221" s="374">
        <f t="shared" si="12"/>
        <v>101063.19720140177</v>
      </c>
      <c r="I221" s="239">
        <f t="shared" si="13"/>
        <v>128055.12220140177</v>
      </c>
    </row>
    <row r="222" spans="1:9" s="35" customFormat="1" x14ac:dyDescent="0.25">
      <c r="A222" s="38">
        <f>Données!A216</f>
        <v>5755</v>
      </c>
      <c r="B222" s="404" t="str">
        <f>Données!B216</f>
        <v>Lignerolle</v>
      </c>
      <c r="C222" s="31">
        <f>VPI!R216</f>
        <v>11116.576615104641</v>
      </c>
      <c r="D222" s="8">
        <f>Données!N216</f>
        <v>27744.65</v>
      </c>
      <c r="E222" s="171">
        <f>Données!O216+Données!P216+Données!R216</f>
        <v>15897.2</v>
      </c>
      <c r="F222" s="373">
        <f t="shared" si="11"/>
        <v>16271.995000000001</v>
      </c>
      <c r="G222" s="373">
        <f>Ecrêtage!M216</f>
        <v>0</v>
      </c>
      <c r="H222" s="374">
        <f t="shared" si="12"/>
        <v>127490.75499703464</v>
      </c>
      <c r="I222" s="239">
        <f t="shared" si="13"/>
        <v>143762.74999703464</v>
      </c>
    </row>
    <row r="223" spans="1:9" s="35" customFormat="1" x14ac:dyDescent="0.25">
      <c r="A223" s="38">
        <f>Données!A217</f>
        <v>5756</v>
      </c>
      <c r="B223" s="404" t="str">
        <f>Données!B217</f>
        <v>Montcherand</v>
      </c>
      <c r="C223" s="31">
        <f>VPI!R217</f>
        <v>20941.594027777777</v>
      </c>
      <c r="D223" s="8">
        <f>Données!N217</f>
        <v>5780.6</v>
      </c>
      <c r="E223" s="171">
        <f>Données!O217+Données!P217+Données!R217</f>
        <v>31767</v>
      </c>
      <c r="F223" s="373">
        <f t="shared" si="11"/>
        <v>17617.68</v>
      </c>
      <c r="G223" s="373">
        <f>Ecrêtage!M217</f>
        <v>0</v>
      </c>
      <c r="H223" s="374">
        <f t="shared" si="12"/>
        <v>240169.2288806889</v>
      </c>
      <c r="I223" s="239">
        <f t="shared" si="13"/>
        <v>257786.90888068889</v>
      </c>
    </row>
    <row r="224" spans="1:9" s="35" customFormat="1" x14ac:dyDescent="0.25">
      <c r="A224" s="38">
        <f>Données!A218</f>
        <v>5757</v>
      </c>
      <c r="B224" s="404" t="str">
        <f>Données!B218</f>
        <v>Orbe</v>
      </c>
      <c r="C224" s="31">
        <f>VPI!R218</f>
        <v>226209.22728476822</v>
      </c>
      <c r="D224" s="8">
        <f>Données!N218</f>
        <v>3876604.75</v>
      </c>
      <c r="E224" s="171">
        <f>Données!O218+Données!P218+Données!R218</f>
        <v>2151158.15</v>
      </c>
      <c r="F224" s="373">
        <f t="shared" si="11"/>
        <v>2238560.5</v>
      </c>
      <c r="G224" s="373">
        <f>Ecrêtage!M218</f>
        <v>0</v>
      </c>
      <c r="H224" s="374">
        <f t="shared" si="12"/>
        <v>2594286.5481307562</v>
      </c>
      <c r="I224" s="239">
        <f t="shared" si="13"/>
        <v>4832847.0481307562</v>
      </c>
    </row>
    <row r="225" spans="1:9" s="35" customFormat="1" x14ac:dyDescent="0.25">
      <c r="A225" s="38">
        <f>Données!A219</f>
        <v>5758</v>
      </c>
      <c r="B225" s="404" t="str">
        <f>Données!B219</f>
        <v>La Praz</v>
      </c>
      <c r="C225" s="31">
        <f>VPI!R219</f>
        <v>5593.0973493975916</v>
      </c>
      <c r="D225" s="8">
        <f>Données!N219</f>
        <v>391.05</v>
      </c>
      <c r="E225" s="171">
        <f>Données!O219+Données!P219+Données!R219</f>
        <v>44920.4</v>
      </c>
      <c r="F225" s="373">
        <f t="shared" si="11"/>
        <v>22577.514999999999</v>
      </c>
      <c r="G225" s="373">
        <f>Ecrêtage!M219</f>
        <v>0</v>
      </c>
      <c r="H225" s="374">
        <f t="shared" si="12"/>
        <v>64144.585922048274</v>
      </c>
      <c r="I225" s="239">
        <f t="shared" si="13"/>
        <v>86722.100922048267</v>
      </c>
    </row>
    <row r="226" spans="1:9" s="35" customFormat="1" x14ac:dyDescent="0.25">
      <c r="A226" s="38">
        <f>Données!A220</f>
        <v>5759</v>
      </c>
      <c r="B226" s="404" t="str">
        <f>Données!B220</f>
        <v>Premier</v>
      </c>
      <c r="C226" s="31">
        <f>VPI!R220</f>
        <v>5351.6616352201272</v>
      </c>
      <c r="D226" s="8">
        <f>Données!N220</f>
        <v>2797.1</v>
      </c>
      <c r="E226" s="171">
        <f>Données!O220+Données!P220+Données!R220</f>
        <v>591.79999999999995</v>
      </c>
      <c r="F226" s="373">
        <f t="shared" si="11"/>
        <v>1135.03</v>
      </c>
      <c r="G226" s="373">
        <f>Ecrêtage!M220</f>
        <v>0</v>
      </c>
      <c r="H226" s="374">
        <f t="shared" si="12"/>
        <v>61375.674003435684</v>
      </c>
      <c r="I226" s="239">
        <f t="shared" si="13"/>
        <v>62510.704003435683</v>
      </c>
    </row>
    <row r="227" spans="1:9" s="35" customFormat="1" x14ac:dyDescent="0.25">
      <c r="A227" s="38">
        <f>Données!A221</f>
        <v>5760</v>
      </c>
      <c r="B227" s="404" t="str">
        <f>Données!B221</f>
        <v>Rances</v>
      </c>
      <c r="C227" s="31">
        <f>VPI!R221</f>
        <v>16377.081307189543</v>
      </c>
      <c r="D227" s="8">
        <f>Données!N221</f>
        <v>17744.55</v>
      </c>
      <c r="E227" s="171">
        <f>Données!O221+Données!P221+Données!R221</f>
        <v>105957.95000000001</v>
      </c>
      <c r="F227" s="373">
        <f t="shared" si="11"/>
        <v>58302.340000000004</v>
      </c>
      <c r="G227" s="373">
        <f>Ecrêtage!M221</f>
        <v>0</v>
      </c>
      <c r="H227" s="374">
        <f t="shared" si="12"/>
        <v>187820.99317018598</v>
      </c>
      <c r="I227" s="239">
        <f t="shared" si="13"/>
        <v>246123.33317018597</v>
      </c>
    </row>
    <row r="228" spans="1:9" s="35" customFormat="1" x14ac:dyDescent="0.25">
      <c r="A228" s="38">
        <f>Données!A222</f>
        <v>5761</v>
      </c>
      <c r="B228" s="404" t="str">
        <f>Données!B222</f>
        <v>Romainmôtier-Envy</v>
      </c>
      <c r="C228" s="31">
        <f>VPI!R222</f>
        <v>13471.82785634119</v>
      </c>
      <c r="D228" s="8">
        <f>Données!N222</f>
        <v>64127.5</v>
      </c>
      <c r="E228" s="171">
        <f>Données!O222+Données!P222+Données!R222</f>
        <v>110962</v>
      </c>
      <c r="F228" s="373">
        <f t="shared" si="11"/>
        <v>74719.25</v>
      </c>
      <c r="G228" s="373">
        <f>Ecrêtage!M222</f>
        <v>0</v>
      </c>
      <c r="H228" s="374">
        <f t="shared" si="12"/>
        <v>154502.01658857131</v>
      </c>
      <c r="I228" s="239">
        <f t="shared" si="13"/>
        <v>229221.26658857131</v>
      </c>
    </row>
    <row r="229" spans="1:9" s="35" customFormat="1" x14ac:dyDescent="0.25">
      <c r="A229" s="38">
        <f>Données!A223</f>
        <v>5762</v>
      </c>
      <c r="B229" s="404" t="str">
        <f>Données!B223</f>
        <v>Sergey</v>
      </c>
      <c r="C229" s="31">
        <f>VPI!R223</f>
        <v>3564.2302564102565</v>
      </c>
      <c r="D229" s="8">
        <f>Données!N223</f>
        <v>13781.85</v>
      </c>
      <c r="E229" s="171">
        <f>Données!O223+Données!P223+Données!R223</f>
        <v>37244.550000000003</v>
      </c>
      <c r="F229" s="373">
        <f t="shared" si="11"/>
        <v>22756.83</v>
      </c>
      <c r="G229" s="373">
        <f>Ecrêtage!M223</f>
        <v>0</v>
      </c>
      <c r="H229" s="374">
        <f t="shared" si="12"/>
        <v>40876.469627852297</v>
      </c>
      <c r="I229" s="239">
        <f t="shared" si="13"/>
        <v>63633.299627852299</v>
      </c>
    </row>
    <row r="230" spans="1:9" s="35" customFormat="1" x14ac:dyDescent="0.25">
      <c r="A230" s="38">
        <f>Données!A224</f>
        <v>5763</v>
      </c>
      <c r="B230" s="404" t="str">
        <f>Données!B224</f>
        <v>Valeyres-sous-Rances</v>
      </c>
      <c r="C230" s="31">
        <f>VPI!R224</f>
        <v>21279.080140845068</v>
      </c>
      <c r="D230" s="8">
        <f>Données!N224</f>
        <v>44514</v>
      </c>
      <c r="E230" s="171">
        <f>Données!O224+Données!P224+Données!R224</f>
        <v>93448.3</v>
      </c>
      <c r="F230" s="373">
        <f t="shared" si="11"/>
        <v>60078.35</v>
      </c>
      <c r="G230" s="373">
        <f>Ecrêtage!M224</f>
        <v>0</v>
      </c>
      <c r="H230" s="374">
        <f t="shared" si="12"/>
        <v>244039.69735724322</v>
      </c>
      <c r="I230" s="239">
        <f t="shared" si="13"/>
        <v>304118.04735724319</v>
      </c>
    </row>
    <row r="231" spans="1:9" s="35" customFormat="1" x14ac:dyDescent="0.25">
      <c r="A231" s="38">
        <f>Données!A225</f>
        <v>5764</v>
      </c>
      <c r="B231" s="404" t="str">
        <f>Données!B225</f>
        <v>Vallorbe</v>
      </c>
      <c r="C231" s="31">
        <f>VPI!R225</f>
        <v>94417.86909090908</v>
      </c>
      <c r="D231" s="8">
        <f>Données!N225</f>
        <v>2516322.4500000002</v>
      </c>
      <c r="E231" s="171">
        <f>Données!O225+Données!P225+Données!R225</f>
        <v>651486.65</v>
      </c>
      <c r="F231" s="373">
        <f t="shared" si="11"/>
        <v>1080640.06</v>
      </c>
      <c r="G231" s="373">
        <f>Ecrêtage!M225</f>
        <v>0</v>
      </c>
      <c r="H231" s="374">
        <f t="shared" si="12"/>
        <v>1082833.8464609117</v>
      </c>
      <c r="I231" s="239">
        <f t="shared" si="13"/>
        <v>2163473.906460912</v>
      </c>
    </row>
    <row r="232" spans="1:9" s="35" customFormat="1" x14ac:dyDescent="0.25">
      <c r="A232" s="38">
        <f>Données!A226</f>
        <v>5765</v>
      </c>
      <c r="B232" s="404" t="str">
        <f>Données!B226</f>
        <v>Vaulion</v>
      </c>
      <c r="C232" s="31">
        <f>VPI!R226</f>
        <v>11559.011234567901</v>
      </c>
      <c r="D232" s="8">
        <f>Données!N226</f>
        <v>84922.95</v>
      </c>
      <c r="E232" s="171">
        <f>Données!O226+Données!P226+Données!R226</f>
        <v>160985.15000000002</v>
      </c>
      <c r="F232" s="373">
        <f t="shared" si="11"/>
        <v>105969.46</v>
      </c>
      <c r="G232" s="373">
        <f>Ecrêtage!M226</f>
        <v>0</v>
      </c>
      <c r="H232" s="374">
        <f t="shared" si="12"/>
        <v>132564.82821446334</v>
      </c>
      <c r="I232" s="239">
        <f t="shared" si="13"/>
        <v>238534.28821446333</v>
      </c>
    </row>
    <row r="233" spans="1:9" s="35" customFormat="1" x14ac:dyDescent="0.25">
      <c r="A233" s="38">
        <f>Données!A227</f>
        <v>5766</v>
      </c>
      <c r="B233" s="404" t="str">
        <f>Données!B227</f>
        <v>Vuiteboeuf</v>
      </c>
      <c r="C233" s="31">
        <f>VPI!R227</f>
        <v>14621.166361904759</v>
      </c>
      <c r="D233" s="8">
        <f>Données!N227</f>
        <v>35728.699999999997</v>
      </c>
      <c r="E233" s="171">
        <f>Données!O227+Données!P227+Données!R227</f>
        <v>151573.40000000002</v>
      </c>
      <c r="F233" s="373">
        <f t="shared" si="11"/>
        <v>86505.310000000012</v>
      </c>
      <c r="G233" s="373">
        <f>Ecrêtage!M227</f>
        <v>0</v>
      </c>
      <c r="H233" s="374">
        <f t="shared" si="12"/>
        <v>167683.23585191584</v>
      </c>
      <c r="I233" s="239">
        <f t="shared" si="13"/>
        <v>254188.54585191584</v>
      </c>
    </row>
    <row r="234" spans="1:9" s="35" customFormat="1" x14ac:dyDescent="0.25">
      <c r="A234" s="38">
        <f>Données!A228</f>
        <v>5785</v>
      </c>
      <c r="B234" s="404" t="str">
        <f>Données!B228</f>
        <v>Corcelles-le-Jorat</v>
      </c>
      <c r="C234" s="31">
        <f>VPI!R228</f>
        <v>17967.826266666671</v>
      </c>
      <c r="D234" s="8">
        <f>Données!N228</f>
        <v>0</v>
      </c>
      <c r="E234" s="171">
        <f>Données!O228+Données!P228+Données!R228</f>
        <v>151778.20000000001</v>
      </c>
      <c r="F234" s="373">
        <f t="shared" si="11"/>
        <v>75889.100000000006</v>
      </c>
      <c r="G234" s="373">
        <f>Ecrêtage!M228</f>
        <v>0</v>
      </c>
      <c r="H234" s="374">
        <f t="shared" si="12"/>
        <v>206064.49410696758</v>
      </c>
      <c r="I234" s="239">
        <f t="shared" si="13"/>
        <v>281953.59410696756</v>
      </c>
    </row>
    <row r="235" spans="1:9" s="35" customFormat="1" x14ac:dyDescent="0.25">
      <c r="A235" s="38">
        <f>Données!A229</f>
        <v>5790</v>
      </c>
      <c r="B235" s="404" t="str">
        <f>Données!B229</f>
        <v>Maracon</v>
      </c>
      <c r="C235" s="31">
        <f>VPI!R229</f>
        <v>17556.382281879196</v>
      </c>
      <c r="D235" s="8">
        <f>Données!N229</f>
        <v>3102.4</v>
      </c>
      <c r="E235" s="171">
        <f>Données!O229+Données!P229+Données!R229</f>
        <v>106464.9</v>
      </c>
      <c r="F235" s="373">
        <f t="shared" si="11"/>
        <v>54163.17</v>
      </c>
      <c r="G235" s="373">
        <f>Ecrêtage!M229</f>
        <v>0</v>
      </c>
      <c r="H235" s="374">
        <f t="shared" si="12"/>
        <v>201345.83780874446</v>
      </c>
      <c r="I235" s="239">
        <f t="shared" si="13"/>
        <v>255509.00780874444</v>
      </c>
    </row>
    <row r="236" spans="1:9" s="35" customFormat="1" x14ac:dyDescent="0.25">
      <c r="A236" s="38">
        <f>Données!A230</f>
        <v>5792</v>
      </c>
      <c r="B236" s="404" t="str">
        <f>Données!B230</f>
        <v>Montpreveyres</v>
      </c>
      <c r="C236" s="31">
        <f>VPI!R230</f>
        <v>19503.116799999996</v>
      </c>
      <c r="D236" s="8">
        <f>Données!N230</f>
        <v>1515.75</v>
      </c>
      <c r="E236" s="171">
        <f>Données!O230+Données!P230+Données!R230</f>
        <v>220297.35</v>
      </c>
      <c r="F236" s="373">
        <f t="shared" si="11"/>
        <v>110603.40000000001</v>
      </c>
      <c r="G236" s="373">
        <f>Ecrêtage!M230</f>
        <v>0</v>
      </c>
      <c r="H236" s="374">
        <f t="shared" si="12"/>
        <v>223672.01448050691</v>
      </c>
      <c r="I236" s="239">
        <f t="shared" si="13"/>
        <v>334275.41448050691</v>
      </c>
    </row>
    <row r="237" spans="1:9" s="35" customFormat="1" x14ac:dyDescent="0.25">
      <c r="A237" s="38">
        <f>Données!A231</f>
        <v>5798</v>
      </c>
      <c r="B237" s="404" t="str">
        <f>Données!B231</f>
        <v>Ropraz</v>
      </c>
      <c r="C237" s="31">
        <f>VPI!R231</f>
        <v>16096.874193548387</v>
      </c>
      <c r="D237" s="8">
        <f>Données!N231</f>
        <v>25166.7</v>
      </c>
      <c r="E237" s="171">
        <f>Données!O231+Données!P231+Données!R231</f>
        <v>138050.75</v>
      </c>
      <c r="F237" s="373">
        <f t="shared" si="11"/>
        <v>76575.384999999995</v>
      </c>
      <c r="G237" s="373">
        <f>Ecrêtage!M231</f>
        <v>0</v>
      </c>
      <c r="H237" s="374">
        <f t="shared" si="12"/>
        <v>184607.43042415936</v>
      </c>
      <c r="I237" s="239">
        <f t="shared" si="13"/>
        <v>261182.81542415934</v>
      </c>
    </row>
    <row r="238" spans="1:9" s="35" customFormat="1" x14ac:dyDescent="0.25">
      <c r="A238" s="38">
        <f>Données!A232</f>
        <v>5799</v>
      </c>
      <c r="B238" s="404" t="str">
        <f>Données!B232</f>
        <v>Servion</v>
      </c>
      <c r="C238" s="31">
        <f>VPI!R232</f>
        <v>78403.185652173925</v>
      </c>
      <c r="D238" s="8">
        <f>Données!N232</f>
        <v>28388.799999999999</v>
      </c>
      <c r="E238" s="171">
        <f>Données!O232+Données!P232+Données!R232</f>
        <v>416216.80000000005</v>
      </c>
      <c r="F238" s="373">
        <f t="shared" si="11"/>
        <v>216625.04000000004</v>
      </c>
      <c r="G238" s="373">
        <f>Ecrêtage!M232</f>
        <v>0</v>
      </c>
      <c r="H238" s="374">
        <f t="shared" si="12"/>
        <v>899169.0228974541</v>
      </c>
      <c r="I238" s="239">
        <f t="shared" si="13"/>
        <v>1115794.062897454</v>
      </c>
    </row>
    <row r="239" spans="1:9" s="35" customFormat="1" x14ac:dyDescent="0.25">
      <c r="A239" s="38">
        <f>Données!A233</f>
        <v>5803</v>
      </c>
      <c r="B239" s="404" t="str">
        <f>Données!B233</f>
        <v>Vulliens</v>
      </c>
      <c r="C239" s="31">
        <f>VPI!R233</f>
        <v>18504.850945945949</v>
      </c>
      <c r="D239" s="8">
        <f>Données!N233</f>
        <v>134.15</v>
      </c>
      <c r="E239" s="171">
        <f>Données!O233+Données!P233+Données!R233</f>
        <v>97515.85</v>
      </c>
      <c r="F239" s="373">
        <f t="shared" si="11"/>
        <v>48798.170000000006</v>
      </c>
      <c r="G239" s="373">
        <f>Ecrêtage!M233</f>
        <v>0</v>
      </c>
      <c r="H239" s="374">
        <f t="shared" si="12"/>
        <v>212223.37594477439</v>
      </c>
      <c r="I239" s="239">
        <f t="shared" si="13"/>
        <v>261021.54594477441</v>
      </c>
    </row>
    <row r="240" spans="1:9" s="35" customFormat="1" x14ac:dyDescent="0.25">
      <c r="A240" s="38">
        <f>Données!A234</f>
        <v>5804</v>
      </c>
      <c r="B240" s="404" t="str">
        <f>Données!B234</f>
        <v>Jorat-Menthue</v>
      </c>
      <c r="C240" s="31">
        <f>VPI!R234</f>
        <v>49008.353617021276</v>
      </c>
      <c r="D240" s="8">
        <f>Données!N234</f>
        <v>8239.5499999999993</v>
      </c>
      <c r="E240" s="171">
        <f>Données!O234+Données!P234+Données!R234</f>
        <v>197918.8</v>
      </c>
      <c r="F240" s="373">
        <f t="shared" si="11"/>
        <v>101431.265</v>
      </c>
      <c r="G240" s="373">
        <f>Ecrêtage!M234</f>
        <v>0</v>
      </c>
      <c r="H240" s="374">
        <f t="shared" si="12"/>
        <v>562053.6087797099</v>
      </c>
      <c r="I240" s="239">
        <f t="shared" si="13"/>
        <v>663484.87377970992</v>
      </c>
    </row>
    <row r="241" spans="1:9" s="35" customFormat="1" x14ac:dyDescent="0.25">
      <c r="A241" s="38">
        <f>Données!A235</f>
        <v>5805</v>
      </c>
      <c r="B241" s="404" t="str">
        <f>Données!B235</f>
        <v>Oron</v>
      </c>
      <c r="C241" s="31">
        <f>VPI!R235</f>
        <v>177337.10588932806</v>
      </c>
      <c r="D241" s="8">
        <f>Données!N235</f>
        <v>141008.75</v>
      </c>
      <c r="E241" s="171">
        <f>Données!O235+Données!P235+Données!R235</f>
        <v>824958.9</v>
      </c>
      <c r="F241" s="373">
        <f t="shared" si="11"/>
        <v>454782.07500000001</v>
      </c>
      <c r="G241" s="373">
        <f>Ecrêtage!M235</f>
        <v>0</v>
      </c>
      <c r="H241" s="374">
        <f t="shared" si="12"/>
        <v>2033795.3222127543</v>
      </c>
      <c r="I241" s="239">
        <f t="shared" si="13"/>
        <v>2488577.3972127545</v>
      </c>
    </row>
    <row r="242" spans="1:9" s="35" customFormat="1" x14ac:dyDescent="0.25">
      <c r="A242" s="38">
        <f>Données!A236</f>
        <v>5806</v>
      </c>
      <c r="B242" s="404" t="str">
        <f>Données!B236</f>
        <v>Jorat-Mézières</v>
      </c>
      <c r="C242" s="31">
        <f>VPI!R236</f>
        <v>98520.834794520561</v>
      </c>
      <c r="D242" s="8">
        <f>Données!N236</f>
        <v>33900.300000000003</v>
      </c>
      <c r="E242" s="171">
        <f>Données!O236+Données!P236+Données!R236</f>
        <v>1019185.55</v>
      </c>
      <c r="F242" s="373">
        <f t="shared" si="11"/>
        <v>519762.86500000005</v>
      </c>
      <c r="G242" s="373">
        <f>Ecrêtage!M236</f>
        <v>0</v>
      </c>
      <c r="H242" s="374">
        <f t="shared" si="12"/>
        <v>1129888.8179140494</v>
      </c>
      <c r="I242" s="239">
        <f t="shared" si="13"/>
        <v>1649651.6829140494</v>
      </c>
    </row>
    <row r="243" spans="1:9" s="35" customFormat="1" x14ac:dyDescent="0.25">
      <c r="A243" s="38">
        <f>Données!A237</f>
        <v>5812</v>
      </c>
      <c r="B243" s="404" t="str">
        <f>Données!B237</f>
        <v>Champtauroz</v>
      </c>
      <c r="C243" s="31">
        <f>VPI!R237</f>
        <v>3559.4911688311695</v>
      </c>
      <c r="D243" s="8">
        <f>Données!N237</f>
        <v>0</v>
      </c>
      <c r="E243" s="171">
        <f>Données!O237+Données!P237+Données!R237</f>
        <v>55936.800000000003</v>
      </c>
      <c r="F243" s="373">
        <f t="shared" si="11"/>
        <v>27968.400000000001</v>
      </c>
      <c r="G243" s="373">
        <f>Ecrêtage!M237</f>
        <v>0</v>
      </c>
      <c r="H243" s="374">
        <f t="shared" si="12"/>
        <v>40822.119275727353</v>
      </c>
      <c r="I243" s="239">
        <f t="shared" si="13"/>
        <v>68790.519275727362</v>
      </c>
    </row>
    <row r="244" spans="1:9" s="35" customFormat="1" x14ac:dyDescent="0.25">
      <c r="A244" s="38">
        <f>Données!A238</f>
        <v>5813</v>
      </c>
      <c r="B244" s="404" t="str">
        <f>Données!B238</f>
        <v>Chevroux</v>
      </c>
      <c r="C244" s="31">
        <f>VPI!R238</f>
        <v>19217.847664233581</v>
      </c>
      <c r="D244" s="8">
        <f>Données!N238</f>
        <v>0</v>
      </c>
      <c r="E244" s="171">
        <f>Données!O238+Données!P238+Données!R238</f>
        <v>115282.29999999999</v>
      </c>
      <c r="F244" s="373">
        <f t="shared" si="11"/>
        <v>57641.149999999994</v>
      </c>
      <c r="G244" s="373">
        <f>Ecrêtage!M238</f>
        <v>0</v>
      </c>
      <c r="H244" s="374">
        <f t="shared" si="12"/>
        <v>220400.39779891132</v>
      </c>
      <c r="I244" s="239">
        <f t="shared" si="13"/>
        <v>278041.54779891134</v>
      </c>
    </row>
    <row r="245" spans="1:9" s="35" customFormat="1" x14ac:dyDescent="0.25">
      <c r="A245" s="38">
        <f>Données!A239</f>
        <v>5816</v>
      </c>
      <c r="B245" s="404" t="str">
        <f>Données!B239</f>
        <v>Corcelles-près-Payerne</v>
      </c>
      <c r="C245" s="31">
        <f>VPI!R239</f>
        <v>70362.963604395612</v>
      </c>
      <c r="D245" s="8">
        <f>Données!N239</f>
        <v>22214.3</v>
      </c>
      <c r="E245" s="171">
        <f>Données!O239+Données!P239+Données!R239</f>
        <v>869337.2</v>
      </c>
      <c r="F245" s="373">
        <f t="shared" si="11"/>
        <v>441332.88999999996</v>
      </c>
      <c r="G245" s="373">
        <f>Ecrêtage!M239</f>
        <v>0</v>
      </c>
      <c r="H245" s="374">
        <f t="shared" si="12"/>
        <v>806959.52219358901</v>
      </c>
      <c r="I245" s="239">
        <f t="shared" si="13"/>
        <v>1248292.4121935889</v>
      </c>
    </row>
    <row r="246" spans="1:9" s="35" customFormat="1" x14ac:dyDescent="0.25">
      <c r="A246" s="38">
        <f>Données!A240</f>
        <v>5817</v>
      </c>
      <c r="B246" s="404" t="str">
        <f>Données!B240</f>
        <v>Grandcour</v>
      </c>
      <c r="C246" s="31">
        <f>VPI!R240</f>
        <v>25032.364353741497</v>
      </c>
      <c r="D246" s="8">
        <f>Données!N240</f>
        <v>4774.45</v>
      </c>
      <c r="E246" s="171">
        <f>Données!O240+Données!P240+Données!R240</f>
        <v>111221.29999999999</v>
      </c>
      <c r="F246" s="373">
        <f t="shared" si="11"/>
        <v>57042.984999999993</v>
      </c>
      <c r="G246" s="373">
        <f>Ecrêtage!M240</f>
        <v>0</v>
      </c>
      <c r="H246" s="374">
        <f t="shared" si="12"/>
        <v>287084.33732045302</v>
      </c>
      <c r="I246" s="239">
        <f t="shared" si="13"/>
        <v>344127.32232045301</v>
      </c>
    </row>
    <row r="247" spans="1:9" s="35" customFormat="1" x14ac:dyDescent="0.25">
      <c r="A247" s="38">
        <f>Données!A241</f>
        <v>5819</v>
      </c>
      <c r="B247" s="404" t="str">
        <f>Données!B241</f>
        <v>Henniez</v>
      </c>
      <c r="C247" s="31">
        <f>VPI!R241</f>
        <v>17871.328115942026</v>
      </c>
      <c r="D247" s="8">
        <f>Données!N241</f>
        <v>6163.55</v>
      </c>
      <c r="E247" s="171">
        <f>Données!O241+Données!P241+Données!R241</f>
        <v>177078.2</v>
      </c>
      <c r="F247" s="373">
        <f t="shared" si="11"/>
        <v>90388.165000000008</v>
      </c>
      <c r="G247" s="373">
        <f>Ecrêtage!M241</f>
        <v>0</v>
      </c>
      <c r="H247" s="374">
        <f t="shared" si="12"/>
        <v>204957.80249518249</v>
      </c>
      <c r="I247" s="239">
        <f t="shared" si="13"/>
        <v>295345.96749518253</v>
      </c>
    </row>
    <row r="248" spans="1:9" s="35" customFormat="1" x14ac:dyDescent="0.25">
      <c r="A248" s="38">
        <f>Données!A242</f>
        <v>5821</v>
      </c>
      <c r="B248" s="404" t="str">
        <f>Données!B242</f>
        <v>Missy</v>
      </c>
      <c r="C248" s="31">
        <f>VPI!R242</f>
        <v>8690.2762499999972</v>
      </c>
      <c r="D248" s="8">
        <f>Données!N242</f>
        <v>0</v>
      </c>
      <c r="E248" s="171">
        <f>Données!O242+Données!P242+Données!R242</f>
        <v>24467.95</v>
      </c>
      <c r="F248" s="373">
        <f t="shared" si="11"/>
        <v>12233.975</v>
      </c>
      <c r="G248" s="373">
        <f>Ecrêtage!M242</f>
        <v>0</v>
      </c>
      <c r="H248" s="374">
        <f t="shared" si="12"/>
        <v>99664.664636044487</v>
      </c>
      <c r="I248" s="239">
        <f t="shared" si="13"/>
        <v>111898.63963604449</v>
      </c>
    </row>
    <row r="249" spans="1:9" s="35" customFormat="1" x14ac:dyDescent="0.25">
      <c r="A249" s="38">
        <f>Données!A243</f>
        <v>5822</v>
      </c>
      <c r="B249" s="404" t="str">
        <f>Données!B243</f>
        <v>Payerne</v>
      </c>
      <c r="C249" s="31">
        <f>VPI!R243</f>
        <v>264097.39385714289</v>
      </c>
      <c r="D249" s="8">
        <f>Données!N243</f>
        <v>290653</v>
      </c>
      <c r="E249" s="171">
        <f>Données!O243+Données!P243+Données!R243</f>
        <v>1904825.9</v>
      </c>
      <c r="F249" s="373">
        <f t="shared" si="11"/>
        <v>1039608.85</v>
      </c>
      <c r="G249" s="373">
        <f>Ecrêtage!M243</f>
        <v>0</v>
      </c>
      <c r="H249" s="374">
        <f t="shared" si="12"/>
        <v>3028807.9956060671</v>
      </c>
      <c r="I249" s="239">
        <f t="shared" si="13"/>
        <v>4068416.8456060672</v>
      </c>
    </row>
    <row r="250" spans="1:9" s="35" customFormat="1" x14ac:dyDescent="0.25">
      <c r="A250" s="38">
        <f>Données!A244</f>
        <v>5827</v>
      </c>
      <c r="B250" s="404" t="str">
        <f>Données!B244</f>
        <v>Trey</v>
      </c>
      <c r="C250" s="31">
        <f>VPI!R244</f>
        <v>7673.6615384615379</v>
      </c>
      <c r="D250" s="8">
        <f>Données!N244</f>
        <v>0</v>
      </c>
      <c r="E250" s="171">
        <f>Données!O244+Données!P244+Données!R244</f>
        <v>0</v>
      </c>
      <c r="F250" s="373">
        <f t="shared" si="11"/>
        <v>0</v>
      </c>
      <c r="G250" s="373">
        <f>Ecrêtage!M244</f>
        <v>0</v>
      </c>
      <c r="H250" s="374">
        <f t="shared" si="12"/>
        <v>88005.591739535623</v>
      </c>
      <c r="I250" s="239">
        <f t="shared" si="13"/>
        <v>88005.591739535623</v>
      </c>
    </row>
    <row r="251" spans="1:9" s="35" customFormat="1" x14ac:dyDescent="0.25">
      <c r="A251" s="38">
        <f>Données!A245</f>
        <v>5828</v>
      </c>
      <c r="B251" s="404" t="str">
        <f>Données!B245</f>
        <v>Treytorrens (Payerne)</v>
      </c>
      <c r="C251" s="31">
        <f>VPI!R245</f>
        <v>2724.637709611452</v>
      </c>
      <c r="D251" s="8">
        <f>Données!N245</f>
        <v>0</v>
      </c>
      <c r="E251" s="171">
        <f>Données!O245+Données!P245+Données!R245</f>
        <v>151</v>
      </c>
      <c r="F251" s="373">
        <f t="shared" si="11"/>
        <v>75.5</v>
      </c>
      <c r="G251" s="373">
        <f>Ecrêtage!M245</f>
        <v>0</v>
      </c>
      <c r="H251" s="374">
        <f t="shared" si="12"/>
        <v>31247.580142592797</v>
      </c>
      <c r="I251" s="239">
        <f t="shared" si="13"/>
        <v>31323.080142592797</v>
      </c>
    </row>
    <row r="252" spans="1:9" s="35" customFormat="1" x14ac:dyDescent="0.25">
      <c r="A252" s="38">
        <f>Données!A246</f>
        <v>5830</v>
      </c>
      <c r="B252" s="404" t="str">
        <f>Données!B246</f>
        <v>Villarzel</v>
      </c>
      <c r="C252" s="31">
        <f>VPI!R246</f>
        <v>12684.394533333332</v>
      </c>
      <c r="D252" s="8">
        <f>Données!N246</f>
        <v>8502</v>
      </c>
      <c r="E252" s="171">
        <f>Données!O246+Données!P246+Données!R246</f>
        <v>87833.75</v>
      </c>
      <c r="F252" s="373">
        <f t="shared" si="11"/>
        <v>46467.474999999999</v>
      </c>
      <c r="G252" s="373">
        <f>Ecrêtage!M246</f>
        <v>0</v>
      </c>
      <c r="H252" s="374">
        <f t="shared" si="12"/>
        <v>145471.31655060366</v>
      </c>
      <c r="I252" s="239">
        <f t="shared" si="13"/>
        <v>191938.79155060367</v>
      </c>
    </row>
    <row r="253" spans="1:9" s="35" customFormat="1" x14ac:dyDescent="0.25">
      <c r="A253" s="38">
        <f>Données!A247</f>
        <v>5831</v>
      </c>
      <c r="B253" s="404" t="str">
        <f>Données!B247</f>
        <v>Valbroye</v>
      </c>
      <c r="C253" s="31">
        <f>VPI!R247</f>
        <v>90997.957399527193</v>
      </c>
      <c r="D253" s="8">
        <f>Données!N247</f>
        <v>41333.550000000003</v>
      </c>
      <c r="E253" s="171">
        <f>Données!O247+Données!P247+Données!R247</f>
        <v>677284.2</v>
      </c>
      <c r="F253" s="373">
        <f t="shared" si="11"/>
        <v>351042.16499999998</v>
      </c>
      <c r="G253" s="373">
        <f>Ecrêtage!M247</f>
        <v>0</v>
      </c>
      <c r="H253" s="374">
        <f t="shared" si="12"/>
        <v>1043612.4981399692</v>
      </c>
      <c r="I253" s="239">
        <f t="shared" si="13"/>
        <v>1394654.6631399691</v>
      </c>
    </row>
    <row r="254" spans="1:9" s="35" customFormat="1" x14ac:dyDescent="0.25">
      <c r="A254" s="38">
        <f>Données!A248</f>
        <v>5841</v>
      </c>
      <c r="B254" s="404" t="str">
        <f>Données!B248</f>
        <v>Château-d'Oex</v>
      </c>
      <c r="C254" s="31">
        <f>VPI!R248</f>
        <v>131854.94253578733</v>
      </c>
      <c r="D254" s="8">
        <f>Données!N248</f>
        <v>20118.900000000001</v>
      </c>
      <c r="E254" s="171">
        <f>Données!O248+Données!P248+Données!R248</f>
        <v>1391614.95</v>
      </c>
      <c r="F254" s="373">
        <f t="shared" si="11"/>
        <v>701843.14500000002</v>
      </c>
      <c r="G254" s="373">
        <f>Ecrêtage!M248</f>
        <v>0</v>
      </c>
      <c r="H254" s="374">
        <f t="shared" si="12"/>
        <v>1512181.9203887982</v>
      </c>
      <c r="I254" s="239">
        <f t="shared" si="13"/>
        <v>2214025.0653887982</v>
      </c>
    </row>
    <row r="255" spans="1:9" s="35" customFormat="1" x14ac:dyDescent="0.25">
      <c r="A255" s="38">
        <f>Données!A249</f>
        <v>5842</v>
      </c>
      <c r="B255" s="404" t="str">
        <f>Données!B249</f>
        <v>Rossinière</v>
      </c>
      <c r="C255" s="31">
        <f>VPI!R249</f>
        <v>19719.391028806585</v>
      </c>
      <c r="D255" s="8">
        <f>Données!N249</f>
        <v>984.5</v>
      </c>
      <c r="E255" s="171">
        <f>Données!O249+Données!P249+Données!R249</f>
        <v>131549.34999999998</v>
      </c>
      <c r="F255" s="373">
        <f t="shared" si="11"/>
        <v>66070.024999999994</v>
      </c>
      <c r="G255" s="373">
        <f>Ecrêtage!M249</f>
        <v>0</v>
      </c>
      <c r="H255" s="374">
        <f t="shared" si="12"/>
        <v>226152.36123397495</v>
      </c>
      <c r="I255" s="239">
        <f t="shared" si="13"/>
        <v>292222.38623397495</v>
      </c>
    </row>
    <row r="256" spans="1:9" s="35" customFormat="1" x14ac:dyDescent="0.25">
      <c r="A256" s="38">
        <f>Données!A250</f>
        <v>5843</v>
      </c>
      <c r="B256" s="404" t="str">
        <f>Données!B250</f>
        <v>Rougemont</v>
      </c>
      <c r="C256" s="31">
        <f>VPI!R250</f>
        <v>88722.552616033761</v>
      </c>
      <c r="D256" s="8">
        <f>Données!N250</f>
        <v>7583.8</v>
      </c>
      <c r="E256" s="171">
        <f>Données!O250+Données!P250+Données!R250</f>
        <v>2034095.95</v>
      </c>
      <c r="F256" s="373">
        <f t="shared" si="11"/>
        <v>1019323.115</v>
      </c>
      <c r="G256" s="373">
        <f>Ecrêtage!M250</f>
        <v>1420706.6007248911</v>
      </c>
      <c r="H256" s="374">
        <f t="shared" si="12"/>
        <v>1017516.957775746</v>
      </c>
      <c r="I256" s="239">
        <f t="shared" si="13"/>
        <v>3457546.6735006371</v>
      </c>
    </row>
    <row r="257" spans="1:9" s="35" customFormat="1" x14ac:dyDescent="0.25">
      <c r="A257" s="38">
        <f>Données!A251</f>
        <v>5851</v>
      </c>
      <c r="B257" s="404" t="str">
        <f>Données!B251</f>
        <v>Allaman</v>
      </c>
      <c r="C257" s="31">
        <f>VPI!R251</f>
        <v>22070.113025641029</v>
      </c>
      <c r="D257" s="8">
        <f>Données!N251</f>
        <v>60435.25</v>
      </c>
      <c r="E257" s="171">
        <f>Données!O251+Données!P251+Données!R251</f>
        <v>616415.65</v>
      </c>
      <c r="F257" s="373">
        <f t="shared" si="11"/>
        <v>326338.40000000002</v>
      </c>
      <c r="G257" s="373">
        <f>Ecrêtage!M251</f>
        <v>9790.8583127547809</v>
      </c>
      <c r="H257" s="374">
        <f t="shared" si="12"/>
        <v>253111.67906545097</v>
      </c>
      <c r="I257" s="239">
        <f t="shared" si="13"/>
        <v>589240.93737820571</v>
      </c>
    </row>
    <row r="258" spans="1:9" s="35" customFormat="1" x14ac:dyDescent="0.25">
      <c r="A258" s="38">
        <f>Données!A252</f>
        <v>5852</v>
      </c>
      <c r="B258" s="404" t="str">
        <f>Données!B252</f>
        <v>Bursinel</v>
      </c>
      <c r="C258" s="31">
        <f>VPI!R252</f>
        <v>36549.131935483871</v>
      </c>
      <c r="D258" s="8">
        <f>Données!N252</f>
        <v>8354.15</v>
      </c>
      <c r="E258" s="171">
        <f>Données!O252+Données!P252+Données!R252</f>
        <v>2515852.7999999998</v>
      </c>
      <c r="F258" s="373">
        <f t="shared" si="11"/>
        <v>1260432.645</v>
      </c>
      <c r="G258" s="373">
        <f>Ecrêtage!M252</f>
        <v>168570.59276499131</v>
      </c>
      <c r="H258" s="374">
        <f t="shared" si="12"/>
        <v>419164.69307733967</v>
      </c>
      <c r="I258" s="239">
        <f t="shared" si="13"/>
        <v>1848167.9308423311</v>
      </c>
    </row>
    <row r="259" spans="1:9" s="35" customFormat="1" x14ac:dyDescent="0.25">
      <c r="A259" s="38">
        <f>Données!A253</f>
        <v>5853</v>
      </c>
      <c r="B259" s="404" t="str">
        <f>Données!B253</f>
        <v>Bursins</v>
      </c>
      <c r="C259" s="31">
        <f>VPI!R253</f>
        <v>43710.813239436618</v>
      </c>
      <c r="D259" s="8">
        <f>Données!N253</f>
        <v>81881.25</v>
      </c>
      <c r="E259" s="171">
        <f>Données!O253+Données!P253+Données!R253</f>
        <v>326235.35000000003</v>
      </c>
      <c r="F259" s="373">
        <f t="shared" si="11"/>
        <v>187682.05000000002</v>
      </c>
      <c r="G259" s="373">
        <f>Ecrêtage!M253</f>
        <v>61644.879342530068</v>
      </c>
      <c r="H259" s="374">
        <f t="shared" si="12"/>
        <v>501298.62586097018</v>
      </c>
      <c r="I259" s="239">
        <f t="shared" si="13"/>
        <v>750625.5552035002</v>
      </c>
    </row>
    <row r="260" spans="1:9" s="35" customFormat="1" x14ac:dyDescent="0.25">
      <c r="A260" s="38">
        <f>Données!A254</f>
        <v>5854</v>
      </c>
      <c r="B260" s="404" t="str">
        <f>Données!B254</f>
        <v>Burtigny</v>
      </c>
      <c r="C260" s="31">
        <f>VPI!R254</f>
        <v>16984.704925690025</v>
      </c>
      <c r="D260" s="8">
        <f>Données!N254</f>
        <v>14587.05</v>
      </c>
      <c r="E260" s="171">
        <f>Données!O254+Données!P254+Données!R254</f>
        <v>42005.299999999996</v>
      </c>
      <c r="F260" s="373">
        <f t="shared" si="11"/>
        <v>25378.764999999999</v>
      </c>
      <c r="G260" s="373">
        <f>Ecrêtage!M254</f>
        <v>0</v>
      </c>
      <c r="H260" s="374">
        <f t="shared" si="12"/>
        <v>194789.54082283285</v>
      </c>
      <c r="I260" s="239">
        <f t="shared" si="13"/>
        <v>220168.30582283286</v>
      </c>
    </row>
    <row r="261" spans="1:9" s="35" customFormat="1" x14ac:dyDescent="0.25">
      <c r="A261" s="38">
        <f>Données!A255</f>
        <v>5855</v>
      </c>
      <c r="B261" s="404" t="str">
        <f>Données!B255</f>
        <v>Dully</v>
      </c>
      <c r="C261" s="31">
        <f>VPI!R255</f>
        <v>80639.677735849051</v>
      </c>
      <c r="D261" s="8">
        <f>Données!N255</f>
        <v>3389.3</v>
      </c>
      <c r="E261" s="171">
        <f>Données!O255+Données!P255+Données!R255</f>
        <v>315205.95</v>
      </c>
      <c r="F261" s="373">
        <f t="shared" si="11"/>
        <v>158619.76500000001</v>
      </c>
      <c r="G261" s="373">
        <f>Ecrêtage!M255</f>
        <v>1026969.409113091</v>
      </c>
      <c r="H261" s="374">
        <f t="shared" si="12"/>
        <v>924818.2919273827</v>
      </c>
      <c r="I261" s="239">
        <f t="shared" si="13"/>
        <v>2110407.4660404734</v>
      </c>
    </row>
    <row r="262" spans="1:9" s="35" customFormat="1" x14ac:dyDescent="0.25">
      <c r="A262" s="38">
        <f>Données!A256</f>
        <v>5856</v>
      </c>
      <c r="B262" s="404" t="str">
        <f>Données!B256</f>
        <v>Essertines-sur-Rolle</v>
      </c>
      <c r="C262" s="31">
        <f>VPI!R256</f>
        <v>40086.564661654142</v>
      </c>
      <c r="D262" s="8">
        <f>Données!N256</f>
        <v>10274.25</v>
      </c>
      <c r="E262" s="171">
        <f>Données!O256+Données!P256+Données!R256</f>
        <v>258052.15</v>
      </c>
      <c r="F262" s="373">
        <f t="shared" si="11"/>
        <v>132108.35</v>
      </c>
      <c r="G262" s="373">
        <f>Ecrêtage!M256</f>
        <v>27953.956937605322</v>
      </c>
      <c r="H262" s="374">
        <f t="shared" si="12"/>
        <v>459733.83451589046</v>
      </c>
      <c r="I262" s="239">
        <f t="shared" si="13"/>
        <v>619796.14145349571</v>
      </c>
    </row>
    <row r="263" spans="1:9" s="35" customFormat="1" x14ac:dyDescent="0.25">
      <c r="A263" s="38">
        <f>Données!A257</f>
        <v>5857</v>
      </c>
      <c r="B263" s="404" t="str">
        <f>Données!B257</f>
        <v>Gilly</v>
      </c>
      <c r="C263" s="31">
        <f>VPI!R257</f>
        <v>92966.463565891449</v>
      </c>
      <c r="D263" s="8">
        <f>Données!N257</f>
        <v>88373.25</v>
      </c>
      <c r="E263" s="171">
        <f>Données!O257+Données!P257+Données!R257</f>
        <v>242796.35</v>
      </c>
      <c r="F263" s="373">
        <f t="shared" si="11"/>
        <v>147910.15</v>
      </c>
      <c r="G263" s="373">
        <f>Ecrêtage!M257</f>
        <v>293161.3088166166</v>
      </c>
      <c r="H263" s="374">
        <f t="shared" si="12"/>
        <v>1066188.3635394929</v>
      </c>
      <c r="I263" s="239">
        <f t="shared" si="13"/>
        <v>1507259.8223561095</v>
      </c>
    </row>
    <row r="264" spans="1:9" s="35" customFormat="1" x14ac:dyDescent="0.25">
      <c r="A264" s="38">
        <f>Données!A258</f>
        <v>5858</v>
      </c>
      <c r="B264" s="404" t="str">
        <f>Données!B258</f>
        <v>Luins</v>
      </c>
      <c r="C264" s="31">
        <f>VPI!R258</f>
        <v>34472.230883190881</v>
      </c>
      <c r="D264" s="8">
        <f>Données!N258</f>
        <v>8976.4</v>
      </c>
      <c r="E264" s="171">
        <f>Données!O258+Données!P258+Données!R258</f>
        <v>440677.05</v>
      </c>
      <c r="F264" s="373">
        <f t="shared" si="11"/>
        <v>223031.44500000001</v>
      </c>
      <c r="G264" s="373">
        <f>Ecrêtage!M258</f>
        <v>39339.073726025803</v>
      </c>
      <c r="H264" s="374">
        <f t="shared" si="12"/>
        <v>395345.6980414766</v>
      </c>
      <c r="I264" s="239">
        <f t="shared" si="13"/>
        <v>657716.21676750237</v>
      </c>
    </row>
    <row r="265" spans="1:9" s="35" customFormat="1" x14ac:dyDescent="0.25">
      <c r="A265" s="38">
        <f>Données!A259</f>
        <v>5859</v>
      </c>
      <c r="B265" s="404" t="str">
        <f>Données!B259</f>
        <v>Mont-sur-Rolle</v>
      </c>
      <c r="C265" s="31">
        <f>VPI!R259</f>
        <v>184009.52141732289</v>
      </c>
      <c r="D265" s="8">
        <f>Données!N259</f>
        <v>119516.25</v>
      </c>
      <c r="E265" s="171">
        <f>Données!O259+Données!P259+Données!R259</f>
        <v>997138.25</v>
      </c>
      <c r="F265" s="373">
        <f t="shared" si="11"/>
        <v>534424</v>
      </c>
      <c r="G265" s="373">
        <f>Ecrêtage!M259</f>
        <v>707423.71182887326</v>
      </c>
      <c r="H265" s="374">
        <f t="shared" si="12"/>
        <v>2110318.0974133629</v>
      </c>
      <c r="I265" s="239">
        <f t="shared" si="13"/>
        <v>3352165.8092422364</v>
      </c>
    </row>
    <row r="266" spans="1:9" s="35" customFormat="1" x14ac:dyDescent="0.25">
      <c r="A266" s="38">
        <f>Données!A260</f>
        <v>5860</v>
      </c>
      <c r="B266" s="404" t="str">
        <f>Données!B260</f>
        <v>Perroy</v>
      </c>
      <c r="C266" s="31">
        <f>VPI!R260</f>
        <v>115014.47146614069</v>
      </c>
      <c r="D266" s="8">
        <f>Données!N260</f>
        <v>34043.300000000003</v>
      </c>
      <c r="E266" s="171">
        <f>Données!O260+Données!P260+Données!R260</f>
        <v>492880.3</v>
      </c>
      <c r="F266" s="373">
        <f t="shared" si="11"/>
        <v>256653.13999999998</v>
      </c>
      <c r="G266" s="373">
        <f>Ecrêtage!M260</f>
        <v>537098.20209291973</v>
      </c>
      <c r="H266" s="374">
        <f t="shared" si="12"/>
        <v>1319046.5293856249</v>
      </c>
      <c r="I266" s="239">
        <f t="shared" si="13"/>
        <v>2112797.8714785445</v>
      </c>
    </row>
    <row r="267" spans="1:9" s="35" customFormat="1" x14ac:dyDescent="0.25">
      <c r="A267" s="38">
        <f>Données!A261</f>
        <v>5861</v>
      </c>
      <c r="B267" s="404" t="str">
        <f>Données!B261</f>
        <v>Rolle</v>
      </c>
      <c r="C267" s="31">
        <f>VPI!R261</f>
        <v>1018783.8085714284</v>
      </c>
      <c r="D267" s="8">
        <f>Données!N261</f>
        <v>561951.80000000005</v>
      </c>
      <c r="E267" s="171">
        <f>Données!O261+Données!P261+Données!R261</f>
        <v>3231440.1</v>
      </c>
      <c r="F267" s="373">
        <f t="shared" si="11"/>
        <v>1784305.59</v>
      </c>
      <c r="G267" s="373">
        <f>Ecrêtage!M261</f>
        <v>17950202.585706394</v>
      </c>
      <c r="H267" s="374">
        <f t="shared" si="12"/>
        <v>11683949.243604723</v>
      </c>
      <c r="I267" s="239">
        <f t="shared" si="13"/>
        <v>31418457.419311117</v>
      </c>
    </row>
    <row r="268" spans="1:9" s="35" customFormat="1" x14ac:dyDescent="0.25">
      <c r="A268" s="38">
        <f>Données!A262</f>
        <v>5862</v>
      </c>
      <c r="B268" s="404" t="str">
        <f>Données!B262</f>
        <v>Tartegnin</v>
      </c>
      <c r="C268" s="31">
        <f>VPI!R262</f>
        <v>11391.445316455696</v>
      </c>
      <c r="D268" s="8">
        <f>Données!N262</f>
        <v>10724.85</v>
      </c>
      <c r="E268" s="171">
        <f>Données!O262+Données!P262+Données!R262</f>
        <v>53970.45</v>
      </c>
      <c r="F268" s="373">
        <f t="shared" si="11"/>
        <v>30202.68</v>
      </c>
      <c r="G268" s="373">
        <f>Ecrêtage!M262</f>
        <v>0</v>
      </c>
      <c r="H268" s="374">
        <f t="shared" si="12"/>
        <v>130643.0940195252</v>
      </c>
      <c r="I268" s="239">
        <f t="shared" si="13"/>
        <v>160845.77401952521</v>
      </c>
    </row>
    <row r="269" spans="1:9" s="35" customFormat="1" x14ac:dyDescent="0.25">
      <c r="A269" s="38">
        <f>Données!A263</f>
        <v>5863</v>
      </c>
      <c r="B269" s="404" t="str">
        <f>Données!B263</f>
        <v>Vinzel</v>
      </c>
      <c r="C269" s="31">
        <f>VPI!R263</f>
        <v>22595.272461538461</v>
      </c>
      <c r="D269" s="8">
        <f>Données!N263</f>
        <v>14979.6</v>
      </c>
      <c r="E269" s="171">
        <f>Données!O263+Données!P263+Données!R263</f>
        <v>61052.95</v>
      </c>
      <c r="F269" s="373">
        <f t="shared" ref="F269:F311" si="14">D269*$D$11+E269*$E$11</f>
        <v>35020.354999999996</v>
      </c>
      <c r="G269" s="373">
        <f>Ecrêtage!M263</f>
        <v>48766.493742829603</v>
      </c>
      <c r="H269" s="374">
        <f t="shared" ref="H269:H311" si="15">$H$11*C269</f>
        <v>259134.48404350583</v>
      </c>
      <c r="I269" s="239">
        <f t="shared" ref="I269:I311" si="16">F269+H269+G269</f>
        <v>342921.33278633544</v>
      </c>
    </row>
    <row r="270" spans="1:9" s="35" customFormat="1" x14ac:dyDescent="0.25">
      <c r="A270" s="38">
        <f>Données!A264</f>
        <v>5871</v>
      </c>
      <c r="B270" s="404" t="str">
        <f>Données!B264</f>
        <v>L'Abbaye</v>
      </c>
      <c r="C270" s="31">
        <f>VPI!R264</f>
        <v>50382.809788942126</v>
      </c>
      <c r="D270" s="8">
        <f>Données!N264</f>
        <v>866563.9</v>
      </c>
      <c r="E270" s="171">
        <f>Données!O264+Données!P264+Données!R264</f>
        <v>261107.45</v>
      </c>
      <c r="F270" s="373">
        <f t="shared" si="14"/>
        <v>390522.89500000002</v>
      </c>
      <c r="G270" s="373">
        <f>Ecrêtage!M264</f>
        <v>0</v>
      </c>
      <c r="H270" s="374">
        <f t="shared" si="15"/>
        <v>577816.59599561489</v>
      </c>
      <c r="I270" s="239">
        <f t="shared" si="16"/>
        <v>968339.49099561491</v>
      </c>
    </row>
    <row r="271" spans="1:9" s="35" customFormat="1" x14ac:dyDescent="0.25">
      <c r="A271" s="38">
        <f>Données!A265</f>
        <v>5872</v>
      </c>
      <c r="B271" s="404" t="str">
        <f>Données!B265</f>
        <v>Le Chenit</v>
      </c>
      <c r="C271" s="31">
        <f>VPI!R265</f>
        <v>317388.40065632458</v>
      </c>
      <c r="D271" s="8">
        <f>Données!N265</f>
        <v>5782308.5</v>
      </c>
      <c r="E271" s="171">
        <f>Données!O265+Données!P265+Données!R265</f>
        <v>1228770.0499999998</v>
      </c>
      <c r="F271" s="373">
        <f t="shared" si="14"/>
        <v>2349077.5750000002</v>
      </c>
      <c r="G271" s="373">
        <f>Ecrêtage!M265</f>
        <v>1383690.0519600415</v>
      </c>
      <c r="H271" s="374">
        <f t="shared" si="15"/>
        <v>3639977.3264725758</v>
      </c>
      <c r="I271" s="239">
        <f t="shared" si="16"/>
        <v>7372744.9534326177</v>
      </c>
    </row>
    <row r="272" spans="1:9" s="35" customFormat="1" x14ac:dyDescent="0.25">
      <c r="A272" s="38">
        <f>Données!A266</f>
        <v>5873</v>
      </c>
      <c r="B272" s="404" t="str">
        <f>Données!B266</f>
        <v>Le Lieu</v>
      </c>
      <c r="C272" s="31">
        <f>VPI!R266</f>
        <v>32064.674107142859</v>
      </c>
      <c r="D272" s="8">
        <f>Données!N266</f>
        <v>915654</v>
      </c>
      <c r="E272" s="171">
        <f>Données!O266+Données!P266+Données!R266</f>
        <v>159944.79999999999</v>
      </c>
      <c r="F272" s="373">
        <f t="shared" si="14"/>
        <v>354668.6</v>
      </c>
      <c r="G272" s="373">
        <f>Ecrêtage!M266</f>
        <v>0</v>
      </c>
      <c r="H272" s="374">
        <f t="shared" si="15"/>
        <v>367734.56903081224</v>
      </c>
      <c r="I272" s="239">
        <f t="shared" si="16"/>
        <v>722403.16903081222</v>
      </c>
    </row>
    <row r="273" spans="1:9" s="35" customFormat="1" x14ac:dyDescent="0.25">
      <c r="A273" s="38">
        <f>Données!A267</f>
        <v>5882</v>
      </c>
      <c r="B273" s="404" t="str">
        <f>Données!B267</f>
        <v>Chardonne</v>
      </c>
      <c r="C273" s="31">
        <f>VPI!R267</f>
        <v>191105.75352941177</v>
      </c>
      <c r="D273" s="8">
        <f>Données!N267</f>
        <v>17670.7</v>
      </c>
      <c r="E273" s="171">
        <f>Données!O267+Données!P267+Données!R267</f>
        <v>2395019.2000000002</v>
      </c>
      <c r="F273" s="373">
        <f t="shared" si="14"/>
        <v>1202810.81</v>
      </c>
      <c r="G273" s="373">
        <f>Ecrêtage!M267</f>
        <v>417644.50804989942</v>
      </c>
      <c r="H273" s="374">
        <f t="shared" si="15"/>
        <v>2191701.4243968832</v>
      </c>
      <c r="I273" s="239">
        <f t="shared" si="16"/>
        <v>3812156.7424467825</v>
      </c>
    </row>
    <row r="274" spans="1:9" s="35" customFormat="1" x14ac:dyDescent="0.25">
      <c r="A274" s="38">
        <f>Données!A268</f>
        <v>5883</v>
      </c>
      <c r="B274" s="404" t="str">
        <f>Données!B268</f>
        <v>Corseaux</v>
      </c>
      <c r="C274" s="31">
        <f>VPI!R268</f>
        <v>170880.8057777778</v>
      </c>
      <c r="D274" s="8">
        <f>Données!N268</f>
        <v>1683.4</v>
      </c>
      <c r="E274" s="171">
        <f>Données!O268+Données!P268+Données!R268</f>
        <v>1656321.1</v>
      </c>
      <c r="F274" s="373">
        <f t="shared" si="14"/>
        <v>828665.57000000007</v>
      </c>
      <c r="G274" s="373">
        <f>Ecrêtage!M268</f>
        <v>961532.39798767143</v>
      </c>
      <c r="H274" s="374">
        <f t="shared" si="15"/>
        <v>1959751.0724218097</v>
      </c>
      <c r="I274" s="239">
        <f t="shared" si="16"/>
        <v>3749949.0404094812</v>
      </c>
    </row>
    <row r="275" spans="1:9" s="35" customFormat="1" x14ac:dyDescent="0.25">
      <c r="A275" s="38">
        <f>Données!A269</f>
        <v>5884</v>
      </c>
      <c r="B275" s="404" t="str">
        <f>Données!B269</f>
        <v>Corsier-sur-Vevey</v>
      </c>
      <c r="C275" s="31">
        <f>VPI!R269</f>
        <v>147926.61447028426</v>
      </c>
      <c r="D275" s="8">
        <f>Données!N269</f>
        <v>696138.15</v>
      </c>
      <c r="E275" s="171">
        <f>Données!O269+Données!P269+Données!R269</f>
        <v>846088.45</v>
      </c>
      <c r="F275" s="373">
        <f t="shared" si="14"/>
        <v>631885.66999999993</v>
      </c>
      <c r="G275" s="373">
        <f>Ecrêtage!M269</f>
        <v>0</v>
      </c>
      <c r="H275" s="374">
        <f t="shared" si="15"/>
        <v>1696500.3180337714</v>
      </c>
      <c r="I275" s="239">
        <f t="shared" si="16"/>
        <v>2328385.9880337715</v>
      </c>
    </row>
    <row r="276" spans="1:9" s="35" customFormat="1" x14ac:dyDescent="0.25">
      <c r="A276" s="38">
        <f>Données!A270</f>
        <v>5885</v>
      </c>
      <c r="B276" s="404" t="str">
        <f>Données!B270</f>
        <v>Jongny</v>
      </c>
      <c r="C276" s="31">
        <f>VPI!R270</f>
        <v>97976.001630695435</v>
      </c>
      <c r="D276" s="8">
        <f>Données!N270</f>
        <v>5349.5</v>
      </c>
      <c r="E276" s="171">
        <f>Données!O270+Données!P270+Données!R270</f>
        <v>742203.55</v>
      </c>
      <c r="F276" s="373">
        <f t="shared" si="14"/>
        <v>372706.625</v>
      </c>
      <c r="G276" s="373">
        <f>Ecrêtage!M270</f>
        <v>43270.86422818197</v>
      </c>
      <c r="H276" s="374">
        <f t="shared" si="15"/>
        <v>1123640.3842632519</v>
      </c>
      <c r="I276" s="239">
        <f t="shared" si="16"/>
        <v>1539617.8734914339</v>
      </c>
    </row>
    <row r="277" spans="1:9" s="35" customFormat="1" x14ac:dyDescent="0.25">
      <c r="A277" s="38">
        <f>Données!A271</f>
        <v>5886</v>
      </c>
      <c r="B277" s="404" t="str">
        <f>Données!B271</f>
        <v>Montreux</v>
      </c>
      <c r="C277" s="31">
        <f>VPI!R271</f>
        <v>1169621.0326666667</v>
      </c>
      <c r="D277" s="8">
        <f>Données!N271</f>
        <v>1369524.8</v>
      </c>
      <c r="E277" s="171">
        <f>Données!O271+Données!P271+Données!R271</f>
        <v>11795647.75</v>
      </c>
      <c r="F277" s="373">
        <f t="shared" si="14"/>
        <v>6308681.3150000004</v>
      </c>
      <c r="G277" s="373">
        <f>Ecrêtage!M271</f>
        <v>0</v>
      </c>
      <c r="H277" s="374">
        <f t="shared" si="15"/>
        <v>13413829.9656455</v>
      </c>
      <c r="I277" s="239">
        <f t="shared" si="16"/>
        <v>19722511.280645501</v>
      </c>
    </row>
    <row r="278" spans="1:9" s="35" customFormat="1" x14ac:dyDescent="0.25">
      <c r="A278" s="38">
        <f>Données!A272</f>
        <v>5889</v>
      </c>
      <c r="B278" s="404" t="str">
        <f>Données!B272</f>
        <v>La Tour-de-Peilz</v>
      </c>
      <c r="C278" s="31">
        <f>VPI!R272</f>
        <v>779203.88627604162</v>
      </c>
      <c r="D278" s="8">
        <f>Données!N272</f>
        <v>127056.75</v>
      </c>
      <c r="E278" s="171">
        <f>Données!O272+Données!P272+Données!R272</f>
        <v>3044784.65</v>
      </c>
      <c r="F278" s="373">
        <f t="shared" si="14"/>
        <v>1560509.3499999999</v>
      </c>
      <c r="G278" s="373">
        <f>Ecrêtage!M272</f>
        <v>2192769.4829631839</v>
      </c>
      <c r="H278" s="374">
        <f t="shared" si="15"/>
        <v>8936320.5236202087</v>
      </c>
      <c r="I278" s="239">
        <f t="shared" si="16"/>
        <v>12689599.356583392</v>
      </c>
    </row>
    <row r="279" spans="1:9" s="35" customFormat="1" x14ac:dyDescent="0.25">
      <c r="A279" s="38">
        <f>Données!A273</f>
        <v>5890</v>
      </c>
      <c r="B279" s="404" t="str">
        <f>Données!B273</f>
        <v>Vevey</v>
      </c>
      <c r="C279" s="31">
        <f>VPI!R273</f>
        <v>1034326.0486800894</v>
      </c>
      <c r="D279" s="8">
        <f>Données!N273</f>
        <v>871785.1</v>
      </c>
      <c r="E279" s="171">
        <f>Données!O273+Données!P273+Données!R273</f>
        <v>4979942.0500000007</v>
      </c>
      <c r="F279" s="373">
        <f t="shared" si="14"/>
        <v>2751506.5550000002</v>
      </c>
      <c r="G279" s="373">
        <f>Ecrêtage!M273</f>
        <v>558352.26502912969</v>
      </c>
      <c r="H279" s="374">
        <f t="shared" si="15"/>
        <v>11862195.838253837</v>
      </c>
      <c r="I279" s="239">
        <f t="shared" si="16"/>
        <v>15172054.658282967</v>
      </c>
    </row>
    <row r="280" spans="1:9" s="35" customFormat="1" x14ac:dyDescent="0.25">
      <c r="A280" s="38">
        <f>Données!A274</f>
        <v>5891</v>
      </c>
      <c r="B280" s="404" t="str">
        <f>Données!B274</f>
        <v>Veytaux</v>
      </c>
      <c r="C280" s="31">
        <f>VPI!R274</f>
        <v>45647.230320987655</v>
      </c>
      <c r="D280" s="8">
        <f>Données!N274</f>
        <v>19046.150000000001</v>
      </c>
      <c r="E280" s="171">
        <f>Données!O274+Données!P274+Données!R274</f>
        <v>455412.6</v>
      </c>
      <c r="F280" s="373">
        <f t="shared" si="14"/>
        <v>233420.14499999999</v>
      </c>
      <c r="G280" s="373">
        <f>Ecrêtage!M274</f>
        <v>0</v>
      </c>
      <c r="H280" s="374">
        <f t="shared" si="15"/>
        <v>523506.47673663049</v>
      </c>
      <c r="I280" s="239">
        <f t="shared" si="16"/>
        <v>756926.62173663045</v>
      </c>
    </row>
    <row r="281" spans="1:9" s="35" customFormat="1" x14ac:dyDescent="0.25">
      <c r="A281" s="38">
        <f>Données!A275</f>
        <v>5892</v>
      </c>
      <c r="B281" s="404" t="str">
        <f>Données!B275</f>
        <v>Blonay - Saint-Légier</v>
      </c>
      <c r="C281" s="31">
        <f>VPI!R275</f>
        <v>720090.13459854003</v>
      </c>
      <c r="D281" s="8">
        <f>Données!N275</f>
        <v>318172.55</v>
      </c>
      <c r="E281" s="171">
        <f>Données!O275+Données!P275+Données!R275</f>
        <v>6359063.3999999994</v>
      </c>
      <c r="F281" s="373">
        <f t="shared" si="14"/>
        <v>3274983.4649999999</v>
      </c>
      <c r="G281" s="373">
        <f>Ecrêtage!M275</f>
        <v>1503739.8845288267</v>
      </c>
      <c r="H281" s="374">
        <f t="shared" si="15"/>
        <v>8258372.8880296117</v>
      </c>
      <c r="I281" s="239">
        <f t="shared" si="16"/>
        <v>13037096.237558439</v>
      </c>
    </row>
    <row r="282" spans="1:9" s="35" customFormat="1" x14ac:dyDescent="0.25">
      <c r="A282" s="38">
        <f>Données!A276</f>
        <v>5902</v>
      </c>
      <c r="B282" s="404" t="str">
        <f>Données!B276</f>
        <v>Belmont-sur-Yverdon</v>
      </c>
      <c r="C282" s="31">
        <f>VPI!R276</f>
        <v>13428.751285714286</v>
      </c>
      <c r="D282" s="8">
        <f>Données!N276</f>
        <v>0</v>
      </c>
      <c r="E282" s="171">
        <f>Données!O276+Données!P276+Données!R276</f>
        <v>52628.5</v>
      </c>
      <c r="F282" s="373">
        <f t="shared" si="14"/>
        <v>26314.25</v>
      </c>
      <c r="G282" s="373">
        <f>Ecrêtage!M276</f>
        <v>0</v>
      </c>
      <c r="H282" s="374">
        <f t="shared" si="15"/>
        <v>154007.99179100501</v>
      </c>
      <c r="I282" s="239">
        <f t="shared" si="16"/>
        <v>180322.24179100501</v>
      </c>
    </row>
    <row r="283" spans="1:9" s="35" customFormat="1" x14ac:dyDescent="0.25">
      <c r="A283" s="38">
        <f>Données!A277</f>
        <v>5903</v>
      </c>
      <c r="B283" s="404" t="str">
        <f>Données!B277</f>
        <v>Bioley-Magnoux</v>
      </c>
      <c r="C283" s="31">
        <f>VPI!R277</f>
        <v>6278.7138690476195</v>
      </c>
      <c r="D283" s="8">
        <f>Données!N277</f>
        <v>31899.05</v>
      </c>
      <c r="E283" s="171">
        <f>Données!O277+Données!P277+Données!R277</f>
        <v>34206</v>
      </c>
      <c r="F283" s="373">
        <f t="shared" si="14"/>
        <v>26672.715</v>
      </c>
      <c r="G283" s="373">
        <f>Ecrêtage!M277</f>
        <v>0</v>
      </c>
      <c r="H283" s="374">
        <f t="shared" si="15"/>
        <v>72007.5972388464</v>
      </c>
      <c r="I283" s="239">
        <f t="shared" si="16"/>
        <v>98680.312238846396</v>
      </c>
    </row>
    <row r="284" spans="1:9" s="35" customFormat="1" x14ac:dyDescent="0.25">
      <c r="A284" s="38">
        <f>Données!A278</f>
        <v>5904</v>
      </c>
      <c r="B284" s="404" t="str">
        <f>Données!B278</f>
        <v>Chamblon</v>
      </c>
      <c r="C284" s="31">
        <f>VPI!R278</f>
        <v>18164.59121212121</v>
      </c>
      <c r="D284" s="8">
        <f>Données!N278</f>
        <v>36808.449999999997</v>
      </c>
      <c r="E284" s="171">
        <f>Données!O278+Données!P278+Données!R278</f>
        <v>70631.900000000009</v>
      </c>
      <c r="F284" s="373">
        <f t="shared" si="14"/>
        <v>46358.485000000001</v>
      </c>
      <c r="G284" s="373">
        <f>Ecrêtage!M278</f>
        <v>0</v>
      </c>
      <c r="H284" s="374">
        <f t="shared" si="15"/>
        <v>208321.09812468869</v>
      </c>
      <c r="I284" s="239">
        <f t="shared" si="16"/>
        <v>254679.58312468871</v>
      </c>
    </row>
    <row r="285" spans="1:9" s="35" customFormat="1" x14ac:dyDescent="0.25">
      <c r="A285" s="38">
        <f>Données!A279</f>
        <v>5905</v>
      </c>
      <c r="B285" s="404" t="str">
        <f>Données!B279</f>
        <v>Champvent</v>
      </c>
      <c r="C285" s="31">
        <f>VPI!R279</f>
        <v>22259.587285714286</v>
      </c>
      <c r="D285" s="8">
        <f>Données!N279</f>
        <v>187150.85</v>
      </c>
      <c r="E285" s="171">
        <f>Données!O279+Données!P279+Données!R279</f>
        <v>53586.55</v>
      </c>
      <c r="F285" s="373">
        <f t="shared" si="14"/>
        <v>82938.53</v>
      </c>
      <c r="G285" s="373">
        <f>Ecrêtage!M279</f>
        <v>0</v>
      </c>
      <c r="H285" s="374">
        <f t="shared" si="15"/>
        <v>255284.6696636916</v>
      </c>
      <c r="I285" s="239">
        <f t="shared" si="16"/>
        <v>338223.19966369157</v>
      </c>
    </row>
    <row r="286" spans="1:9" s="35" customFormat="1" x14ac:dyDescent="0.25">
      <c r="A286" s="38">
        <f>Données!A280</f>
        <v>5907</v>
      </c>
      <c r="B286" s="404" t="str">
        <f>Données!B280</f>
        <v>Chavannes-le-Chêne</v>
      </c>
      <c r="C286" s="31">
        <f>VPI!R280</f>
        <v>8797.9254666666657</v>
      </c>
      <c r="D286" s="8">
        <f>Données!N280</f>
        <v>6879.3</v>
      </c>
      <c r="E286" s="171">
        <f>Données!O280+Données!P280+Données!R280</f>
        <v>113114.3</v>
      </c>
      <c r="F286" s="373">
        <f t="shared" si="14"/>
        <v>58620.94</v>
      </c>
      <c r="G286" s="373">
        <f>Ecrêtage!M280</f>
        <v>0</v>
      </c>
      <c r="H286" s="374">
        <f t="shared" si="15"/>
        <v>100899.24254459099</v>
      </c>
      <c r="I286" s="239">
        <f t="shared" si="16"/>
        <v>159520.18254459099</v>
      </c>
    </row>
    <row r="287" spans="1:9" s="35" customFormat="1" x14ac:dyDescent="0.25">
      <c r="A287" s="38">
        <f>Données!A281</f>
        <v>5908</v>
      </c>
      <c r="B287" s="404" t="str">
        <f>Données!B281</f>
        <v>Chêne-Pâquier</v>
      </c>
      <c r="C287" s="31">
        <f>VPI!R281</f>
        <v>5848.7089333333342</v>
      </c>
      <c r="D287" s="8">
        <f>Données!N281</f>
        <v>680.55</v>
      </c>
      <c r="E287" s="171">
        <f>Données!O281+Données!P281+Données!R281</f>
        <v>11731.05</v>
      </c>
      <c r="F287" s="373">
        <f t="shared" si="14"/>
        <v>6069.69</v>
      </c>
      <c r="G287" s="373">
        <f>Ecrêtage!M281</f>
        <v>0</v>
      </c>
      <c r="H287" s="374">
        <f t="shared" si="15"/>
        <v>67076.07418055374</v>
      </c>
      <c r="I287" s="239">
        <f t="shared" si="16"/>
        <v>73145.764180553742</v>
      </c>
    </row>
    <row r="288" spans="1:9" s="35" customFormat="1" x14ac:dyDescent="0.25">
      <c r="A288" s="38">
        <f>Données!A282</f>
        <v>5909</v>
      </c>
      <c r="B288" s="404" t="str">
        <f>Données!B282</f>
        <v>Cheseaux-Noréaz</v>
      </c>
      <c r="C288" s="31">
        <f>VPI!R282</f>
        <v>38683.585223880604</v>
      </c>
      <c r="D288" s="8">
        <f>Données!N282</f>
        <v>10577.45</v>
      </c>
      <c r="E288" s="171">
        <f>Données!O282+Données!P282+Données!R282</f>
        <v>79355.05</v>
      </c>
      <c r="F288" s="373">
        <f t="shared" si="14"/>
        <v>42850.76</v>
      </c>
      <c r="G288" s="373">
        <f>Ecrêtage!M282</f>
        <v>28584.107198575603</v>
      </c>
      <c r="H288" s="374">
        <f t="shared" si="15"/>
        <v>443643.72746584524</v>
      </c>
      <c r="I288" s="239">
        <f t="shared" si="16"/>
        <v>515078.59466442087</v>
      </c>
    </row>
    <row r="289" spans="1:9" s="35" customFormat="1" x14ac:dyDescent="0.25">
      <c r="A289" s="38">
        <f>Données!A283</f>
        <v>5910</v>
      </c>
      <c r="B289" s="404" t="str">
        <f>Données!B283</f>
        <v>Cronay</v>
      </c>
      <c r="C289" s="31">
        <f>VPI!R283</f>
        <v>12977.456233766234</v>
      </c>
      <c r="D289" s="8">
        <f>Données!N283</f>
        <v>8449.9</v>
      </c>
      <c r="E289" s="171">
        <f>Données!O283+Données!P283+Données!R283</f>
        <v>46346.3</v>
      </c>
      <c r="F289" s="373">
        <f t="shared" si="14"/>
        <v>25708.120000000003</v>
      </c>
      <c r="G289" s="373">
        <f>Ecrêtage!M283</f>
        <v>0</v>
      </c>
      <c r="H289" s="374">
        <f t="shared" si="15"/>
        <v>148832.30246762949</v>
      </c>
      <c r="I289" s="239">
        <f t="shared" si="16"/>
        <v>174540.42246762948</v>
      </c>
    </row>
    <row r="290" spans="1:9" s="35" customFormat="1" x14ac:dyDescent="0.25">
      <c r="A290" s="38">
        <f>Données!A284</f>
        <v>5911</v>
      </c>
      <c r="B290" s="404" t="str">
        <f>Données!B284</f>
        <v>Cuarny</v>
      </c>
      <c r="C290" s="31">
        <f>VPI!R284</f>
        <v>7819.0719480519483</v>
      </c>
      <c r="D290" s="8">
        <f>Données!N284</f>
        <v>0</v>
      </c>
      <c r="E290" s="171">
        <f>Données!O284+Données!P284+Données!R284</f>
        <v>25656.6</v>
      </c>
      <c r="F290" s="373">
        <f t="shared" si="14"/>
        <v>12828.3</v>
      </c>
      <c r="G290" s="373">
        <f>Ecrêtage!M284</f>
        <v>0</v>
      </c>
      <c r="H290" s="374">
        <f t="shared" si="15"/>
        <v>89673.234894886191</v>
      </c>
      <c r="I290" s="239">
        <f t="shared" si="16"/>
        <v>102501.53489488619</v>
      </c>
    </row>
    <row r="291" spans="1:9" s="35" customFormat="1" x14ac:dyDescent="0.25">
      <c r="A291" s="38">
        <f>Données!A285</f>
        <v>5912</v>
      </c>
      <c r="B291" s="404" t="str">
        <f>Données!B285</f>
        <v>Démoret</v>
      </c>
      <c r="C291" s="31">
        <f>VPI!R285</f>
        <v>3810.8220512820521</v>
      </c>
      <c r="D291" s="8">
        <f>Données!N285</f>
        <v>9607.1</v>
      </c>
      <c r="E291" s="171">
        <f>Données!O285+Données!P285+Données!R285</f>
        <v>7778.35</v>
      </c>
      <c r="F291" s="373">
        <f t="shared" si="14"/>
        <v>6771.3050000000003</v>
      </c>
      <c r="G291" s="373">
        <f>Ecrêtage!M285</f>
        <v>0</v>
      </c>
      <c r="H291" s="374">
        <f t="shared" si="15"/>
        <v>43704.514195238495</v>
      </c>
      <c r="I291" s="239">
        <f t="shared" si="16"/>
        <v>50475.819195238495</v>
      </c>
    </row>
    <row r="292" spans="1:9" s="35" customFormat="1" x14ac:dyDescent="0.25">
      <c r="A292" s="38">
        <f>Données!A286</f>
        <v>5913</v>
      </c>
      <c r="B292" s="404" t="str">
        <f>Données!B286</f>
        <v>Donneloye</v>
      </c>
      <c r="C292" s="31">
        <f>VPI!R286</f>
        <v>21287.768493150685</v>
      </c>
      <c r="D292" s="8">
        <f>Données!N286</f>
        <v>20900.650000000001</v>
      </c>
      <c r="E292" s="171">
        <f>Données!O286+Données!P286+Données!R286</f>
        <v>153651.5</v>
      </c>
      <c r="F292" s="373">
        <f t="shared" si="14"/>
        <v>83095.945000000007</v>
      </c>
      <c r="G292" s="373">
        <f>Ecrêtage!M286</f>
        <v>0</v>
      </c>
      <c r="H292" s="374">
        <f t="shared" si="15"/>
        <v>244139.33995707188</v>
      </c>
      <c r="I292" s="239">
        <f t="shared" si="16"/>
        <v>327235.28495707188</v>
      </c>
    </row>
    <row r="293" spans="1:9" s="35" customFormat="1" x14ac:dyDescent="0.25">
      <c r="A293" s="38">
        <f>Données!A287</f>
        <v>5914</v>
      </c>
      <c r="B293" s="404" t="str">
        <f>Données!B287</f>
        <v>Ependes</v>
      </c>
      <c r="C293" s="31">
        <f>VPI!R287</f>
        <v>11289.461224489796</v>
      </c>
      <c r="D293" s="8">
        <f>Données!N287</f>
        <v>23357.15</v>
      </c>
      <c r="E293" s="171">
        <f>Données!O287+Données!P287+Données!R287</f>
        <v>33869.599999999999</v>
      </c>
      <c r="F293" s="373">
        <f t="shared" si="14"/>
        <v>23941.945</v>
      </c>
      <c r="G293" s="373">
        <f>Ecrêtage!M287</f>
        <v>0</v>
      </c>
      <c r="H293" s="374">
        <f t="shared" si="15"/>
        <v>129473.48674449837</v>
      </c>
      <c r="I293" s="239">
        <f t="shared" si="16"/>
        <v>153415.43174449838</v>
      </c>
    </row>
    <row r="294" spans="1:9" s="35" customFormat="1" x14ac:dyDescent="0.25">
      <c r="A294" s="38">
        <f>Données!A288</f>
        <v>5919</v>
      </c>
      <c r="B294" s="404" t="str">
        <f>Données!B288</f>
        <v>Mathod</v>
      </c>
      <c r="C294" s="31">
        <f>VPI!R288</f>
        <v>20397.872569444444</v>
      </c>
      <c r="D294" s="8">
        <f>Données!N288</f>
        <v>17402.3</v>
      </c>
      <c r="E294" s="171">
        <f>Données!O288+Données!P288+Données!R288</f>
        <v>139140.75</v>
      </c>
      <c r="F294" s="373">
        <f t="shared" si="14"/>
        <v>74791.065000000002</v>
      </c>
      <c r="G294" s="373">
        <f>Ecrêtage!M288</f>
        <v>0</v>
      </c>
      <c r="H294" s="374">
        <f t="shared" si="15"/>
        <v>233933.54485393397</v>
      </c>
      <c r="I294" s="239">
        <f t="shared" si="16"/>
        <v>308724.60985393397</v>
      </c>
    </row>
    <row r="295" spans="1:9" s="35" customFormat="1" x14ac:dyDescent="0.25">
      <c r="A295" s="38">
        <f>Données!A289</f>
        <v>5921</v>
      </c>
      <c r="B295" s="404" t="str">
        <f>Données!B289</f>
        <v>Molondin</v>
      </c>
      <c r="C295" s="31">
        <f>VPI!R289</f>
        <v>5454.6739506172835</v>
      </c>
      <c r="D295" s="8">
        <f>Données!N289</f>
        <v>8873.65</v>
      </c>
      <c r="E295" s="171">
        <f>Données!O289+Données!P289+Données!R289</f>
        <v>4511.7</v>
      </c>
      <c r="F295" s="373">
        <f t="shared" si="14"/>
        <v>4917.9449999999997</v>
      </c>
      <c r="G295" s="373">
        <f>Ecrêtage!M289</f>
        <v>0</v>
      </c>
      <c r="H295" s="374">
        <f t="shared" si="15"/>
        <v>62557.07348627031</v>
      </c>
      <c r="I295" s="239">
        <f t="shared" si="16"/>
        <v>67475.018486270303</v>
      </c>
    </row>
    <row r="296" spans="1:9" s="35" customFormat="1" x14ac:dyDescent="0.25">
      <c r="A296" s="38">
        <f>Données!A290</f>
        <v>5922</v>
      </c>
      <c r="B296" s="404" t="str">
        <f>Données!B290</f>
        <v>Montagny-près-Yverdon</v>
      </c>
      <c r="C296" s="31">
        <f>VPI!R290</f>
        <v>39914.464612403099</v>
      </c>
      <c r="D296" s="8">
        <f>Données!N290</f>
        <v>408418.55</v>
      </c>
      <c r="E296" s="171">
        <f>Données!O290+Données!P290+Données!R290</f>
        <v>99303.55</v>
      </c>
      <c r="F296" s="373">
        <f t="shared" si="14"/>
        <v>172177.34</v>
      </c>
      <c r="G296" s="373">
        <f>Ecrêtage!M290</f>
        <v>19150.917890047211</v>
      </c>
      <c r="H296" s="374">
        <f t="shared" si="15"/>
        <v>457760.10051722132</v>
      </c>
      <c r="I296" s="239">
        <f t="shared" si="16"/>
        <v>649088.35840726853</v>
      </c>
    </row>
    <row r="297" spans="1:9" s="35" customFormat="1" x14ac:dyDescent="0.25">
      <c r="A297" s="38">
        <f>Données!A291</f>
        <v>5923</v>
      </c>
      <c r="B297" s="404" t="str">
        <f>Données!B291</f>
        <v>Oppens</v>
      </c>
      <c r="C297" s="31">
        <f>VPI!R291</f>
        <v>6126.7193827160499</v>
      </c>
      <c r="D297" s="8">
        <f>Données!N291</f>
        <v>33509.599999999999</v>
      </c>
      <c r="E297" s="171">
        <f>Données!O291+Données!P291+Données!R291</f>
        <v>2.2000000000000002</v>
      </c>
      <c r="F297" s="373">
        <f t="shared" si="14"/>
        <v>10053.98</v>
      </c>
      <c r="G297" s="373">
        <f>Ecrêtage!M291</f>
        <v>0</v>
      </c>
      <c r="H297" s="374">
        <f t="shared" si="15"/>
        <v>70264.444424024929</v>
      </c>
      <c r="I297" s="239">
        <f t="shared" si="16"/>
        <v>80318.424424024925</v>
      </c>
    </row>
    <row r="298" spans="1:9" s="35" customFormat="1" x14ac:dyDescent="0.25">
      <c r="A298" s="38">
        <f>Données!A292</f>
        <v>5924</v>
      </c>
      <c r="B298" s="404" t="str">
        <f>Données!B292</f>
        <v>Orges</v>
      </c>
      <c r="C298" s="31">
        <f>VPI!R292</f>
        <v>12401.843648648648</v>
      </c>
      <c r="D298" s="8">
        <f>Données!N292</f>
        <v>10613.3</v>
      </c>
      <c r="E298" s="171">
        <f>Données!O292+Données!P292+Données!R292</f>
        <v>47115.199999999997</v>
      </c>
      <c r="F298" s="373">
        <f t="shared" si="14"/>
        <v>26741.589999999997</v>
      </c>
      <c r="G298" s="373">
        <f>Ecrêtage!M292</f>
        <v>0</v>
      </c>
      <c r="H298" s="374">
        <f t="shared" si="15"/>
        <v>142230.8742039387</v>
      </c>
      <c r="I298" s="239">
        <f t="shared" si="16"/>
        <v>168972.4642039387</v>
      </c>
    </row>
    <row r="299" spans="1:9" s="35" customFormat="1" x14ac:dyDescent="0.25">
      <c r="A299" s="38">
        <f>Données!A293</f>
        <v>5925</v>
      </c>
      <c r="B299" s="404" t="str">
        <f>Données!B293</f>
        <v>Orzens</v>
      </c>
      <c r="C299" s="31">
        <f>VPI!R293</f>
        <v>5858.6327848101273</v>
      </c>
      <c r="D299" s="8">
        <f>Données!N293</f>
        <v>0</v>
      </c>
      <c r="E299" s="171">
        <f>Données!O293+Données!P293+Données!R293</f>
        <v>107346.2</v>
      </c>
      <c r="F299" s="373">
        <f t="shared" si="14"/>
        <v>53673.1</v>
      </c>
      <c r="G299" s="373">
        <f>Ecrêtage!M293</f>
        <v>0</v>
      </c>
      <c r="H299" s="374">
        <f t="shared" si="15"/>
        <v>67189.886135534165</v>
      </c>
      <c r="I299" s="239">
        <f t="shared" si="16"/>
        <v>120862.98613553416</v>
      </c>
    </row>
    <row r="300" spans="1:9" s="35" customFormat="1" x14ac:dyDescent="0.25">
      <c r="A300" s="38">
        <f>Données!A294</f>
        <v>5926</v>
      </c>
      <c r="B300" s="404" t="str">
        <f>Données!B294</f>
        <v>Pomy</v>
      </c>
      <c r="C300" s="31">
        <f>VPI!R294</f>
        <v>27254.567042253519</v>
      </c>
      <c r="D300" s="8">
        <f>Données!N294</f>
        <v>20250.95</v>
      </c>
      <c r="E300" s="171">
        <f>Données!O294+Données!P294+Données!R294</f>
        <v>109902.95</v>
      </c>
      <c r="F300" s="373">
        <f t="shared" si="14"/>
        <v>61026.759999999995</v>
      </c>
      <c r="G300" s="373">
        <f>Ecrêtage!M294</f>
        <v>0</v>
      </c>
      <c r="H300" s="374">
        <f t="shared" si="15"/>
        <v>312569.72804135986</v>
      </c>
      <c r="I300" s="239">
        <f t="shared" si="16"/>
        <v>373596.48804135987</v>
      </c>
    </row>
    <row r="301" spans="1:9" s="35" customFormat="1" x14ac:dyDescent="0.25">
      <c r="A301" s="38">
        <f>Données!A295</f>
        <v>5928</v>
      </c>
      <c r="B301" s="404" t="str">
        <f>Données!B295</f>
        <v>Rovray</v>
      </c>
      <c r="C301" s="31">
        <f>VPI!R295</f>
        <v>5477.1420547945208</v>
      </c>
      <c r="D301" s="8">
        <f>Données!N295</f>
        <v>15512.05</v>
      </c>
      <c r="E301" s="171">
        <f>Données!O295+Données!P295+Données!R295</f>
        <v>13440.599999999999</v>
      </c>
      <c r="F301" s="373">
        <f t="shared" si="14"/>
        <v>11373.914999999999</v>
      </c>
      <c r="G301" s="373">
        <f>Ecrêtage!M295</f>
        <v>0</v>
      </c>
      <c r="H301" s="374">
        <f t="shared" si="15"/>
        <v>62814.749537458221</v>
      </c>
      <c r="I301" s="239">
        <f t="shared" si="16"/>
        <v>74188.664537458215</v>
      </c>
    </row>
    <row r="302" spans="1:9" s="35" customFormat="1" x14ac:dyDescent="0.25">
      <c r="A302" s="38">
        <f>Données!A296</f>
        <v>5929</v>
      </c>
      <c r="B302" s="404" t="str">
        <f>Données!B296</f>
        <v>Suchy</v>
      </c>
      <c r="C302" s="31">
        <f>VPI!R296</f>
        <v>22233.767642857143</v>
      </c>
      <c r="D302" s="8">
        <f>Données!N296</f>
        <v>20869.599999999999</v>
      </c>
      <c r="E302" s="171">
        <f>Données!O296+Données!P296+Données!R296</f>
        <v>203822.40000000002</v>
      </c>
      <c r="F302" s="373">
        <f t="shared" si="14"/>
        <v>108172.08000000002</v>
      </c>
      <c r="G302" s="373">
        <f>Ecrêtage!M296</f>
        <v>0</v>
      </c>
      <c r="H302" s="374">
        <f t="shared" si="15"/>
        <v>254988.55640188596</v>
      </c>
      <c r="I302" s="239">
        <f t="shared" si="16"/>
        <v>363160.636401886</v>
      </c>
    </row>
    <row r="303" spans="1:9" s="35" customFormat="1" x14ac:dyDescent="0.25">
      <c r="A303" s="38">
        <f>Données!A297</f>
        <v>5930</v>
      </c>
      <c r="B303" s="404" t="str">
        <f>Données!B297</f>
        <v>Suscévaz</v>
      </c>
      <c r="C303" s="31">
        <f>VPI!R297</f>
        <v>6011.7318055555552</v>
      </c>
      <c r="D303" s="8">
        <f>Données!N297</f>
        <v>0</v>
      </c>
      <c r="E303" s="171">
        <f>Données!O297+Données!P297+Données!R297</f>
        <v>75623.45</v>
      </c>
      <c r="F303" s="373">
        <f t="shared" si="14"/>
        <v>37811.724999999999</v>
      </c>
      <c r="G303" s="373">
        <f>Ecrêtage!M297</f>
        <v>0</v>
      </c>
      <c r="H303" s="374">
        <f t="shared" si="15"/>
        <v>68945.706332699934</v>
      </c>
      <c r="I303" s="239">
        <f t="shared" si="16"/>
        <v>106757.43133269993</v>
      </c>
    </row>
    <row r="304" spans="1:9" s="35" customFormat="1" x14ac:dyDescent="0.25">
      <c r="A304" s="38">
        <f>Données!A298</f>
        <v>5931</v>
      </c>
      <c r="B304" s="404" t="str">
        <f>Données!B298</f>
        <v>Treycovagnes</v>
      </c>
      <c r="C304" s="31">
        <f>VPI!R298</f>
        <v>16173.396575342462</v>
      </c>
      <c r="D304" s="8">
        <f>Données!N298</f>
        <v>13942.2</v>
      </c>
      <c r="E304" s="171">
        <f>Données!O298+Données!P298+Données!R298</f>
        <v>137578.15000000002</v>
      </c>
      <c r="F304" s="373">
        <f t="shared" si="14"/>
        <v>72971.735000000015</v>
      </c>
      <c r="G304" s="373">
        <f>Ecrêtage!M298</f>
        <v>0</v>
      </c>
      <c r="H304" s="374">
        <f t="shared" si="15"/>
        <v>185485.02939791555</v>
      </c>
      <c r="I304" s="239">
        <f t="shared" si="16"/>
        <v>258456.76439791557</v>
      </c>
    </row>
    <row r="305" spans="1:9" s="35" customFormat="1" x14ac:dyDescent="0.25">
      <c r="A305" s="38">
        <f>Données!A299</f>
        <v>5932</v>
      </c>
      <c r="B305" s="404" t="str">
        <f>Données!B299</f>
        <v>Ursins</v>
      </c>
      <c r="C305" s="31">
        <f>VPI!R299</f>
        <v>8679.1289333333334</v>
      </c>
      <c r="D305" s="8">
        <f>Données!N299</f>
        <v>0</v>
      </c>
      <c r="E305" s="171">
        <f>Données!O299+Données!P299+Données!R299</f>
        <v>33346.75</v>
      </c>
      <c r="F305" s="373">
        <f t="shared" si="14"/>
        <v>16673.375</v>
      </c>
      <c r="G305" s="373">
        <f>Ecrêtage!M299</f>
        <v>0</v>
      </c>
      <c r="H305" s="374">
        <f t="shared" si="15"/>
        <v>99536.821337947389</v>
      </c>
      <c r="I305" s="239">
        <f t="shared" si="16"/>
        <v>116210.19633794739</v>
      </c>
    </row>
    <row r="306" spans="1:9" s="35" customFormat="1" x14ac:dyDescent="0.25">
      <c r="A306" s="38">
        <f>Données!A300</f>
        <v>5933</v>
      </c>
      <c r="B306" s="404" t="str">
        <f>Données!B300</f>
        <v>Valeyres-sous-Montagny</v>
      </c>
      <c r="C306" s="31">
        <f>VPI!R300</f>
        <v>22762.97602836879</v>
      </c>
      <c r="D306" s="8">
        <f>Données!N300</f>
        <v>16921.3</v>
      </c>
      <c r="E306" s="171">
        <f>Données!O300+Données!P300+Données!R300</f>
        <v>142206.70000000001</v>
      </c>
      <c r="F306" s="373">
        <f t="shared" si="14"/>
        <v>76179.740000000005</v>
      </c>
      <c r="G306" s="373">
        <f>Ecrêtage!M300</f>
        <v>0</v>
      </c>
      <c r="H306" s="374">
        <f t="shared" si="15"/>
        <v>261057.79686643402</v>
      </c>
      <c r="I306" s="239">
        <f t="shared" si="16"/>
        <v>337237.53686643403</v>
      </c>
    </row>
    <row r="307" spans="1:9" s="35" customFormat="1" x14ac:dyDescent="0.25">
      <c r="A307" s="38">
        <f>Données!A301</f>
        <v>5934</v>
      </c>
      <c r="B307" s="404" t="str">
        <f>Données!B301</f>
        <v>Valeyres-sous-Ursins</v>
      </c>
      <c r="C307" s="31">
        <f>VPI!R301</f>
        <v>7483.0151948051935</v>
      </c>
      <c r="D307" s="8">
        <f>Données!N301</f>
        <v>4144.3999999999996</v>
      </c>
      <c r="E307" s="171">
        <f>Données!O301+Données!P301+Données!R301</f>
        <v>39212.65</v>
      </c>
      <c r="F307" s="373">
        <f t="shared" si="14"/>
        <v>20849.645</v>
      </c>
      <c r="G307" s="373">
        <f>Ecrêtage!M301</f>
        <v>0</v>
      </c>
      <c r="H307" s="374">
        <f t="shared" si="15"/>
        <v>85819.159069504254</v>
      </c>
      <c r="I307" s="239">
        <f t="shared" si="16"/>
        <v>106668.80406950426</v>
      </c>
    </row>
    <row r="308" spans="1:9" s="35" customFormat="1" x14ac:dyDescent="0.25">
      <c r="A308" s="38">
        <f>Données!A302</f>
        <v>5935</v>
      </c>
      <c r="B308" s="404" t="str">
        <f>Données!B302</f>
        <v>Villars-Epeney</v>
      </c>
      <c r="C308" s="31">
        <f>VPI!R302</f>
        <v>4091.4220588235289</v>
      </c>
      <c r="D308" s="8">
        <f>Données!N302</f>
        <v>0</v>
      </c>
      <c r="E308" s="171">
        <f>Données!O302+Données!P302+Données!R302</f>
        <v>43376</v>
      </c>
      <c r="F308" s="373">
        <f t="shared" si="14"/>
        <v>21688</v>
      </c>
      <c r="G308" s="373">
        <f>Ecrêtage!M302</f>
        <v>0</v>
      </c>
      <c r="H308" s="374">
        <f t="shared" si="15"/>
        <v>46922.582855425542</v>
      </c>
      <c r="I308" s="239">
        <f t="shared" si="16"/>
        <v>68610.582855425542</v>
      </c>
    </row>
    <row r="309" spans="1:9" s="35" customFormat="1" x14ac:dyDescent="0.25">
      <c r="A309" s="38">
        <f>Données!A303</f>
        <v>5937</v>
      </c>
      <c r="B309" s="404" t="str">
        <f>Données!B303</f>
        <v>Vugelles-La Mothe</v>
      </c>
      <c r="C309" s="31">
        <f>VPI!R303</f>
        <v>3794.0157959183671</v>
      </c>
      <c r="D309" s="8">
        <f>Données!N303</f>
        <v>4824.25</v>
      </c>
      <c r="E309" s="171">
        <f>Données!O303+Données!P303+Données!R303</f>
        <v>8797.1</v>
      </c>
      <c r="F309" s="373">
        <f t="shared" si="14"/>
        <v>5845.8249999999998</v>
      </c>
      <c r="G309" s="373">
        <f>Ecrêtage!M303</f>
        <v>0</v>
      </c>
      <c r="H309" s="374">
        <f t="shared" si="15"/>
        <v>43511.771207970465</v>
      </c>
      <c r="I309" s="239">
        <f t="shared" si="16"/>
        <v>49357.596207970462</v>
      </c>
    </row>
    <row r="310" spans="1:9" s="35" customFormat="1" x14ac:dyDescent="0.25">
      <c r="A310" s="38">
        <f>Données!A304</f>
        <v>5938</v>
      </c>
      <c r="B310" s="404" t="str">
        <f>Données!B304</f>
        <v>Yverdon-les-Bains</v>
      </c>
      <c r="C310" s="31">
        <f>VPI!R304</f>
        <v>793682.36159999971</v>
      </c>
      <c r="D310" s="8">
        <f>Données!N304</f>
        <v>6019770.8499999996</v>
      </c>
      <c r="E310" s="171">
        <f>Données!O304+Données!P304+Données!R304</f>
        <v>6940775.4500000002</v>
      </c>
      <c r="F310" s="373">
        <f t="shared" si="14"/>
        <v>5276318.9800000004</v>
      </c>
      <c r="G310" s="373">
        <f>Ecrêtage!M304</f>
        <v>0</v>
      </c>
      <c r="H310" s="374">
        <f t="shared" si="15"/>
        <v>9102367.3035028987</v>
      </c>
      <c r="I310" s="239">
        <f t="shared" si="16"/>
        <v>14378686.283502899</v>
      </c>
    </row>
    <row r="311" spans="1:9" s="35" customFormat="1" x14ac:dyDescent="0.25">
      <c r="A311" s="39">
        <f>Données!A305</f>
        <v>5939</v>
      </c>
      <c r="B311" s="405" t="str">
        <f>Données!B305</f>
        <v>Yvonand</v>
      </c>
      <c r="C311" s="31">
        <f>VPI!R305</f>
        <v>96283.364335664344</v>
      </c>
      <c r="D311" s="8">
        <f>Données!N305</f>
        <v>217734.75</v>
      </c>
      <c r="E311" s="171">
        <f>Données!O305+Données!P305+Données!R305</f>
        <v>436625.4</v>
      </c>
      <c r="F311" s="373">
        <f t="shared" si="14"/>
        <v>283633.125</v>
      </c>
      <c r="G311" s="373">
        <f>Ecrêtage!M305</f>
        <v>0</v>
      </c>
      <c r="H311" s="374">
        <f t="shared" si="15"/>
        <v>1104228.3283622975</v>
      </c>
      <c r="I311" s="239">
        <f t="shared" si="16"/>
        <v>1387861.4533622975</v>
      </c>
    </row>
    <row r="312" spans="1:9" x14ac:dyDescent="0.25">
      <c r="A312" s="25"/>
      <c r="B312" s="132">
        <f>COUNTA(B12:B311)</f>
        <v>300</v>
      </c>
      <c r="C312" s="9">
        <f>SUM(C12:C311)</f>
        <v>41857577.09593945</v>
      </c>
      <c r="D312" s="74">
        <f>SUM(D12:D311)</f>
        <v>95967967.659999996</v>
      </c>
      <c r="E312" s="9">
        <f>SUM(E12:E311)</f>
        <v>288807584.94999993</v>
      </c>
      <c r="F312" s="401">
        <f t="shared" ref="F312" si="17">D312*$D$11+E312*$E$11</f>
        <v>173194182.77299997</v>
      </c>
      <c r="G312" s="401">
        <f>SUM(G12:G311)</f>
        <v>139692986.4381198</v>
      </c>
      <c r="H312" s="402">
        <f>SUM(H12:H311)</f>
        <v>480044737.78888035</v>
      </c>
      <c r="I312" s="245">
        <f>SUM(I12:I311)</f>
        <v>792931907.00000012</v>
      </c>
    </row>
    <row r="313" spans="1:9" x14ac:dyDescent="0.25">
      <c r="C313" s="52"/>
      <c r="D313" s="52"/>
      <c r="E313" s="52"/>
      <c r="F313" s="52"/>
    </row>
    <row r="314" spans="1:9" x14ac:dyDescent="0.25">
      <c r="A314" s="53"/>
      <c r="B314" s="54"/>
      <c r="C314" s="408"/>
      <c r="D314" s="35"/>
      <c r="E314" s="55"/>
      <c r="F314" s="14"/>
      <c r="G314" s="14"/>
      <c r="H314" s="14"/>
      <c r="I314" s="14"/>
    </row>
    <row r="315" spans="1:9" x14ac:dyDescent="0.25">
      <c r="F315" s="53"/>
      <c r="G315" s="53"/>
      <c r="H315" s="53"/>
      <c r="I315" s="53"/>
    </row>
    <row r="316" spans="1:9" x14ac:dyDescent="0.25">
      <c r="F316" s="54"/>
      <c r="G316" s="53"/>
      <c r="H316" s="53"/>
      <c r="I316" s="53"/>
    </row>
    <row r="317" spans="1:9" x14ac:dyDescent="0.25">
      <c r="F317" s="54"/>
      <c r="G317" s="53"/>
      <c r="H317" s="53"/>
      <c r="I317" s="53"/>
    </row>
    <row r="318" spans="1:9" x14ac:dyDescent="0.25">
      <c r="F318" s="54"/>
      <c r="G318" s="53"/>
      <c r="H318" s="53"/>
      <c r="I318" s="53"/>
    </row>
    <row r="319" spans="1:9" x14ac:dyDescent="0.25">
      <c r="F319" s="57"/>
      <c r="G319" s="53"/>
      <c r="H319" s="53"/>
      <c r="I319" s="53"/>
    </row>
    <row r="320" spans="1:9" x14ac:dyDescent="0.25">
      <c r="D320" s="15"/>
      <c r="E320" s="53"/>
      <c r="F320" s="53"/>
      <c r="G320" s="53"/>
      <c r="H320" s="53"/>
      <c r="I320" s="53"/>
    </row>
    <row r="321" spans="3:9" x14ac:dyDescent="0.25">
      <c r="C321" s="45"/>
      <c r="E321" s="53"/>
      <c r="F321" s="53"/>
      <c r="G321" s="53"/>
      <c r="H321" s="53"/>
      <c r="I321" s="53"/>
    </row>
    <row r="322" spans="3:9" x14ac:dyDescent="0.25">
      <c r="E322" s="53"/>
      <c r="F322" s="53"/>
      <c r="G322" s="53"/>
      <c r="H322" s="53"/>
      <c r="I322" s="53"/>
    </row>
    <row r="323" spans="3:9" x14ac:dyDescent="0.25">
      <c r="E323" s="53"/>
      <c r="F323" s="53"/>
      <c r="G323" s="53"/>
      <c r="H323" s="53"/>
      <c r="I323" s="53"/>
    </row>
    <row r="324" spans="3:9" x14ac:dyDescent="0.25">
      <c r="E324" s="53"/>
      <c r="F324" s="53"/>
      <c r="G324" s="53"/>
      <c r="H324" s="53"/>
      <c r="I324" s="53"/>
    </row>
  </sheetData>
  <sheetProtection sheet="1" objects="1" scenarios="1"/>
  <mergeCells count="11">
    <mergeCell ref="A4:C4"/>
    <mergeCell ref="A10:A11"/>
    <mergeCell ref="I10:I11"/>
    <mergeCell ref="G10:G11"/>
    <mergeCell ref="F10:F11"/>
    <mergeCell ref="C10:C11"/>
    <mergeCell ref="B10:B11"/>
    <mergeCell ref="A5:B5"/>
    <mergeCell ref="A6:B6"/>
    <mergeCell ref="A7:B7"/>
    <mergeCell ref="A8:B8"/>
  </mergeCells>
  <phoneticPr fontId="0" type="noConversion"/>
  <hyperlinks>
    <hyperlink ref="E1" location="VPI!A1" display="← Précédent" xr:uid="{BB8ECA03-C04E-4697-B3DD-619E0FB40F67}"/>
    <hyperlink ref="F1" location="'Table des matières'!A1" display="Table des             matières" xr:uid="{54975323-3646-4DA1-AA62-F5E15D2A8645}"/>
    <hyperlink ref="G1" location="Ecrêtage!A1" display="Suivant →" xr:uid="{6AA66BEC-28C4-4E9D-9CB2-8418588B3BDC}"/>
  </hyperlinks>
  <printOptions horizontalCentered="1"/>
  <pageMargins left="0" right="0" top="0" bottom="0" header="0.51181102362204722" footer="0.51181102362204722"/>
  <pageSetup paperSize="9" scale="73" orientation="portrait" horizontalDpi="4294967292" verticalDpi="4294967292"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theme="5" tint="0.79998168889431442"/>
  </sheetPr>
  <dimension ref="A1:T312"/>
  <sheetViews>
    <sheetView workbookViewId="0">
      <pane ySplit="5" topLeftCell="A297" activePane="bottomLeft" state="frozen"/>
      <selection pane="bottomLeft" activeCell="E306" sqref="E306"/>
    </sheetView>
  </sheetViews>
  <sheetFormatPr baseColWidth="10" defaultColWidth="11" defaultRowHeight="15" x14ac:dyDescent="0.25"/>
  <cols>
    <col min="1" max="1" width="8.75" style="11" customWidth="1"/>
    <col min="2" max="2" width="23.625" style="11" customWidth="1"/>
    <col min="3" max="3" width="16.75" style="284" customWidth="1"/>
    <col min="4" max="4" width="11" style="11" customWidth="1"/>
    <col min="5" max="5" width="14.125" style="11" customWidth="1"/>
    <col min="6" max="6" width="10.875" style="45" customWidth="1"/>
    <col min="7" max="10" width="7" style="11" bestFit="1" customWidth="1"/>
    <col min="11" max="11" width="6.5" style="11" customWidth="1"/>
    <col min="12" max="12" width="9.625" style="11" customWidth="1"/>
    <col min="13" max="13" width="10.75" style="10" bestFit="1" customWidth="1"/>
    <col min="14" max="14" width="3.75" style="146" customWidth="1"/>
    <col min="15" max="15" width="12.625" style="146" customWidth="1"/>
    <col min="16" max="17" width="11" style="146" customWidth="1"/>
    <col min="18" max="18" width="11.25" style="146" customWidth="1"/>
    <col min="19" max="19" width="11" style="11"/>
    <col min="20" max="20" width="5.875" style="11" customWidth="1"/>
    <col min="21" max="16384" width="11" style="11"/>
  </cols>
  <sheetData>
    <row r="1" spans="1:20" s="205" customFormat="1" ht="29.1" customHeight="1" x14ac:dyDescent="0.4">
      <c r="A1" s="203" t="s">
        <v>533</v>
      </c>
      <c r="B1" s="204"/>
      <c r="C1" s="308" t="s">
        <v>402</v>
      </c>
      <c r="D1" s="233" t="s">
        <v>478</v>
      </c>
      <c r="E1" s="372" t="s">
        <v>403</v>
      </c>
      <c r="N1" s="206"/>
      <c r="O1" s="282"/>
      <c r="P1" s="280"/>
      <c r="Q1" s="280"/>
      <c r="R1" s="280"/>
      <c r="S1" s="280"/>
    </row>
    <row r="2" spans="1:20" s="156" customFormat="1" ht="15.75" customHeight="1" x14ac:dyDescent="0.25">
      <c r="A2" s="272" t="str">
        <f>Paramètres!B4</f>
        <v>Décompte 2023</v>
      </c>
      <c r="B2" s="32"/>
      <c r="C2" s="283"/>
      <c r="D2" s="33"/>
      <c r="E2" s="33"/>
      <c r="F2" s="44"/>
      <c r="M2" s="10"/>
      <c r="N2" s="172"/>
      <c r="O2" s="280"/>
      <c r="P2" s="280"/>
      <c r="Q2" s="280"/>
      <c r="R2" s="280"/>
      <c r="S2" s="280"/>
    </row>
    <row r="3" spans="1:20" ht="15" customHeight="1" x14ac:dyDescent="0.25">
      <c r="G3" s="243">
        <f>$E$306*G5</f>
        <v>49.459327328320292</v>
      </c>
      <c r="H3" s="243">
        <f>$E$306*H5</f>
        <v>59.351192793984346</v>
      </c>
      <c r="I3" s="243">
        <f>$E$306*I5</f>
        <v>74.188990992480441</v>
      </c>
      <c r="J3" s="243">
        <f>$E$306*J5</f>
        <v>98.918654656640584</v>
      </c>
      <c r="K3" s="243">
        <f>$E$306*K5</f>
        <v>148.37798198496088</v>
      </c>
      <c r="O3" s="280"/>
      <c r="P3" s="280"/>
      <c r="Q3" s="280"/>
      <c r="R3" s="280"/>
      <c r="S3" s="280"/>
      <c r="T3" s="156"/>
    </row>
    <row r="4" spans="1:20" ht="37.5" customHeight="1" x14ac:dyDescent="0.25">
      <c r="A4" s="734" t="s">
        <v>44</v>
      </c>
      <c r="B4" s="734" t="s">
        <v>84</v>
      </c>
      <c r="C4" s="752" t="s">
        <v>420</v>
      </c>
      <c r="D4" s="753"/>
      <c r="E4" s="754"/>
      <c r="F4" s="750" t="s">
        <v>248</v>
      </c>
      <c r="G4" s="240">
        <f>Paramètres!B24</f>
        <v>0.2</v>
      </c>
      <c r="H4" s="240">
        <f>Paramètres!C24</f>
        <v>0.3</v>
      </c>
      <c r="I4" s="240">
        <f>Paramètres!D24</f>
        <v>0.4</v>
      </c>
      <c r="J4" s="240">
        <f>Paramètres!E24</f>
        <v>0.5</v>
      </c>
      <c r="K4" s="240">
        <f>Paramètres!F24</f>
        <v>0.6</v>
      </c>
      <c r="L4" s="750" t="s">
        <v>251</v>
      </c>
      <c r="M4" s="750" t="s">
        <v>553</v>
      </c>
      <c r="O4" s="280"/>
      <c r="P4" s="280"/>
      <c r="Q4" s="280"/>
      <c r="R4" s="280"/>
      <c r="S4" s="280"/>
      <c r="T4" s="280"/>
    </row>
    <row r="5" spans="1:20" ht="37.5" customHeight="1" x14ac:dyDescent="0.25">
      <c r="A5" s="740"/>
      <c r="B5" s="740"/>
      <c r="C5" s="241" t="s">
        <v>409</v>
      </c>
      <c r="D5" s="241" t="s">
        <v>257</v>
      </c>
      <c r="E5" s="241" t="s">
        <v>480</v>
      </c>
      <c r="F5" s="750"/>
      <c r="G5" s="242">
        <f>Paramètres!B25</f>
        <v>1</v>
      </c>
      <c r="H5" s="242">
        <f>Paramètres!C25</f>
        <v>1.2</v>
      </c>
      <c r="I5" s="242">
        <f>Paramètres!D25</f>
        <v>1.5</v>
      </c>
      <c r="J5" s="242">
        <f>Paramètres!E25</f>
        <v>2</v>
      </c>
      <c r="K5" s="242">
        <f>Paramètres!F25</f>
        <v>3</v>
      </c>
      <c r="L5" s="751"/>
      <c r="M5" s="750"/>
      <c r="O5" s="280"/>
      <c r="P5" s="280"/>
      <c r="Q5" s="280"/>
      <c r="R5" s="280"/>
      <c r="S5" s="280"/>
      <c r="T5" s="280"/>
    </row>
    <row r="6" spans="1:20" x14ac:dyDescent="0.25">
      <c r="A6" s="67">
        <f>Données!A6</f>
        <v>5401</v>
      </c>
      <c r="B6" s="131" t="str">
        <f>Données!B6</f>
        <v>Aigle</v>
      </c>
      <c r="C6" s="285">
        <f>VPI!R6</f>
        <v>293879.84888888896</v>
      </c>
      <c r="D6" s="27">
        <f>Données!Z6</f>
        <v>11437</v>
      </c>
      <c r="E6" s="88">
        <f>C6/D6</f>
        <v>25.695536319741972</v>
      </c>
      <c r="F6" s="145">
        <f>E6/$E$306</f>
        <v>0.51952862498857255</v>
      </c>
      <c r="G6" s="376">
        <f t="shared" ref="G6" si="0">IF(E6-$G$3&lt;0,0,E6-$G$3)</f>
        <v>0</v>
      </c>
      <c r="H6" s="376">
        <f t="shared" ref="H6" si="1">IF(E6-$H$3&lt;0,0,E6-$H$3)</f>
        <v>0</v>
      </c>
      <c r="I6" s="376">
        <f t="shared" ref="I6" si="2">IF(E6-$I$3&lt;0,0,E6-$I$3)</f>
        <v>0</v>
      </c>
      <c r="J6" s="376">
        <f t="shared" ref="J6" si="3">IF(E6-$J$3&lt;0,0,E6-$J$3)</f>
        <v>0</v>
      </c>
      <c r="K6" s="376">
        <f t="shared" ref="K6" si="4">IF(E6-$K$3&lt;0,0,E6-$K$3)</f>
        <v>0</v>
      </c>
      <c r="L6" s="377">
        <f>(G6-H6)*$G$4+(H6-I6)*$H$4+(I6-J6)*$I$4+(J6-K6)*$J$4+(K6*$K$4)</f>
        <v>0</v>
      </c>
      <c r="M6" s="244">
        <f>L6*D6*VPI!Q6</f>
        <v>0</v>
      </c>
    </row>
    <row r="7" spans="1:20" x14ac:dyDescent="0.25">
      <c r="A7" s="130">
        <f>Données!A7</f>
        <v>5402</v>
      </c>
      <c r="B7" s="27" t="str">
        <f>Données!B7</f>
        <v>Bex</v>
      </c>
      <c r="C7" s="285">
        <f>VPI!R7</f>
        <v>202698.13549295775</v>
      </c>
      <c r="D7" s="27">
        <f>Données!Z7</f>
        <v>8508</v>
      </c>
      <c r="E7" s="88">
        <f t="shared" ref="E7:E70" si="5">C7/D7</f>
        <v>23.82441648953429</v>
      </c>
      <c r="F7" s="145">
        <f t="shared" ref="F7:F70" si="6">E7/$E$306</f>
        <v>0.48169713937642833</v>
      </c>
      <c r="G7" s="376">
        <f t="shared" ref="G7:G70" si="7">IF(E7-$G$3&lt;0,0,E7-$G$3)</f>
        <v>0</v>
      </c>
      <c r="H7" s="376">
        <f t="shared" ref="H7:H70" si="8">IF(E7-$H$3&lt;0,0,E7-$H$3)</f>
        <v>0</v>
      </c>
      <c r="I7" s="376">
        <f t="shared" ref="I7:I70" si="9">IF(E7-$I$3&lt;0,0,E7-$I$3)</f>
        <v>0</v>
      </c>
      <c r="J7" s="376">
        <f t="shared" ref="J7:J70" si="10">IF(E7-$J$3&lt;0,0,E7-$J$3)</f>
        <v>0</v>
      </c>
      <c r="K7" s="376">
        <f t="shared" ref="K7:K70" si="11">IF(E7-$K$3&lt;0,0,E7-$K$3)</f>
        <v>0</v>
      </c>
      <c r="L7" s="378">
        <f t="shared" ref="L7:L70" si="12">(G7-H7)*$G$4+(H7-I7)*$H$4+(I7-J7)*$I$4+(J7-K7)*$J$4+(K7*$K$4)</f>
        <v>0</v>
      </c>
      <c r="M7" s="244">
        <f>L7*D7*VPI!Q7</f>
        <v>0</v>
      </c>
    </row>
    <row r="8" spans="1:20" x14ac:dyDescent="0.25">
      <c r="A8" s="130">
        <f>Données!A8</f>
        <v>5403</v>
      </c>
      <c r="B8" s="27" t="str">
        <f>Données!B8</f>
        <v>Chessel</v>
      </c>
      <c r="C8" s="285">
        <f>VPI!R8</f>
        <v>13180.672769230767</v>
      </c>
      <c r="D8" s="27">
        <f>Données!Z8</f>
        <v>519</v>
      </c>
      <c r="E8" s="88">
        <f t="shared" si="5"/>
        <v>25.3962866459167</v>
      </c>
      <c r="F8" s="145">
        <f t="shared" si="6"/>
        <v>0.51347820558357748</v>
      </c>
      <c r="G8" s="376">
        <f t="shared" si="7"/>
        <v>0</v>
      </c>
      <c r="H8" s="376">
        <f t="shared" si="8"/>
        <v>0</v>
      </c>
      <c r="I8" s="376">
        <f t="shared" si="9"/>
        <v>0</v>
      </c>
      <c r="J8" s="376">
        <f t="shared" si="10"/>
        <v>0</v>
      </c>
      <c r="K8" s="376">
        <f t="shared" si="11"/>
        <v>0</v>
      </c>
      <c r="L8" s="378">
        <f t="shared" si="12"/>
        <v>0</v>
      </c>
      <c r="M8" s="244">
        <f>L8*D8*VPI!Q8</f>
        <v>0</v>
      </c>
    </row>
    <row r="9" spans="1:20" x14ac:dyDescent="0.25">
      <c r="A9" s="130">
        <f>Données!A9</f>
        <v>5404</v>
      </c>
      <c r="B9" s="27" t="str">
        <f>Données!B9</f>
        <v>Corbeyrier</v>
      </c>
      <c r="C9" s="285">
        <f>VPI!R9</f>
        <v>10656.798108108109</v>
      </c>
      <c r="D9" s="27">
        <f>Données!Z9</f>
        <v>464</v>
      </c>
      <c r="E9" s="88">
        <f t="shared" si="5"/>
        <v>22.96723730195713</v>
      </c>
      <c r="F9" s="145">
        <f t="shared" si="6"/>
        <v>0.46436614775401819</v>
      </c>
      <c r="G9" s="376">
        <f t="shared" si="7"/>
        <v>0</v>
      </c>
      <c r="H9" s="376">
        <f t="shared" si="8"/>
        <v>0</v>
      </c>
      <c r="I9" s="376">
        <f t="shared" si="9"/>
        <v>0</v>
      </c>
      <c r="J9" s="376">
        <f t="shared" si="10"/>
        <v>0</v>
      </c>
      <c r="K9" s="376">
        <f t="shared" si="11"/>
        <v>0</v>
      </c>
      <c r="L9" s="378">
        <f t="shared" si="12"/>
        <v>0</v>
      </c>
      <c r="M9" s="244">
        <f>L9*D9*VPI!Q9</f>
        <v>0</v>
      </c>
    </row>
    <row r="10" spans="1:20" x14ac:dyDescent="0.25">
      <c r="A10" s="130">
        <f>Données!A10</f>
        <v>5405</v>
      </c>
      <c r="B10" s="27" t="str">
        <f>Données!B10</f>
        <v>Gryon</v>
      </c>
      <c r="C10" s="285">
        <f>VPI!R10</f>
        <v>79200.140770975064</v>
      </c>
      <c r="D10" s="27">
        <f>Données!Z10</f>
        <v>1520</v>
      </c>
      <c r="E10" s="88">
        <f t="shared" si="5"/>
        <v>52.105355770378331</v>
      </c>
      <c r="F10" s="145">
        <f t="shared" si="6"/>
        <v>1.0534990786367393</v>
      </c>
      <c r="G10" s="376">
        <f t="shared" si="7"/>
        <v>2.6460284420580393</v>
      </c>
      <c r="H10" s="376">
        <f t="shared" si="8"/>
        <v>0</v>
      </c>
      <c r="I10" s="376">
        <f t="shared" si="9"/>
        <v>0</v>
      </c>
      <c r="J10" s="376">
        <f t="shared" si="10"/>
        <v>0</v>
      </c>
      <c r="K10" s="376">
        <f t="shared" si="11"/>
        <v>0</v>
      </c>
      <c r="L10" s="378">
        <f t="shared" si="12"/>
        <v>0.52920568841160787</v>
      </c>
      <c r="M10" s="244">
        <f>L10*D10*VPI!Q10</f>
        <v>59122.859509344831</v>
      </c>
    </row>
    <row r="11" spans="1:20" x14ac:dyDescent="0.25">
      <c r="A11" s="130">
        <f>Données!A11</f>
        <v>5406</v>
      </c>
      <c r="B11" s="27" t="str">
        <f>Données!B11</f>
        <v>Lavey-Morcles</v>
      </c>
      <c r="C11" s="285">
        <f>VPI!R11</f>
        <v>24174.314276492736</v>
      </c>
      <c r="D11" s="27">
        <f>Données!Z11</f>
        <v>1022</v>
      </c>
      <c r="E11" s="88">
        <f t="shared" si="5"/>
        <v>23.653927863495827</v>
      </c>
      <c r="F11" s="145">
        <f t="shared" si="6"/>
        <v>0.47825009237340849</v>
      </c>
      <c r="G11" s="376">
        <f t="shared" si="7"/>
        <v>0</v>
      </c>
      <c r="H11" s="376">
        <f t="shared" si="8"/>
        <v>0</v>
      </c>
      <c r="I11" s="376">
        <f t="shared" si="9"/>
        <v>0</v>
      </c>
      <c r="J11" s="376">
        <f t="shared" si="10"/>
        <v>0</v>
      </c>
      <c r="K11" s="376">
        <f t="shared" si="11"/>
        <v>0</v>
      </c>
      <c r="L11" s="378">
        <f t="shared" si="12"/>
        <v>0</v>
      </c>
      <c r="M11" s="244">
        <f>L11*D11*VPI!Q11</f>
        <v>0</v>
      </c>
    </row>
    <row r="12" spans="1:20" x14ac:dyDescent="0.25">
      <c r="A12" s="130">
        <f>Données!A12</f>
        <v>5407</v>
      </c>
      <c r="B12" s="27" t="str">
        <f>Données!B12</f>
        <v>Leysin</v>
      </c>
      <c r="C12" s="285">
        <f>VPI!R12</f>
        <v>97593.933333333334</v>
      </c>
      <c r="D12" s="27">
        <f>Données!Z12</f>
        <v>3729</v>
      </c>
      <c r="E12" s="88">
        <f t="shared" si="5"/>
        <v>26.171609904353268</v>
      </c>
      <c r="F12" s="145">
        <f t="shared" si="6"/>
        <v>0.5291541821954272</v>
      </c>
      <c r="G12" s="376">
        <f t="shared" si="7"/>
        <v>0</v>
      </c>
      <c r="H12" s="376">
        <f t="shared" si="8"/>
        <v>0</v>
      </c>
      <c r="I12" s="376">
        <f t="shared" si="9"/>
        <v>0</v>
      </c>
      <c r="J12" s="376">
        <f t="shared" si="10"/>
        <v>0</v>
      </c>
      <c r="K12" s="376">
        <f t="shared" si="11"/>
        <v>0</v>
      </c>
      <c r="L12" s="378">
        <f t="shared" si="12"/>
        <v>0</v>
      </c>
      <c r="M12" s="244">
        <f>L12*D12*VPI!Q12</f>
        <v>0</v>
      </c>
    </row>
    <row r="13" spans="1:20" x14ac:dyDescent="0.25">
      <c r="A13" s="130">
        <f>Données!A13</f>
        <v>5408</v>
      </c>
      <c r="B13" s="27" t="str">
        <f>Données!B13</f>
        <v>Noville</v>
      </c>
      <c r="C13" s="285">
        <f>VPI!R13</f>
        <v>40176.989288888893</v>
      </c>
      <c r="D13" s="27">
        <f>Données!Z13</f>
        <v>1180</v>
      </c>
      <c r="E13" s="88">
        <f t="shared" si="5"/>
        <v>34.048296007532961</v>
      </c>
      <c r="F13" s="145">
        <f t="shared" si="6"/>
        <v>0.68841000973413946</v>
      </c>
      <c r="G13" s="376">
        <f t="shared" si="7"/>
        <v>0</v>
      </c>
      <c r="H13" s="376">
        <f t="shared" si="8"/>
        <v>0</v>
      </c>
      <c r="I13" s="376">
        <f t="shared" si="9"/>
        <v>0</v>
      </c>
      <c r="J13" s="376">
        <f t="shared" si="10"/>
        <v>0</v>
      </c>
      <c r="K13" s="376">
        <f t="shared" si="11"/>
        <v>0</v>
      </c>
      <c r="L13" s="378">
        <f t="shared" si="12"/>
        <v>0</v>
      </c>
      <c r="M13" s="244">
        <f>L13*D13*VPI!Q13</f>
        <v>0</v>
      </c>
    </row>
    <row r="14" spans="1:20" x14ac:dyDescent="0.25">
      <c r="A14" s="130">
        <f>Données!A14</f>
        <v>5409</v>
      </c>
      <c r="B14" s="27" t="str">
        <f>Données!B14</f>
        <v>Ollon</v>
      </c>
      <c r="C14" s="285">
        <f>VPI!R14</f>
        <v>421727.92700226256</v>
      </c>
      <c r="D14" s="27">
        <f>Données!Z14</f>
        <v>8137</v>
      </c>
      <c r="E14" s="88">
        <f t="shared" si="5"/>
        <v>51.828429028175314</v>
      </c>
      <c r="F14" s="145">
        <f t="shared" si="6"/>
        <v>1.0478999983992601</v>
      </c>
      <c r="G14" s="376">
        <f t="shared" si="7"/>
        <v>2.3691016998550225</v>
      </c>
      <c r="H14" s="376">
        <f t="shared" si="8"/>
        <v>0</v>
      </c>
      <c r="I14" s="376">
        <f t="shared" si="9"/>
        <v>0</v>
      </c>
      <c r="J14" s="376">
        <f t="shared" si="10"/>
        <v>0</v>
      </c>
      <c r="K14" s="376">
        <f t="shared" si="11"/>
        <v>0</v>
      </c>
      <c r="L14" s="378">
        <f t="shared" si="12"/>
        <v>0.47382033997100453</v>
      </c>
      <c r="M14" s="244">
        <f>L14*D14*VPI!Q14</f>
        <v>262172.37523139635</v>
      </c>
    </row>
    <row r="15" spans="1:20" x14ac:dyDescent="0.25">
      <c r="A15" s="130">
        <f>Données!A15</f>
        <v>5410</v>
      </c>
      <c r="B15" s="27" t="str">
        <f>Données!B15</f>
        <v>Ormont-Dessous</v>
      </c>
      <c r="C15" s="285">
        <f>VPI!R15</f>
        <v>36756.557662337655</v>
      </c>
      <c r="D15" s="27">
        <f>Données!Z15</f>
        <v>1211</v>
      </c>
      <c r="E15" s="88">
        <f t="shared" si="5"/>
        <v>30.352235889626471</v>
      </c>
      <c r="F15" s="145">
        <f t="shared" si="6"/>
        <v>0.61368072574345045</v>
      </c>
      <c r="G15" s="376">
        <f t="shared" si="7"/>
        <v>0</v>
      </c>
      <c r="H15" s="376">
        <f t="shared" si="8"/>
        <v>0</v>
      </c>
      <c r="I15" s="376">
        <f t="shared" si="9"/>
        <v>0</v>
      </c>
      <c r="J15" s="376">
        <f t="shared" si="10"/>
        <v>0</v>
      </c>
      <c r="K15" s="376">
        <f t="shared" si="11"/>
        <v>0</v>
      </c>
      <c r="L15" s="378">
        <f t="shared" si="12"/>
        <v>0</v>
      </c>
      <c r="M15" s="244">
        <f>L15*D15*VPI!Q15</f>
        <v>0</v>
      </c>
    </row>
    <row r="16" spans="1:20" x14ac:dyDescent="0.25">
      <c r="A16" s="130">
        <f>Données!A16</f>
        <v>5411</v>
      </c>
      <c r="B16" s="27" t="str">
        <f>Données!B16</f>
        <v>Ormont-Dessus</v>
      </c>
      <c r="C16" s="285">
        <f>VPI!R16</f>
        <v>79198.134342105259</v>
      </c>
      <c r="D16" s="27">
        <f>Données!Z16</f>
        <v>1427</v>
      </c>
      <c r="E16" s="88">
        <f t="shared" si="5"/>
        <v>55.49974375760705</v>
      </c>
      <c r="F16" s="145">
        <f t="shared" si="6"/>
        <v>1.1221289644557708</v>
      </c>
      <c r="G16" s="376">
        <f t="shared" si="7"/>
        <v>6.0404164292867577</v>
      </c>
      <c r="H16" s="376">
        <f t="shared" si="8"/>
        <v>0</v>
      </c>
      <c r="I16" s="376">
        <f t="shared" si="9"/>
        <v>0</v>
      </c>
      <c r="J16" s="376">
        <f t="shared" si="10"/>
        <v>0</v>
      </c>
      <c r="K16" s="376">
        <f t="shared" si="11"/>
        <v>0</v>
      </c>
      <c r="L16" s="378">
        <f t="shared" si="12"/>
        <v>1.2080832858573516</v>
      </c>
      <c r="M16" s="244">
        <f>L16*D16*VPI!Q16</f>
        <v>131019.04851780151</v>
      </c>
    </row>
    <row r="17" spans="1:13" x14ac:dyDescent="0.25">
      <c r="A17" s="130">
        <f>Données!A17</f>
        <v>5412</v>
      </c>
      <c r="B17" s="27" t="str">
        <f>Données!B17</f>
        <v>Rennaz</v>
      </c>
      <c r="C17" s="285">
        <f>VPI!R17</f>
        <v>29024.824057971011</v>
      </c>
      <c r="D17" s="27">
        <f>Données!Z17</f>
        <v>928</v>
      </c>
      <c r="E17" s="88">
        <f t="shared" si="5"/>
        <v>31.276750062468761</v>
      </c>
      <c r="F17" s="145">
        <f t="shared" si="6"/>
        <v>0.6323731387377719</v>
      </c>
      <c r="G17" s="376">
        <f t="shared" si="7"/>
        <v>0</v>
      </c>
      <c r="H17" s="376">
        <f t="shared" si="8"/>
        <v>0</v>
      </c>
      <c r="I17" s="376">
        <f t="shared" si="9"/>
        <v>0</v>
      </c>
      <c r="J17" s="376">
        <f t="shared" si="10"/>
        <v>0</v>
      </c>
      <c r="K17" s="376">
        <f t="shared" si="11"/>
        <v>0</v>
      </c>
      <c r="L17" s="378">
        <f t="shared" si="12"/>
        <v>0</v>
      </c>
      <c r="M17" s="244">
        <f>L17*D17*VPI!Q17</f>
        <v>0</v>
      </c>
    </row>
    <row r="18" spans="1:13" x14ac:dyDescent="0.25">
      <c r="A18" s="130">
        <f>Données!A18</f>
        <v>5413</v>
      </c>
      <c r="B18" s="27" t="str">
        <f>Données!B18</f>
        <v>Roche</v>
      </c>
      <c r="C18" s="285">
        <f>VPI!R18</f>
        <v>41219.946789215683</v>
      </c>
      <c r="D18" s="27">
        <f>Données!Z18</f>
        <v>1958</v>
      </c>
      <c r="E18" s="88">
        <f t="shared" si="5"/>
        <v>21.052066797352239</v>
      </c>
      <c r="F18" s="145">
        <f t="shared" si="6"/>
        <v>0.42564401771185989</v>
      </c>
      <c r="G18" s="376">
        <f t="shared" si="7"/>
        <v>0</v>
      </c>
      <c r="H18" s="376">
        <f t="shared" si="8"/>
        <v>0</v>
      </c>
      <c r="I18" s="376">
        <f t="shared" si="9"/>
        <v>0</v>
      </c>
      <c r="J18" s="376">
        <f t="shared" si="10"/>
        <v>0</v>
      </c>
      <c r="K18" s="376">
        <f t="shared" si="11"/>
        <v>0</v>
      </c>
      <c r="L18" s="378">
        <f t="shared" si="12"/>
        <v>0</v>
      </c>
      <c r="M18" s="244">
        <f>L18*D18*VPI!Q18</f>
        <v>0</v>
      </c>
    </row>
    <row r="19" spans="1:13" x14ac:dyDescent="0.25">
      <c r="A19" s="130">
        <f>Données!A19</f>
        <v>5414</v>
      </c>
      <c r="B19" s="27" t="str">
        <f>Données!B19</f>
        <v>Villeneuve</v>
      </c>
      <c r="C19" s="285">
        <f>VPI!R19</f>
        <v>190081.59585185186</v>
      </c>
      <c r="D19" s="27">
        <f>Données!Z19</f>
        <v>6057</v>
      </c>
      <c r="E19" s="88">
        <f t="shared" si="5"/>
        <v>31.382135686288898</v>
      </c>
      <c r="F19" s="145">
        <f t="shared" si="6"/>
        <v>0.63450389201552204</v>
      </c>
      <c r="G19" s="376">
        <f t="shared" si="7"/>
        <v>0</v>
      </c>
      <c r="H19" s="376">
        <f t="shared" si="8"/>
        <v>0</v>
      </c>
      <c r="I19" s="376">
        <f t="shared" si="9"/>
        <v>0</v>
      </c>
      <c r="J19" s="376">
        <f t="shared" si="10"/>
        <v>0</v>
      </c>
      <c r="K19" s="376">
        <f t="shared" si="11"/>
        <v>0</v>
      </c>
      <c r="L19" s="378">
        <f t="shared" si="12"/>
        <v>0</v>
      </c>
      <c r="M19" s="244">
        <f>L19*D19*VPI!Q19</f>
        <v>0</v>
      </c>
    </row>
    <row r="20" spans="1:13" x14ac:dyDescent="0.25">
      <c r="A20" s="130">
        <f>Données!A20</f>
        <v>5415</v>
      </c>
      <c r="B20" s="27" t="str">
        <f>Données!B20</f>
        <v>Yvorne</v>
      </c>
      <c r="C20" s="285">
        <f>VPI!R20</f>
        <v>36781.248065268061</v>
      </c>
      <c r="D20" s="27">
        <f>Données!Z20</f>
        <v>1108</v>
      </c>
      <c r="E20" s="88">
        <f t="shared" si="5"/>
        <v>33.19607226107226</v>
      </c>
      <c r="F20" s="145">
        <f t="shared" si="6"/>
        <v>0.67117921035825068</v>
      </c>
      <c r="G20" s="376">
        <f t="shared" si="7"/>
        <v>0</v>
      </c>
      <c r="H20" s="376">
        <f t="shared" si="8"/>
        <v>0</v>
      </c>
      <c r="I20" s="376">
        <f t="shared" si="9"/>
        <v>0</v>
      </c>
      <c r="J20" s="376">
        <f t="shared" si="10"/>
        <v>0</v>
      </c>
      <c r="K20" s="376">
        <f t="shared" si="11"/>
        <v>0</v>
      </c>
      <c r="L20" s="378">
        <f t="shared" si="12"/>
        <v>0</v>
      </c>
      <c r="M20" s="244">
        <f>L20*D20*VPI!Q20</f>
        <v>0</v>
      </c>
    </row>
    <row r="21" spans="1:13" x14ac:dyDescent="0.25">
      <c r="A21" s="130">
        <f>Données!A21</f>
        <v>5422</v>
      </c>
      <c r="B21" s="27" t="str">
        <f>Données!B21</f>
        <v>Aubonne</v>
      </c>
      <c r="C21" s="285">
        <f>VPI!R21</f>
        <v>418335.07808823534</v>
      </c>
      <c r="D21" s="27">
        <f>Données!Z21</f>
        <v>3841</v>
      </c>
      <c r="E21" s="88">
        <f t="shared" si="5"/>
        <v>108.91306380844451</v>
      </c>
      <c r="F21" s="145">
        <f t="shared" si="6"/>
        <v>2.2020732931820759</v>
      </c>
      <c r="G21" s="376">
        <f t="shared" si="7"/>
        <v>59.453736480124213</v>
      </c>
      <c r="H21" s="376">
        <f t="shared" si="8"/>
        <v>49.561871014460159</v>
      </c>
      <c r="I21" s="376">
        <f t="shared" si="9"/>
        <v>34.724072815964064</v>
      </c>
      <c r="J21" s="376">
        <f t="shared" si="10"/>
        <v>9.9944091518039215</v>
      </c>
      <c r="K21" s="376">
        <f t="shared" si="11"/>
        <v>0</v>
      </c>
      <c r="L21" s="378">
        <f t="shared" si="12"/>
        <v>21.318782594247658</v>
      </c>
      <c r="M21" s="244">
        <f>L21*D21*VPI!Q21</f>
        <v>5568210.1882263571</v>
      </c>
    </row>
    <row r="22" spans="1:13" x14ac:dyDescent="0.25">
      <c r="A22" s="130">
        <f>Données!A22</f>
        <v>5423</v>
      </c>
      <c r="B22" s="27" t="str">
        <f>Données!B22</f>
        <v>Ballens</v>
      </c>
      <c r="C22" s="285">
        <f>VPI!R22</f>
        <v>17582.856164383564</v>
      </c>
      <c r="D22" s="27">
        <f>Données!Z22</f>
        <v>576</v>
      </c>
      <c r="E22" s="88">
        <f t="shared" si="5"/>
        <v>30.525791952054799</v>
      </c>
      <c r="F22" s="145">
        <f t="shared" si="6"/>
        <v>0.61718979211785208</v>
      </c>
      <c r="G22" s="376">
        <f t="shared" si="7"/>
        <v>0</v>
      </c>
      <c r="H22" s="376">
        <f t="shared" si="8"/>
        <v>0</v>
      </c>
      <c r="I22" s="376">
        <f t="shared" si="9"/>
        <v>0</v>
      </c>
      <c r="J22" s="376">
        <f t="shared" si="10"/>
        <v>0</v>
      </c>
      <c r="K22" s="376">
        <f t="shared" si="11"/>
        <v>0</v>
      </c>
      <c r="L22" s="378">
        <f t="shared" si="12"/>
        <v>0</v>
      </c>
      <c r="M22" s="244">
        <f>L22*D22*VPI!Q22</f>
        <v>0</v>
      </c>
    </row>
    <row r="23" spans="1:13" x14ac:dyDescent="0.25">
      <c r="A23" s="130">
        <f>Données!A23</f>
        <v>5424</v>
      </c>
      <c r="B23" s="27" t="str">
        <f>Données!B23</f>
        <v>Berolle</v>
      </c>
      <c r="C23" s="285">
        <f>VPI!R23</f>
        <v>10091.658013245033</v>
      </c>
      <c r="D23" s="27">
        <f>Données!Z23</f>
        <v>304</v>
      </c>
      <c r="E23" s="88">
        <f t="shared" si="5"/>
        <v>33.196243464621816</v>
      </c>
      <c r="F23" s="145">
        <f t="shared" si="6"/>
        <v>0.67118267186003011</v>
      </c>
      <c r="G23" s="376">
        <f t="shared" si="7"/>
        <v>0</v>
      </c>
      <c r="H23" s="376">
        <f t="shared" si="8"/>
        <v>0</v>
      </c>
      <c r="I23" s="376">
        <f t="shared" si="9"/>
        <v>0</v>
      </c>
      <c r="J23" s="376">
        <f t="shared" si="10"/>
        <v>0</v>
      </c>
      <c r="K23" s="376">
        <f t="shared" si="11"/>
        <v>0</v>
      </c>
      <c r="L23" s="378">
        <f t="shared" si="12"/>
        <v>0</v>
      </c>
      <c r="M23" s="244">
        <f>L23*D23*VPI!Q23</f>
        <v>0</v>
      </c>
    </row>
    <row r="24" spans="1:13" x14ac:dyDescent="0.25">
      <c r="A24" s="130">
        <f>Données!A24</f>
        <v>5425</v>
      </c>
      <c r="B24" s="27" t="str">
        <f>Données!B24</f>
        <v>Bière</v>
      </c>
      <c r="C24" s="285">
        <f>VPI!R24</f>
        <v>44820.475767116455</v>
      </c>
      <c r="D24" s="27">
        <f>Données!Z24</f>
        <v>1717</v>
      </c>
      <c r="E24" s="88">
        <f t="shared" si="5"/>
        <v>26.103946282537247</v>
      </c>
      <c r="F24" s="145">
        <f t="shared" si="6"/>
        <v>0.52778611624162119</v>
      </c>
      <c r="G24" s="376">
        <f t="shared" si="7"/>
        <v>0</v>
      </c>
      <c r="H24" s="376">
        <f t="shared" si="8"/>
        <v>0</v>
      </c>
      <c r="I24" s="376">
        <f t="shared" si="9"/>
        <v>0</v>
      </c>
      <c r="J24" s="376">
        <f t="shared" si="10"/>
        <v>0</v>
      </c>
      <c r="K24" s="376">
        <f t="shared" si="11"/>
        <v>0</v>
      </c>
      <c r="L24" s="378">
        <f t="shared" si="12"/>
        <v>0</v>
      </c>
      <c r="M24" s="244">
        <f>L24*D24*VPI!Q24</f>
        <v>0</v>
      </c>
    </row>
    <row r="25" spans="1:13" x14ac:dyDescent="0.25">
      <c r="A25" s="130">
        <f>Données!A25</f>
        <v>5426</v>
      </c>
      <c r="B25" s="27" t="str">
        <f>Données!B25</f>
        <v>Bougy-Villars</v>
      </c>
      <c r="C25" s="285">
        <f>VPI!R25</f>
        <v>70059.66664082685</v>
      </c>
      <c r="D25" s="27">
        <f>Données!Z25</f>
        <v>512</v>
      </c>
      <c r="E25" s="88">
        <f t="shared" si="5"/>
        <v>136.83528640786494</v>
      </c>
      <c r="F25" s="145">
        <f t="shared" si="6"/>
        <v>2.7666224714203378</v>
      </c>
      <c r="G25" s="376">
        <f t="shared" si="7"/>
        <v>87.375959079544657</v>
      </c>
      <c r="H25" s="376">
        <f t="shared" si="8"/>
        <v>77.484093613880589</v>
      </c>
      <c r="I25" s="376">
        <f t="shared" si="9"/>
        <v>62.6462954153845</v>
      </c>
      <c r="J25" s="376">
        <f t="shared" si="10"/>
        <v>37.916631751224358</v>
      </c>
      <c r="K25" s="376">
        <f t="shared" si="11"/>
        <v>0</v>
      </c>
      <c r="L25" s="378">
        <f t="shared" si="12"/>
        <v>35.279893893957876</v>
      </c>
      <c r="M25" s="244">
        <f>L25*D25*VPI!Q25</f>
        <v>1165083.2159540649</v>
      </c>
    </row>
    <row r="26" spans="1:13" x14ac:dyDescent="0.25">
      <c r="A26" s="130">
        <f>Données!A26</f>
        <v>5427</v>
      </c>
      <c r="B26" s="27" t="str">
        <f>Données!B26</f>
        <v>Féchy</v>
      </c>
      <c r="C26" s="285">
        <f>VPI!R26</f>
        <v>87019.406153846168</v>
      </c>
      <c r="D26" s="27">
        <f>Données!Z26</f>
        <v>896</v>
      </c>
      <c r="E26" s="88">
        <f t="shared" si="5"/>
        <v>97.119872939560452</v>
      </c>
      <c r="F26" s="145">
        <f t="shared" si="6"/>
        <v>1.9636310921671158</v>
      </c>
      <c r="G26" s="376">
        <f t="shared" si="7"/>
        <v>47.66054561124016</v>
      </c>
      <c r="H26" s="376">
        <f t="shared" si="8"/>
        <v>37.768680145576106</v>
      </c>
      <c r="I26" s="376">
        <f t="shared" si="9"/>
        <v>22.93088194708001</v>
      </c>
      <c r="J26" s="376">
        <f t="shared" si="10"/>
        <v>0</v>
      </c>
      <c r="K26" s="376">
        <f t="shared" si="11"/>
        <v>0</v>
      </c>
      <c r="L26" s="378">
        <f t="shared" si="12"/>
        <v>15.602065331513645</v>
      </c>
      <c r="M26" s="244">
        <f>L26*D26*VPI!Q26</f>
        <v>894684.83437031845</v>
      </c>
    </row>
    <row r="27" spans="1:13" x14ac:dyDescent="0.25">
      <c r="A27" s="130">
        <f>Données!A27</f>
        <v>5428</v>
      </c>
      <c r="B27" s="27" t="str">
        <f>Données!B27</f>
        <v>Gimel</v>
      </c>
      <c r="C27" s="285">
        <f>VPI!R27</f>
        <v>72073.620570776256</v>
      </c>
      <c r="D27" s="27">
        <f>Données!Z27</f>
        <v>2465</v>
      </c>
      <c r="E27" s="88">
        <f t="shared" si="5"/>
        <v>29.238791306602945</v>
      </c>
      <c r="F27" s="145">
        <f t="shared" si="6"/>
        <v>0.59116839807606691</v>
      </c>
      <c r="G27" s="376">
        <f t="shared" si="7"/>
        <v>0</v>
      </c>
      <c r="H27" s="376">
        <f t="shared" si="8"/>
        <v>0</v>
      </c>
      <c r="I27" s="376">
        <f t="shared" si="9"/>
        <v>0</v>
      </c>
      <c r="J27" s="376">
        <f t="shared" si="10"/>
        <v>0</v>
      </c>
      <c r="K27" s="376">
        <f t="shared" si="11"/>
        <v>0</v>
      </c>
      <c r="L27" s="378">
        <f t="shared" si="12"/>
        <v>0</v>
      </c>
      <c r="M27" s="244">
        <f>L27*D27*VPI!Q27</f>
        <v>0</v>
      </c>
    </row>
    <row r="28" spans="1:13" x14ac:dyDescent="0.25">
      <c r="A28" s="130">
        <f>Données!A28</f>
        <v>5429</v>
      </c>
      <c r="B28" s="27" t="str">
        <f>Données!B28</f>
        <v>Longirod</v>
      </c>
      <c r="C28" s="285">
        <f>VPI!R28</f>
        <v>19283.044387096772</v>
      </c>
      <c r="D28" s="27">
        <f>Données!Z28</f>
        <v>555</v>
      </c>
      <c r="E28" s="88">
        <f t="shared" si="5"/>
        <v>34.744224120895083</v>
      </c>
      <c r="F28" s="145">
        <f t="shared" si="6"/>
        <v>0.70248072502596748</v>
      </c>
      <c r="G28" s="376">
        <f t="shared" si="7"/>
        <v>0</v>
      </c>
      <c r="H28" s="376">
        <f t="shared" si="8"/>
        <v>0</v>
      </c>
      <c r="I28" s="376">
        <f t="shared" si="9"/>
        <v>0</v>
      </c>
      <c r="J28" s="376">
        <f t="shared" si="10"/>
        <v>0</v>
      </c>
      <c r="K28" s="376">
        <f t="shared" si="11"/>
        <v>0</v>
      </c>
      <c r="L28" s="378">
        <f t="shared" si="12"/>
        <v>0</v>
      </c>
      <c r="M28" s="244">
        <f>L28*D28*VPI!Q28</f>
        <v>0</v>
      </c>
    </row>
    <row r="29" spans="1:13" x14ac:dyDescent="0.25">
      <c r="A29" s="130">
        <f>Données!A29</f>
        <v>5430</v>
      </c>
      <c r="B29" s="27" t="str">
        <f>Données!B29</f>
        <v>Marchissy</v>
      </c>
      <c r="C29" s="285">
        <f>VPI!R29</f>
        <v>16181.195483870966</v>
      </c>
      <c r="D29" s="27">
        <f>Données!Z29</f>
        <v>508</v>
      </c>
      <c r="E29" s="88">
        <f t="shared" si="5"/>
        <v>31.852747015494028</v>
      </c>
      <c r="F29" s="145">
        <f t="shared" si="6"/>
        <v>0.64401900988360639</v>
      </c>
      <c r="G29" s="376">
        <f t="shared" si="7"/>
        <v>0</v>
      </c>
      <c r="H29" s="376">
        <f t="shared" si="8"/>
        <v>0</v>
      </c>
      <c r="I29" s="376">
        <f t="shared" si="9"/>
        <v>0</v>
      </c>
      <c r="J29" s="376">
        <f t="shared" si="10"/>
        <v>0</v>
      </c>
      <c r="K29" s="376">
        <f t="shared" si="11"/>
        <v>0</v>
      </c>
      <c r="L29" s="378">
        <f t="shared" si="12"/>
        <v>0</v>
      </c>
      <c r="M29" s="244">
        <f>L29*D29*VPI!Q29</f>
        <v>0</v>
      </c>
    </row>
    <row r="30" spans="1:13" x14ac:dyDescent="0.25">
      <c r="A30" s="130">
        <f>Données!A30</f>
        <v>5431</v>
      </c>
      <c r="B30" s="27" t="str">
        <f>Données!B30</f>
        <v>Mollens</v>
      </c>
      <c r="C30" s="285">
        <f>VPI!R30</f>
        <v>9356.399324324324</v>
      </c>
      <c r="D30" s="27">
        <f>Données!Z30</f>
        <v>322</v>
      </c>
      <c r="E30" s="88">
        <f t="shared" si="5"/>
        <v>29.057140758771194</v>
      </c>
      <c r="F30" s="145">
        <f t="shared" si="6"/>
        <v>0.58749567226995314</v>
      </c>
      <c r="G30" s="376">
        <f t="shared" si="7"/>
        <v>0</v>
      </c>
      <c r="H30" s="376">
        <f t="shared" si="8"/>
        <v>0</v>
      </c>
      <c r="I30" s="376">
        <f t="shared" si="9"/>
        <v>0</v>
      </c>
      <c r="J30" s="376">
        <f t="shared" si="10"/>
        <v>0</v>
      </c>
      <c r="K30" s="376">
        <f t="shared" si="11"/>
        <v>0</v>
      </c>
      <c r="L30" s="378">
        <f t="shared" si="12"/>
        <v>0</v>
      </c>
      <c r="M30" s="244">
        <f>L30*D30*VPI!Q30</f>
        <v>0</v>
      </c>
    </row>
    <row r="31" spans="1:13" x14ac:dyDescent="0.25">
      <c r="A31" s="130">
        <f>Données!A31</f>
        <v>5434</v>
      </c>
      <c r="B31" s="27" t="str">
        <f>Données!B31</f>
        <v>Saint-George</v>
      </c>
      <c r="C31" s="285">
        <f>VPI!R31</f>
        <v>46184.394316546764</v>
      </c>
      <c r="D31" s="27">
        <f>Données!Z31</f>
        <v>1061</v>
      </c>
      <c r="E31" s="88">
        <f t="shared" si="5"/>
        <v>43.529118111731165</v>
      </c>
      <c r="F31" s="145">
        <f t="shared" si="6"/>
        <v>0.8800992747591716</v>
      </c>
      <c r="G31" s="376">
        <f t="shared" si="7"/>
        <v>0</v>
      </c>
      <c r="H31" s="376">
        <f t="shared" si="8"/>
        <v>0</v>
      </c>
      <c r="I31" s="376">
        <f t="shared" si="9"/>
        <v>0</v>
      </c>
      <c r="J31" s="376">
        <f t="shared" si="10"/>
        <v>0</v>
      </c>
      <c r="K31" s="376">
        <f t="shared" si="11"/>
        <v>0</v>
      </c>
      <c r="L31" s="378">
        <f t="shared" si="12"/>
        <v>0</v>
      </c>
      <c r="M31" s="244">
        <f>L31*D31*VPI!Q31</f>
        <v>0</v>
      </c>
    </row>
    <row r="32" spans="1:13" x14ac:dyDescent="0.25">
      <c r="A32" s="130">
        <f>Données!A32</f>
        <v>5435</v>
      </c>
      <c r="B32" s="27" t="str">
        <f>Données!B32</f>
        <v>Saint-Livres</v>
      </c>
      <c r="C32" s="285">
        <f>VPI!R32</f>
        <v>26399.909565217389</v>
      </c>
      <c r="D32" s="27">
        <f>Données!Z32</f>
        <v>697</v>
      </c>
      <c r="E32" s="88">
        <f t="shared" si="5"/>
        <v>37.87648431164618</v>
      </c>
      <c r="F32" s="145">
        <f t="shared" si="6"/>
        <v>0.76581074506361502</v>
      </c>
      <c r="G32" s="376">
        <f t="shared" si="7"/>
        <v>0</v>
      </c>
      <c r="H32" s="376">
        <f t="shared" si="8"/>
        <v>0</v>
      </c>
      <c r="I32" s="376">
        <f t="shared" si="9"/>
        <v>0</v>
      </c>
      <c r="J32" s="376">
        <f t="shared" si="10"/>
        <v>0</v>
      </c>
      <c r="K32" s="376">
        <f t="shared" si="11"/>
        <v>0</v>
      </c>
      <c r="L32" s="378">
        <f t="shared" si="12"/>
        <v>0</v>
      </c>
      <c r="M32" s="244">
        <f>L32*D32*VPI!Q32</f>
        <v>0</v>
      </c>
    </row>
    <row r="33" spans="1:13" x14ac:dyDescent="0.25">
      <c r="A33" s="130">
        <f>Données!A33</f>
        <v>5436</v>
      </c>
      <c r="B33" s="27" t="str">
        <f>Données!B33</f>
        <v>Saint-Oyens</v>
      </c>
      <c r="C33" s="285">
        <f>VPI!R33</f>
        <v>15917.295474683544</v>
      </c>
      <c r="D33" s="27">
        <f>Données!Z33</f>
        <v>450</v>
      </c>
      <c r="E33" s="88">
        <f t="shared" si="5"/>
        <v>35.371767721518985</v>
      </c>
      <c r="F33" s="145">
        <f t="shared" si="6"/>
        <v>0.71516879893482088</v>
      </c>
      <c r="G33" s="376">
        <f t="shared" si="7"/>
        <v>0</v>
      </c>
      <c r="H33" s="376">
        <f t="shared" si="8"/>
        <v>0</v>
      </c>
      <c r="I33" s="376">
        <f t="shared" si="9"/>
        <v>0</v>
      </c>
      <c r="J33" s="376">
        <f t="shared" si="10"/>
        <v>0</v>
      </c>
      <c r="K33" s="376">
        <f t="shared" si="11"/>
        <v>0</v>
      </c>
      <c r="L33" s="378">
        <f t="shared" si="12"/>
        <v>0</v>
      </c>
      <c r="M33" s="244">
        <f>L33*D33*VPI!Q33</f>
        <v>0</v>
      </c>
    </row>
    <row r="34" spans="1:13" x14ac:dyDescent="0.25">
      <c r="A34" s="130">
        <f>Données!A34</f>
        <v>5437</v>
      </c>
      <c r="B34" s="27" t="str">
        <f>Données!B34</f>
        <v>Saubraz</v>
      </c>
      <c r="C34" s="285">
        <f>VPI!R34</f>
        <v>16749.450625000005</v>
      </c>
      <c r="D34" s="27">
        <f>Données!Z34</f>
        <v>449</v>
      </c>
      <c r="E34" s="88">
        <f t="shared" si="5"/>
        <v>37.303898942093554</v>
      </c>
      <c r="F34" s="145">
        <f t="shared" si="6"/>
        <v>0.75423385147281274</v>
      </c>
      <c r="G34" s="376">
        <f t="shared" si="7"/>
        <v>0</v>
      </c>
      <c r="H34" s="376">
        <f t="shared" si="8"/>
        <v>0</v>
      </c>
      <c r="I34" s="376">
        <f t="shared" si="9"/>
        <v>0</v>
      </c>
      <c r="J34" s="376">
        <f t="shared" si="10"/>
        <v>0</v>
      </c>
      <c r="K34" s="376">
        <f t="shared" si="11"/>
        <v>0</v>
      </c>
      <c r="L34" s="378">
        <f t="shared" si="12"/>
        <v>0</v>
      </c>
      <c r="M34" s="244">
        <f>L34*D34*VPI!Q34</f>
        <v>0</v>
      </c>
    </row>
    <row r="35" spans="1:13" x14ac:dyDescent="0.25">
      <c r="A35" s="130">
        <f>Données!A35</f>
        <v>5451</v>
      </c>
      <c r="B35" s="27" t="str">
        <f>Données!B35</f>
        <v>Avenches</v>
      </c>
      <c r="C35" s="285">
        <f>VPI!R35</f>
        <v>143864.88553846153</v>
      </c>
      <c r="D35" s="27">
        <f>Données!Z35</f>
        <v>4873</v>
      </c>
      <c r="E35" s="88">
        <f t="shared" si="5"/>
        <v>29.52285769309697</v>
      </c>
      <c r="F35" s="145">
        <f t="shared" si="6"/>
        <v>0.59691183216299537</v>
      </c>
      <c r="G35" s="376">
        <f t="shared" si="7"/>
        <v>0</v>
      </c>
      <c r="H35" s="376">
        <f t="shared" si="8"/>
        <v>0</v>
      </c>
      <c r="I35" s="376">
        <f t="shared" si="9"/>
        <v>0</v>
      </c>
      <c r="J35" s="376">
        <f t="shared" si="10"/>
        <v>0</v>
      </c>
      <c r="K35" s="376">
        <f t="shared" si="11"/>
        <v>0</v>
      </c>
      <c r="L35" s="378">
        <f t="shared" si="12"/>
        <v>0</v>
      </c>
      <c r="M35" s="244">
        <f>L35*D35*VPI!Q35</f>
        <v>0</v>
      </c>
    </row>
    <row r="36" spans="1:13" x14ac:dyDescent="0.25">
      <c r="A36" s="130">
        <f>Données!A36</f>
        <v>5456</v>
      </c>
      <c r="B36" s="27" t="str">
        <f>Données!B36</f>
        <v>Cudrefin</v>
      </c>
      <c r="C36" s="285">
        <f>VPI!R36</f>
        <v>70775.484519773992</v>
      </c>
      <c r="D36" s="27">
        <f>Données!Z36</f>
        <v>1878</v>
      </c>
      <c r="E36" s="88">
        <f t="shared" si="5"/>
        <v>37.686626474853028</v>
      </c>
      <c r="F36" s="145">
        <f t="shared" si="6"/>
        <v>0.76197207909202103</v>
      </c>
      <c r="G36" s="376">
        <f t="shared" si="7"/>
        <v>0</v>
      </c>
      <c r="H36" s="376">
        <f t="shared" si="8"/>
        <v>0</v>
      </c>
      <c r="I36" s="376">
        <f t="shared" si="9"/>
        <v>0</v>
      </c>
      <c r="J36" s="376">
        <f t="shared" si="10"/>
        <v>0</v>
      </c>
      <c r="K36" s="376">
        <f t="shared" si="11"/>
        <v>0</v>
      </c>
      <c r="L36" s="378">
        <f t="shared" si="12"/>
        <v>0</v>
      </c>
      <c r="M36" s="244">
        <f>L36*D36*VPI!Q36</f>
        <v>0</v>
      </c>
    </row>
    <row r="37" spans="1:13" x14ac:dyDescent="0.25">
      <c r="A37" s="130">
        <f>Données!A37</f>
        <v>5458</v>
      </c>
      <c r="B37" s="27" t="str">
        <f>Données!B37</f>
        <v>Faoug</v>
      </c>
      <c r="C37" s="285">
        <f>VPI!R37</f>
        <v>30258.802820512818</v>
      </c>
      <c r="D37" s="27">
        <f>Données!Z37</f>
        <v>906</v>
      </c>
      <c r="E37" s="88">
        <f t="shared" si="5"/>
        <v>33.398237108733795</v>
      </c>
      <c r="F37" s="145">
        <f t="shared" si="6"/>
        <v>0.67526670726898552</v>
      </c>
      <c r="G37" s="376">
        <f t="shared" si="7"/>
        <v>0</v>
      </c>
      <c r="H37" s="376">
        <f t="shared" si="8"/>
        <v>0</v>
      </c>
      <c r="I37" s="376">
        <f t="shared" si="9"/>
        <v>0</v>
      </c>
      <c r="J37" s="376">
        <f t="shared" si="10"/>
        <v>0</v>
      </c>
      <c r="K37" s="376">
        <f t="shared" si="11"/>
        <v>0</v>
      </c>
      <c r="L37" s="378">
        <f t="shared" si="12"/>
        <v>0</v>
      </c>
      <c r="M37" s="244">
        <f>L37*D37*VPI!Q37</f>
        <v>0</v>
      </c>
    </row>
    <row r="38" spans="1:13" x14ac:dyDescent="0.25">
      <c r="A38" s="130">
        <f>Données!A38</f>
        <v>5464</v>
      </c>
      <c r="B38" s="27" t="str">
        <f>Données!B38</f>
        <v>Vully-les-Lacs</v>
      </c>
      <c r="C38" s="285">
        <f>VPI!R38</f>
        <v>128619.64756218906</v>
      </c>
      <c r="D38" s="27">
        <f>Données!Z38</f>
        <v>3614</v>
      </c>
      <c r="E38" s="88">
        <f t="shared" si="5"/>
        <v>35.589277133975941</v>
      </c>
      <c r="F38" s="145">
        <f t="shared" si="6"/>
        <v>0.71956654197352188</v>
      </c>
      <c r="G38" s="376">
        <f t="shared" si="7"/>
        <v>0</v>
      </c>
      <c r="H38" s="376">
        <f t="shared" si="8"/>
        <v>0</v>
      </c>
      <c r="I38" s="376">
        <f t="shared" si="9"/>
        <v>0</v>
      </c>
      <c r="J38" s="376">
        <f t="shared" si="10"/>
        <v>0</v>
      </c>
      <c r="K38" s="376">
        <f t="shared" si="11"/>
        <v>0</v>
      </c>
      <c r="L38" s="378">
        <f t="shared" si="12"/>
        <v>0</v>
      </c>
      <c r="M38" s="244">
        <f>L38*D38*VPI!Q38</f>
        <v>0</v>
      </c>
    </row>
    <row r="39" spans="1:13" x14ac:dyDescent="0.25">
      <c r="A39" s="130">
        <f>Données!A39</f>
        <v>5471</v>
      </c>
      <c r="B39" s="27" t="str">
        <f>Données!B39</f>
        <v>Bettens</v>
      </c>
      <c r="C39" s="285">
        <f>VPI!R39</f>
        <v>23731.223904761908</v>
      </c>
      <c r="D39" s="27">
        <f>Données!Z39</f>
        <v>644</v>
      </c>
      <c r="E39" s="88">
        <f t="shared" si="5"/>
        <v>36.849726560189296</v>
      </c>
      <c r="F39" s="145">
        <f t="shared" si="6"/>
        <v>0.74505110665120655</v>
      </c>
      <c r="G39" s="376">
        <f t="shared" si="7"/>
        <v>0</v>
      </c>
      <c r="H39" s="376">
        <f t="shared" si="8"/>
        <v>0</v>
      </c>
      <c r="I39" s="376">
        <f t="shared" si="9"/>
        <v>0</v>
      </c>
      <c r="J39" s="376">
        <f t="shared" si="10"/>
        <v>0</v>
      </c>
      <c r="K39" s="376">
        <f t="shared" si="11"/>
        <v>0</v>
      </c>
      <c r="L39" s="378">
        <f t="shared" si="12"/>
        <v>0</v>
      </c>
      <c r="M39" s="244">
        <f>L39*D39*VPI!Q39</f>
        <v>0</v>
      </c>
    </row>
    <row r="40" spans="1:13" x14ac:dyDescent="0.25">
      <c r="A40" s="130">
        <f>Données!A40</f>
        <v>5472</v>
      </c>
      <c r="B40" s="27" t="str">
        <f>Données!B40</f>
        <v>Bournens</v>
      </c>
      <c r="C40" s="285">
        <f>VPI!R40</f>
        <v>20138.90088235294</v>
      </c>
      <c r="D40" s="27">
        <f>Données!Z40</f>
        <v>519</v>
      </c>
      <c r="E40" s="88">
        <f t="shared" si="5"/>
        <v>38.803277229967129</v>
      </c>
      <c r="F40" s="145">
        <f t="shared" si="6"/>
        <v>0.78454923117703756</v>
      </c>
      <c r="G40" s="376">
        <f t="shared" si="7"/>
        <v>0</v>
      </c>
      <c r="H40" s="376">
        <f t="shared" si="8"/>
        <v>0</v>
      </c>
      <c r="I40" s="376">
        <f t="shared" si="9"/>
        <v>0</v>
      </c>
      <c r="J40" s="376">
        <f t="shared" si="10"/>
        <v>0</v>
      </c>
      <c r="K40" s="376">
        <f t="shared" si="11"/>
        <v>0</v>
      </c>
      <c r="L40" s="378">
        <f t="shared" si="12"/>
        <v>0</v>
      </c>
      <c r="M40" s="244">
        <f>L40*D40*VPI!Q40</f>
        <v>0</v>
      </c>
    </row>
    <row r="41" spans="1:13" x14ac:dyDescent="0.25">
      <c r="A41" s="130">
        <f>Données!A41</f>
        <v>5473</v>
      </c>
      <c r="B41" s="27" t="str">
        <f>Données!B41</f>
        <v>Boussens</v>
      </c>
      <c r="C41" s="285">
        <f>VPI!R41</f>
        <v>38661.720757575771</v>
      </c>
      <c r="D41" s="27">
        <f>Données!Z41</f>
        <v>1023</v>
      </c>
      <c r="E41" s="88">
        <f t="shared" si="5"/>
        <v>37.792493409164976</v>
      </c>
      <c r="F41" s="145">
        <f t="shared" si="6"/>
        <v>0.76411256381008408</v>
      </c>
      <c r="G41" s="376">
        <f t="shared" si="7"/>
        <v>0</v>
      </c>
      <c r="H41" s="376">
        <f t="shared" si="8"/>
        <v>0</v>
      </c>
      <c r="I41" s="376">
        <f t="shared" si="9"/>
        <v>0</v>
      </c>
      <c r="J41" s="376">
        <f t="shared" si="10"/>
        <v>0</v>
      </c>
      <c r="K41" s="376">
        <f t="shared" si="11"/>
        <v>0</v>
      </c>
      <c r="L41" s="378">
        <f t="shared" si="12"/>
        <v>0</v>
      </c>
      <c r="M41" s="244">
        <f>L41*D41*VPI!Q41</f>
        <v>0</v>
      </c>
    </row>
    <row r="42" spans="1:13" x14ac:dyDescent="0.25">
      <c r="A42" s="130">
        <f>Données!A42</f>
        <v>5474</v>
      </c>
      <c r="B42" s="27" t="str">
        <f>Données!B42</f>
        <v>La Chaux (Cossonay)</v>
      </c>
      <c r="C42" s="285">
        <f>VPI!R42</f>
        <v>14789.202587719299</v>
      </c>
      <c r="D42" s="27">
        <f>Données!Z42</f>
        <v>433</v>
      </c>
      <c r="E42" s="88">
        <f t="shared" si="5"/>
        <v>34.155202281106924</v>
      </c>
      <c r="F42" s="145">
        <f t="shared" si="6"/>
        <v>0.69057150847156257</v>
      </c>
      <c r="G42" s="376">
        <f t="shared" si="7"/>
        <v>0</v>
      </c>
      <c r="H42" s="376">
        <f t="shared" si="8"/>
        <v>0</v>
      </c>
      <c r="I42" s="376">
        <f t="shared" si="9"/>
        <v>0</v>
      </c>
      <c r="J42" s="376">
        <f t="shared" si="10"/>
        <v>0</v>
      </c>
      <c r="K42" s="376">
        <f t="shared" si="11"/>
        <v>0</v>
      </c>
      <c r="L42" s="378">
        <f t="shared" si="12"/>
        <v>0</v>
      </c>
      <c r="M42" s="244">
        <f>L42*D42*VPI!Q42</f>
        <v>0</v>
      </c>
    </row>
    <row r="43" spans="1:13" x14ac:dyDescent="0.25">
      <c r="A43" s="130">
        <f>Données!A43</f>
        <v>5475</v>
      </c>
      <c r="B43" s="27" t="str">
        <f>Données!B43</f>
        <v>Chavannes-le-Veyron</v>
      </c>
      <c r="C43" s="285">
        <f>VPI!R43</f>
        <v>4582.5893333333333</v>
      </c>
      <c r="D43" s="27">
        <f>Données!Z43</f>
        <v>158</v>
      </c>
      <c r="E43" s="88">
        <f t="shared" si="5"/>
        <v>29.003729957805906</v>
      </c>
      <c r="F43" s="145">
        <f t="shared" si="6"/>
        <v>0.58641577887369367</v>
      </c>
      <c r="G43" s="376">
        <f t="shared" si="7"/>
        <v>0</v>
      </c>
      <c r="H43" s="376">
        <f t="shared" si="8"/>
        <v>0</v>
      </c>
      <c r="I43" s="376">
        <f t="shared" si="9"/>
        <v>0</v>
      </c>
      <c r="J43" s="376">
        <f t="shared" si="10"/>
        <v>0</v>
      </c>
      <c r="K43" s="376">
        <f t="shared" si="11"/>
        <v>0</v>
      </c>
      <c r="L43" s="378">
        <f t="shared" si="12"/>
        <v>0</v>
      </c>
      <c r="M43" s="244">
        <f>L43*D43*VPI!Q43</f>
        <v>0</v>
      </c>
    </row>
    <row r="44" spans="1:13" x14ac:dyDescent="0.25">
      <c r="A44" s="130">
        <f>Données!A44</f>
        <v>5476</v>
      </c>
      <c r="B44" s="27" t="str">
        <f>Données!B44</f>
        <v>Chevilly</v>
      </c>
      <c r="C44" s="285">
        <f>VPI!R44</f>
        <v>13414.448028169016</v>
      </c>
      <c r="D44" s="27">
        <f>Données!Z44</f>
        <v>337</v>
      </c>
      <c r="E44" s="88">
        <f t="shared" si="5"/>
        <v>39.805483763112804</v>
      </c>
      <c r="F44" s="145">
        <f t="shared" si="6"/>
        <v>0.80481247751059237</v>
      </c>
      <c r="G44" s="376">
        <f t="shared" si="7"/>
        <v>0</v>
      </c>
      <c r="H44" s="376">
        <f t="shared" si="8"/>
        <v>0</v>
      </c>
      <c r="I44" s="376">
        <f t="shared" si="9"/>
        <v>0</v>
      </c>
      <c r="J44" s="376">
        <f t="shared" si="10"/>
        <v>0</v>
      </c>
      <c r="K44" s="376">
        <f t="shared" si="11"/>
        <v>0</v>
      </c>
      <c r="L44" s="378">
        <f t="shared" si="12"/>
        <v>0</v>
      </c>
      <c r="M44" s="244">
        <f>L44*D44*VPI!Q44</f>
        <v>0</v>
      </c>
    </row>
    <row r="45" spans="1:13" x14ac:dyDescent="0.25">
      <c r="A45" s="130">
        <f>Données!A45</f>
        <v>5477</v>
      </c>
      <c r="B45" s="27" t="str">
        <f>Données!B45</f>
        <v>Cossonay</v>
      </c>
      <c r="C45" s="285">
        <f>VPI!R45</f>
        <v>157014.45764705885</v>
      </c>
      <c r="D45" s="27">
        <f>Données!Z45</f>
        <v>4772</v>
      </c>
      <c r="E45" s="88">
        <f t="shared" si="5"/>
        <v>32.903281149844688</v>
      </c>
      <c r="F45" s="145">
        <f t="shared" si="6"/>
        <v>0.66525937426173498</v>
      </c>
      <c r="G45" s="376">
        <f t="shared" si="7"/>
        <v>0</v>
      </c>
      <c r="H45" s="376">
        <f t="shared" si="8"/>
        <v>0</v>
      </c>
      <c r="I45" s="376">
        <f t="shared" si="9"/>
        <v>0</v>
      </c>
      <c r="J45" s="376">
        <f t="shared" si="10"/>
        <v>0</v>
      </c>
      <c r="K45" s="376">
        <f t="shared" si="11"/>
        <v>0</v>
      </c>
      <c r="L45" s="378">
        <f t="shared" si="12"/>
        <v>0</v>
      </c>
      <c r="M45" s="244">
        <f>L45*D45*VPI!Q45</f>
        <v>0</v>
      </c>
    </row>
    <row r="46" spans="1:13" x14ac:dyDescent="0.25">
      <c r="A46" s="130">
        <f>Données!A46</f>
        <v>5479</v>
      </c>
      <c r="B46" s="27" t="str">
        <f>Données!B46</f>
        <v>Cuarnens</v>
      </c>
      <c r="C46" s="285">
        <f>VPI!R46</f>
        <v>18824.412763157892</v>
      </c>
      <c r="D46" s="27">
        <f>Données!Z46</f>
        <v>541</v>
      </c>
      <c r="E46" s="88">
        <f t="shared" si="5"/>
        <v>34.795587362583902</v>
      </c>
      <c r="F46" s="145">
        <f t="shared" si="6"/>
        <v>0.70351921957216013</v>
      </c>
      <c r="G46" s="376">
        <f t="shared" si="7"/>
        <v>0</v>
      </c>
      <c r="H46" s="376">
        <f t="shared" si="8"/>
        <v>0</v>
      </c>
      <c r="I46" s="376">
        <f t="shared" si="9"/>
        <v>0</v>
      </c>
      <c r="J46" s="376">
        <f t="shared" si="10"/>
        <v>0</v>
      </c>
      <c r="K46" s="376">
        <f t="shared" si="11"/>
        <v>0</v>
      </c>
      <c r="L46" s="378">
        <f t="shared" si="12"/>
        <v>0</v>
      </c>
      <c r="M46" s="244">
        <f>L46*D46*VPI!Q46</f>
        <v>0</v>
      </c>
    </row>
    <row r="47" spans="1:13" x14ac:dyDescent="0.25">
      <c r="A47" s="130">
        <f>Données!A47</f>
        <v>5480</v>
      </c>
      <c r="B47" s="27" t="str">
        <f>Données!B47</f>
        <v>Daillens</v>
      </c>
      <c r="C47" s="285">
        <f>VPI!R47</f>
        <v>49216.067727272741</v>
      </c>
      <c r="D47" s="27">
        <f>Données!Z47</f>
        <v>1062</v>
      </c>
      <c r="E47" s="88">
        <f t="shared" si="5"/>
        <v>46.342813302516703</v>
      </c>
      <c r="F47" s="145">
        <f t="shared" si="6"/>
        <v>0.93698834589650637</v>
      </c>
      <c r="G47" s="376">
        <f t="shared" si="7"/>
        <v>0</v>
      </c>
      <c r="H47" s="376">
        <f t="shared" si="8"/>
        <v>0</v>
      </c>
      <c r="I47" s="376">
        <f t="shared" si="9"/>
        <v>0</v>
      </c>
      <c r="J47" s="376">
        <f t="shared" si="10"/>
        <v>0</v>
      </c>
      <c r="K47" s="376">
        <f t="shared" si="11"/>
        <v>0</v>
      </c>
      <c r="L47" s="378">
        <f t="shared" si="12"/>
        <v>0</v>
      </c>
      <c r="M47" s="244">
        <f>L47*D47*VPI!Q47</f>
        <v>0</v>
      </c>
    </row>
    <row r="48" spans="1:13" x14ac:dyDescent="0.25">
      <c r="A48" s="130">
        <f>Données!A48</f>
        <v>5481</v>
      </c>
      <c r="B48" s="27" t="str">
        <f>Données!B48</f>
        <v>Dizy</v>
      </c>
      <c r="C48" s="285">
        <f>VPI!R48</f>
        <v>8943.6092000000008</v>
      </c>
      <c r="D48" s="27">
        <f>Données!Z48</f>
        <v>237</v>
      </c>
      <c r="E48" s="88">
        <f t="shared" si="5"/>
        <v>37.7367476793249</v>
      </c>
      <c r="F48" s="145">
        <f t="shared" si="6"/>
        <v>0.76298546134324252</v>
      </c>
      <c r="G48" s="376">
        <f t="shared" si="7"/>
        <v>0</v>
      </c>
      <c r="H48" s="376">
        <f t="shared" si="8"/>
        <v>0</v>
      </c>
      <c r="I48" s="376">
        <f t="shared" si="9"/>
        <v>0</v>
      </c>
      <c r="J48" s="376">
        <f t="shared" si="10"/>
        <v>0</v>
      </c>
      <c r="K48" s="376">
        <f t="shared" si="11"/>
        <v>0</v>
      </c>
      <c r="L48" s="378">
        <f t="shared" si="12"/>
        <v>0</v>
      </c>
      <c r="M48" s="244">
        <f>L48*D48*VPI!Q48</f>
        <v>0</v>
      </c>
    </row>
    <row r="49" spans="1:13" x14ac:dyDescent="0.25">
      <c r="A49" s="130">
        <f>Données!A49</f>
        <v>5482</v>
      </c>
      <c r="B49" s="27" t="str">
        <f>Données!B49</f>
        <v>Eclépens</v>
      </c>
      <c r="C49" s="285">
        <f>VPI!R49</f>
        <v>57580.307391304363</v>
      </c>
      <c r="D49" s="27">
        <f>Données!Z49</f>
        <v>1182</v>
      </c>
      <c r="E49" s="88">
        <f t="shared" si="5"/>
        <v>48.714304053556994</v>
      </c>
      <c r="F49" s="145">
        <f t="shared" si="6"/>
        <v>0.98493664764549482</v>
      </c>
      <c r="G49" s="376">
        <f t="shared" si="7"/>
        <v>0</v>
      </c>
      <c r="H49" s="376">
        <f t="shared" si="8"/>
        <v>0</v>
      </c>
      <c r="I49" s="376">
        <f t="shared" si="9"/>
        <v>0</v>
      </c>
      <c r="J49" s="376">
        <f t="shared" si="10"/>
        <v>0</v>
      </c>
      <c r="K49" s="376">
        <f t="shared" si="11"/>
        <v>0</v>
      </c>
      <c r="L49" s="378">
        <f t="shared" si="12"/>
        <v>0</v>
      </c>
      <c r="M49" s="244">
        <f>L49*D49*VPI!Q49</f>
        <v>0</v>
      </c>
    </row>
    <row r="50" spans="1:13" x14ac:dyDescent="0.25">
      <c r="A50" s="130">
        <f>Données!A50</f>
        <v>5483</v>
      </c>
      <c r="B50" s="27" t="str">
        <f>Données!B50</f>
        <v>Ferreyres</v>
      </c>
      <c r="C50" s="285">
        <f>VPI!R50</f>
        <v>11908.696842105262</v>
      </c>
      <c r="D50" s="27">
        <f>Données!Z50</f>
        <v>319</v>
      </c>
      <c r="E50" s="88">
        <f t="shared" si="5"/>
        <v>37.331338063025903</v>
      </c>
      <c r="F50" s="145">
        <f t="shared" si="6"/>
        <v>0.75478863299562238</v>
      </c>
      <c r="G50" s="376">
        <f t="shared" si="7"/>
        <v>0</v>
      </c>
      <c r="H50" s="376">
        <f t="shared" si="8"/>
        <v>0</v>
      </c>
      <c r="I50" s="376">
        <f t="shared" si="9"/>
        <v>0</v>
      </c>
      <c r="J50" s="376">
        <f t="shared" si="10"/>
        <v>0</v>
      </c>
      <c r="K50" s="376">
        <f t="shared" si="11"/>
        <v>0</v>
      </c>
      <c r="L50" s="378">
        <f t="shared" si="12"/>
        <v>0</v>
      </c>
      <c r="M50" s="244">
        <f>L50*D50*VPI!Q50</f>
        <v>0</v>
      </c>
    </row>
    <row r="51" spans="1:13" x14ac:dyDescent="0.25">
      <c r="A51" s="130">
        <f>Données!A51</f>
        <v>5484</v>
      </c>
      <c r="B51" s="27" t="str">
        <f>Données!B51</f>
        <v>Gollion</v>
      </c>
      <c r="C51" s="285">
        <f>VPI!R51</f>
        <v>34768.807162162164</v>
      </c>
      <c r="D51" s="27">
        <f>Données!Z51</f>
        <v>1064</v>
      </c>
      <c r="E51" s="88">
        <f t="shared" si="5"/>
        <v>32.677450340377973</v>
      </c>
      <c r="F51" s="145">
        <f t="shared" si="6"/>
        <v>0.66069338394877331</v>
      </c>
      <c r="G51" s="376">
        <f t="shared" si="7"/>
        <v>0</v>
      </c>
      <c r="H51" s="376">
        <f t="shared" si="8"/>
        <v>0</v>
      </c>
      <c r="I51" s="376">
        <f t="shared" si="9"/>
        <v>0</v>
      </c>
      <c r="J51" s="376">
        <f t="shared" si="10"/>
        <v>0</v>
      </c>
      <c r="K51" s="376">
        <f t="shared" si="11"/>
        <v>0</v>
      </c>
      <c r="L51" s="378">
        <f t="shared" si="12"/>
        <v>0</v>
      </c>
      <c r="M51" s="244">
        <f>L51*D51*VPI!Q51</f>
        <v>0</v>
      </c>
    </row>
    <row r="52" spans="1:13" x14ac:dyDescent="0.25">
      <c r="A52" s="130">
        <f>Données!A52</f>
        <v>5485</v>
      </c>
      <c r="B52" s="27" t="str">
        <f>Données!B52</f>
        <v>Grancy</v>
      </c>
      <c r="C52" s="285">
        <f>VPI!R52</f>
        <v>29330.080571428571</v>
      </c>
      <c r="D52" s="27">
        <f>Données!Z52</f>
        <v>547</v>
      </c>
      <c r="E52" s="88">
        <f t="shared" si="5"/>
        <v>53.619891355445283</v>
      </c>
      <c r="F52" s="145">
        <f t="shared" si="6"/>
        <v>1.0841209181739653</v>
      </c>
      <c r="G52" s="376">
        <f t="shared" si="7"/>
        <v>4.1605640271249911</v>
      </c>
      <c r="H52" s="376">
        <f t="shared" si="8"/>
        <v>0</v>
      </c>
      <c r="I52" s="376">
        <f t="shared" si="9"/>
        <v>0</v>
      </c>
      <c r="J52" s="376">
        <f t="shared" si="10"/>
        <v>0</v>
      </c>
      <c r="K52" s="376">
        <f t="shared" si="11"/>
        <v>0</v>
      </c>
      <c r="L52" s="378">
        <f t="shared" si="12"/>
        <v>0.83211280542499821</v>
      </c>
      <c r="M52" s="244">
        <f>L52*D52*VPI!Q52</f>
        <v>31861.59931972318</v>
      </c>
    </row>
    <row r="53" spans="1:13" x14ac:dyDescent="0.25">
      <c r="A53" s="130">
        <f>Données!A53</f>
        <v>5486</v>
      </c>
      <c r="B53" s="27" t="str">
        <f>Données!B53</f>
        <v>L'Isle</v>
      </c>
      <c r="C53" s="285">
        <f>VPI!R53</f>
        <v>33915.013599999991</v>
      </c>
      <c r="D53" s="27">
        <f>Données!Z53</f>
        <v>1088</v>
      </c>
      <c r="E53" s="88">
        <f t="shared" si="5"/>
        <v>31.171887499999993</v>
      </c>
      <c r="F53" s="145">
        <f t="shared" si="6"/>
        <v>0.63025296104565187</v>
      </c>
      <c r="G53" s="376">
        <f t="shared" si="7"/>
        <v>0</v>
      </c>
      <c r="H53" s="376">
        <f t="shared" si="8"/>
        <v>0</v>
      </c>
      <c r="I53" s="376">
        <f t="shared" si="9"/>
        <v>0</v>
      </c>
      <c r="J53" s="376">
        <f t="shared" si="10"/>
        <v>0</v>
      </c>
      <c r="K53" s="376">
        <f t="shared" si="11"/>
        <v>0</v>
      </c>
      <c r="L53" s="378">
        <f t="shared" si="12"/>
        <v>0</v>
      </c>
      <c r="M53" s="244">
        <f>L53*D53*VPI!Q53</f>
        <v>0</v>
      </c>
    </row>
    <row r="54" spans="1:13" x14ac:dyDescent="0.25">
      <c r="A54" s="130">
        <f>Données!A54</f>
        <v>5487</v>
      </c>
      <c r="B54" s="27" t="str">
        <f>Données!B54</f>
        <v>Lussery-Villars</v>
      </c>
      <c r="C54" s="285">
        <f>VPI!R54</f>
        <v>14930.073733333335</v>
      </c>
      <c r="D54" s="27">
        <f>Données!Z54</f>
        <v>473</v>
      </c>
      <c r="E54" s="88">
        <f t="shared" si="5"/>
        <v>31.564637914023962</v>
      </c>
      <c r="F54" s="145">
        <f t="shared" si="6"/>
        <v>0.63819383762524662</v>
      </c>
      <c r="G54" s="376">
        <f t="shared" si="7"/>
        <v>0</v>
      </c>
      <c r="H54" s="376">
        <f t="shared" si="8"/>
        <v>0</v>
      </c>
      <c r="I54" s="376">
        <f t="shared" si="9"/>
        <v>0</v>
      </c>
      <c r="J54" s="376">
        <f t="shared" si="10"/>
        <v>0</v>
      </c>
      <c r="K54" s="376">
        <f t="shared" si="11"/>
        <v>0</v>
      </c>
      <c r="L54" s="378">
        <f t="shared" si="12"/>
        <v>0</v>
      </c>
      <c r="M54" s="244">
        <f>L54*D54*VPI!Q54</f>
        <v>0</v>
      </c>
    </row>
    <row r="55" spans="1:13" x14ac:dyDescent="0.25">
      <c r="A55" s="130">
        <f>Données!A55</f>
        <v>5488</v>
      </c>
      <c r="B55" s="27" t="str">
        <f>Données!B55</f>
        <v>Mauraz</v>
      </c>
      <c r="C55" s="285">
        <f>VPI!R55</f>
        <v>1845.4819480519479</v>
      </c>
      <c r="D55" s="27">
        <f>Données!Z55</f>
        <v>64</v>
      </c>
      <c r="E55" s="88">
        <f t="shared" si="5"/>
        <v>28.835655438311687</v>
      </c>
      <c r="F55" s="145">
        <f t="shared" si="6"/>
        <v>0.58301754180551624</v>
      </c>
      <c r="G55" s="376">
        <f t="shared" si="7"/>
        <v>0</v>
      </c>
      <c r="H55" s="376">
        <f t="shared" si="8"/>
        <v>0</v>
      </c>
      <c r="I55" s="376">
        <f t="shared" si="9"/>
        <v>0</v>
      </c>
      <c r="J55" s="376">
        <f t="shared" si="10"/>
        <v>0</v>
      </c>
      <c r="K55" s="376">
        <f t="shared" si="11"/>
        <v>0</v>
      </c>
      <c r="L55" s="378">
        <f t="shared" si="12"/>
        <v>0</v>
      </c>
      <c r="M55" s="244">
        <f>L55*D55*VPI!Q55</f>
        <v>0</v>
      </c>
    </row>
    <row r="56" spans="1:13" x14ac:dyDescent="0.25">
      <c r="A56" s="130">
        <f>Données!A56</f>
        <v>5489</v>
      </c>
      <c r="B56" s="27" t="str">
        <f>Données!B56</f>
        <v>Mex</v>
      </c>
      <c r="C56" s="285">
        <f>VPI!R56</f>
        <v>61579.806386554606</v>
      </c>
      <c r="D56" s="27">
        <f>Données!Z56</f>
        <v>816</v>
      </c>
      <c r="E56" s="88">
        <f t="shared" si="5"/>
        <v>75.465449003130644</v>
      </c>
      <c r="F56" s="145">
        <f t="shared" si="6"/>
        <v>1.525808236375251</v>
      </c>
      <c r="G56" s="376">
        <f t="shared" si="7"/>
        <v>26.006121674810352</v>
      </c>
      <c r="H56" s="376">
        <f t="shared" si="8"/>
        <v>16.114256209146298</v>
      </c>
      <c r="I56" s="376">
        <f t="shared" si="9"/>
        <v>1.2764580106502024</v>
      </c>
      <c r="J56" s="376">
        <f t="shared" si="10"/>
        <v>0</v>
      </c>
      <c r="K56" s="376">
        <f t="shared" si="11"/>
        <v>0</v>
      </c>
      <c r="L56" s="378">
        <f t="shared" si="12"/>
        <v>6.9402957569417207</v>
      </c>
      <c r="M56" s="244">
        <f>L56*D56*VPI!Q56</f>
        <v>336965.23959103442</v>
      </c>
    </row>
    <row r="57" spans="1:13" x14ac:dyDescent="0.25">
      <c r="A57" s="130">
        <f>Données!A57</f>
        <v>5490</v>
      </c>
      <c r="B57" s="27" t="str">
        <f>Données!B57</f>
        <v>Moiry</v>
      </c>
      <c r="C57" s="285">
        <f>VPI!R57</f>
        <v>9143.6155263157889</v>
      </c>
      <c r="D57" s="27">
        <f>Données!Z57</f>
        <v>297</v>
      </c>
      <c r="E57" s="88">
        <f t="shared" si="5"/>
        <v>30.786584263689527</v>
      </c>
      <c r="F57" s="145">
        <f t="shared" si="6"/>
        <v>0.62246265622098751</v>
      </c>
      <c r="G57" s="376">
        <f t="shared" si="7"/>
        <v>0</v>
      </c>
      <c r="H57" s="376">
        <f t="shared" si="8"/>
        <v>0</v>
      </c>
      <c r="I57" s="376">
        <f t="shared" si="9"/>
        <v>0</v>
      </c>
      <c r="J57" s="376">
        <f t="shared" si="10"/>
        <v>0</v>
      </c>
      <c r="K57" s="376">
        <f t="shared" si="11"/>
        <v>0</v>
      </c>
      <c r="L57" s="378">
        <f t="shared" si="12"/>
        <v>0</v>
      </c>
      <c r="M57" s="244">
        <f>L57*D57*VPI!Q57</f>
        <v>0</v>
      </c>
    </row>
    <row r="58" spans="1:13" x14ac:dyDescent="0.25">
      <c r="A58" s="130">
        <f>Données!A58</f>
        <v>5491</v>
      </c>
      <c r="B58" s="27" t="str">
        <f>Données!B58</f>
        <v>Mont-la-Ville</v>
      </c>
      <c r="C58" s="285">
        <f>VPI!R58</f>
        <v>14485.97789473684</v>
      </c>
      <c r="D58" s="27">
        <f>Données!Z58</f>
        <v>497</v>
      </c>
      <c r="E58" s="88">
        <f t="shared" si="5"/>
        <v>29.146836810335692</v>
      </c>
      <c r="F58" s="145">
        <f t="shared" si="6"/>
        <v>0.58930920384043084</v>
      </c>
      <c r="G58" s="376">
        <f t="shared" si="7"/>
        <v>0</v>
      </c>
      <c r="H58" s="376">
        <f t="shared" si="8"/>
        <v>0</v>
      </c>
      <c r="I58" s="376">
        <f t="shared" si="9"/>
        <v>0</v>
      </c>
      <c r="J58" s="376">
        <f t="shared" si="10"/>
        <v>0</v>
      </c>
      <c r="K58" s="376">
        <f t="shared" si="11"/>
        <v>0</v>
      </c>
      <c r="L58" s="378">
        <f t="shared" si="12"/>
        <v>0</v>
      </c>
      <c r="M58" s="244">
        <f>L58*D58*VPI!Q58</f>
        <v>0</v>
      </c>
    </row>
    <row r="59" spans="1:13" x14ac:dyDescent="0.25">
      <c r="A59" s="130">
        <f>Données!A59</f>
        <v>5492</v>
      </c>
      <c r="B59" s="27" t="str">
        <f>Données!B59</f>
        <v>Montricher</v>
      </c>
      <c r="C59" s="285">
        <f>VPI!R59</f>
        <v>196115.50781249997</v>
      </c>
      <c r="D59" s="27">
        <f>Données!Z59</f>
        <v>962</v>
      </c>
      <c r="E59" s="88">
        <f t="shared" si="5"/>
        <v>203.86227423336794</v>
      </c>
      <c r="F59" s="145">
        <f t="shared" si="6"/>
        <v>4.1218165560581106</v>
      </c>
      <c r="G59" s="376">
        <f t="shared" si="7"/>
        <v>154.40294690504766</v>
      </c>
      <c r="H59" s="376">
        <f t="shared" si="8"/>
        <v>144.51108143938359</v>
      </c>
      <c r="I59" s="376">
        <f t="shared" si="9"/>
        <v>129.67328324088749</v>
      </c>
      <c r="J59" s="376">
        <f t="shared" si="10"/>
        <v>104.94361957672736</v>
      </c>
      <c r="K59" s="376">
        <f t="shared" si="11"/>
        <v>55.484292248407058</v>
      </c>
      <c r="L59" s="378">
        <f t="shared" si="12"/>
        <v>74.341817031550079</v>
      </c>
      <c r="M59" s="244">
        <f>L59*D59*VPI!Q59</f>
        <v>4577076.9909984749</v>
      </c>
    </row>
    <row r="60" spans="1:13" x14ac:dyDescent="0.25">
      <c r="A60" s="130">
        <f>Données!A60</f>
        <v>5493</v>
      </c>
      <c r="B60" s="27" t="str">
        <f>Données!B60</f>
        <v>Orny</v>
      </c>
      <c r="C60" s="285">
        <f>VPI!R60</f>
        <v>15159.363245521601</v>
      </c>
      <c r="D60" s="27">
        <f>Données!Z60</f>
        <v>500</v>
      </c>
      <c r="E60" s="88">
        <f t="shared" si="5"/>
        <v>30.318726491043201</v>
      </c>
      <c r="F60" s="145">
        <f t="shared" si="6"/>
        <v>0.61300321150309645</v>
      </c>
      <c r="G60" s="376">
        <f t="shared" si="7"/>
        <v>0</v>
      </c>
      <c r="H60" s="376">
        <f t="shared" si="8"/>
        <v>0</v>
      </c>
      <c r="I60" s="376">
        <f t="shared" si="9"/>
        <v>0</v>
      </c>
      <c r="J60" s="376">
        <f t="shared" si="10"/>
        <v>0</v>
      </c>
      <c r="K60" s="376">
        <f t="shared" si="11"/>
        <v>0</v>
      </c>
      <c r="L60" s="378">
        <f t="shared" si="12"/>
        <v>0</v>
      </c>
      <c r="M60" s="244">
        <f>L60*D60*VPI!Q60</f>
        <v>0</v>
      </c>
    </row>
    <row r="61" spans="1:13" x14ac:dyDescent="0.25">
      <c r="A61" s="130">
        <f>Données!A61</f>
        <v>5495</v>
      </c>
      <c r="B61" s="27" t="str">
        <f>Données!B61</f>
        <v>Penthalaz</v>
      </c>
      <c r="C61" s="285">
        <f>VPI!R61</f>
        <v>95849.092413793114</v>
      </c>
      <c r="D61" s="27">
        <f>Données!Z61</f>
        <v>3199</v>
      </c>
      <c r="E61" s="88">
        <f t="shared" si="5"/>
        <v>29.962204568237922</v>
      </c>
      <c r="F61" s="145">
        <f t="shared" si="6"/>
        <v>0.60579482550062169</v>
      </c>
      <c r="G61" s="376">
        <f t="shared" si="7"/>
        <v>0</v>
      </c>
      <c r="H61" s="376">
        <f t="shared" si="8"/>
        <v>0</v>
      </c>
      <c r="I61" s="376">
        <f t="shared" si="9"/>
        <v>0</v>
      </c>
      <c r="J61" s="376">
        <f t="shared" si="10"/>
        <v>0</v>
      </c>
      <c r="K61" s="376">
        <f t="shared" si="11"/>
        <v>0</v>
      </c>
      <c r="L61" s="378">
        <f t="shared" si="12"/>
        <v>0</v>
      </c>
      <c r="M61" s="244">
        <f>L61*D61*VPI!Q61</f>
        <v>0</v>
      </c>
    </row>
    <row r="62" spans="1:13" x14ac:dyDescent="0.25">
      <c r="A62" s="130">
        <f>Données!A62</f>
        <v>5496</v>
      </c>
      <c r="B62" s="27" t="str">
        <f>Données!B62</f>
        <v>Penthaz</v>
      </c>
      <c r="C62" s="285">
        <f>VPI!R62</f>
        <v>67087.565323741001</v>
      </c>
      <c r="D62" s="27">
        <f>Données!Z62</f>
        <v>1899</v>
      </c>
      <c r="E62" s="88">
        <f t="shared" si="5"/>
        <v>35.327838506446028</v>
      </c>
      <c r="F62" s="145">
        <f t="shared" si="6"/>
        <v>0.7142806102463386</v>
      </c>
      <c r="G62" s="376">
        <f t="shared" si="7"/>
        <v>0</v>
      </c>
      <c r="H62" s="376">
        <f t="shared" si="8"/>
        <v>0</v>
      </c>
      <c r="I62" s="376">
        <f t="shared" si="9"/>
        <v>0</v>
      </c>
      <c r="J62" s="376">
        <f t="shared" si="10"/>
        <v>0</v>
      </c>
      <c r="K62" s="376">
        <f t="shared" si="11"/>
        <v>0</v>
      </c>
      <c r="L62" s="378">
        <f t="shared" si="12"/>
        <v>0</v>
      </c>
      <c r="M62" s="244">
        <f>L62*D62*VPI!Q62</f>
        <v>0</v>
      </c>
    </row>
    <row r="63" spans="1:13" x14ac:dyDescent="0.25">
      <c r="A63" s="130">
        <f>Données!A63</f>
        <v>5497</v>
      </c>
      <c r="B63" s="27" t="str">
        <f>Données!B63</f>
        <v>Pompaples</v>
      </c>
      <c r="C63" s="285">
        <f>VPI!R63</f>
        <v>25508.981363636369</v>
      </c>
      <c r="D63" s="27">
        <f>Données!Z63</f>
        <v>926</v>
      </c>
      <c r="E63" s="88">
        <f t="shared" si="5"/>
        <v>27.547496073041437</v>
      </c>
      <c r="F63" s="145">
        <f t="shared" si="6"/>
        <v>0.5569727200326845</v>
      </c>
      <c r="G63" s="376">
        <f t="shared" si="7"/>
        <v>0</v>
      </c>
      <c r="H63" s="376">
        <f t="shared" si="8"/>
        <v>0</v>
      </c>
      <c r="I63" s="376">
        <f t="shared" si="9"/>
        <v>0</v>
      </c>
      <c r="J63" s="376">
        <f t="shared" si="10"/>
        <v>0</v>
      </c>
      <c r="K63" s="376">
        <f t="shared" si="11"/>
        <v>0</v>
      </c>
      <c r="L63" s="378">
        <f t="shared" si="12"/>
        <v>0</v>
      </c>
      <c r="M63" s="244">
        <f>L63*D63*VPI!Q63</f>
        <v>0</v>
      </c>
    </row>
    <row r="64" spans="1:13" x14ac:dyDescent="0.25">
      <c r="A64" s="130">
        <f>Données!A64</f>
        <v>5498</v>
      </c>
      <c r="B64" s="27" t="str">
        <f>Données!B64</f>
        <v>La Sarraz</v>
      </c>
      <c r="C64" s="285">
        <f>VPI!R64</f>
        <v>78158.734848484863</v>
      </c>
      <c r="D64" s="27">
        <f>Données!Z64</f>
        <v>2599</v>
      </c>
      <c r="E64" s="88">
        <f t="shared" si="5"/>
        <v>30.072618256438961</v>
      </c>
      <c r="F64" s="145">
        <f t="shared" si="6"/>
        <v>0.60802723936804237</v>
      </c>
      <c r="G64" s="376">
        <f t="shared" si="7"/>
        <v>0</v>
      </c>
      <c r="H64" s="376">
        <f t="shared" si="8"/>
        <v>0</v>
      </c>
      <c r="I64" s="376">
        <f t="shared" si="9"/>
        <v>0</v>
      </c>
      <c r="J64" s="376">
        <f t="shared" si="10"/>
        <v>0</v>
      </c>
      <c r="K64" s="376">
        <f t="shared" si="11"/>
        <v>0</v>
      </c>
      <c r="L64" s="378">
        <f t="shared" si="12"/>
        <v>0</v>
      </c>
      <c r="M64" s="244">
        <f>L64*D64*VPI!Q64</f>
        <v>0</v>
      </c>
    </row>
    <row r="65" spans="1:13" x14ac:dyDescent="0.25">
      <c r="A65" s="130">
        <f>Données!A65</f>
        <v>5499</v>
      </c>
      <c r="B65" s="27" t="str">
        <f>Données!B65</f>
        <v>Senarclens</v>
      </c>
      <c r="C65" s="285">
        <f>VPI!R65</f>
        <v>25627.946715328464</v>
      </c>
      <c r="D65" s="27">
        <f>Données!Z65</f>
        <v>491</v>
      </c>
      <c r="E65" s="88">
        <f t="shared" si="5"/>
        <v>52.19541082551622</v>
      </c>
      <c r="F65" s="145">
        <f t="shared" si="6"/>
        <v>1.0553198687688026</v>
      </c>
      <c r="G65" s="376">
        <f t="shared" si="7"/>
        <v>2.7360834971959278</v>
      </c>
      <c r="H65" s="376">
        <f t="shared" si="8"/>
        <v>0</v>
      </c>
      <c r="I65" s="376">
        <f t="shared" si="9"/>
        <v>0</v>
      </c>
      <c r="J65" s="376">
        <f t="shared" si="10"/>
        <v>0</v>
      </c>
      <c r="K65" s="376">
        <f t="shared" si="11"/>
        <v>0</v>
      </c>
      <c r="L65" s="378">
        <f t="shared" si="12"/>
        <v>0.54721669943918561</v>
      </c>
      <c r="M65" s="244">
        <f>L65*D65*VPI!Q65</f>
        <v>18404.812860587848</v>
      </c>
    </row>
    <row r="66" spans="1:13" x14ac:dyDescent="0.25">
      <c r="A66" s="130">
        <f>Données!A66</f>
        <v>5501</v>
      </c>
      <c r="B66" s="27" t="str">
        <f>Données!B66</f>
        <v>Sullens</v>
      </c>
      <c r="C66" s="285">
        <f>VPI!R66</f>
        <v>54206.164375000008</v>
      </c>
      <c r="D66" s="27">
        <f>Données!Z66</f>
        <v>1198</v>
      </c>
      <c r="E66" s="88">
        <f t="shared" si="5"/>
        <v>45.247215671953263</v>
      </c>
      <c r="F66" s="145">
        <f t="shared" si="6"/>
        <v>0.91483685921552793</v>
      </c>
      <c r="G66" s="376">
        <f t="shared" si="7"/>
        <v>0</v>
      </c>
      <c r="H66" s="376">
        <f t="shared" si="8"/>
        <v>0</v>
      </c>
      <c r="I66" s="376">
        <f t="shared" si="9"/>
        <v>0</v>
      </c>
      <c r="J66" s="376">
        <f t="shared" si="10"/>
        <v>0</v>
      </c>
      <c r="K66" s="376">
        <f t="shared" si="11"/>
        <v>0</v>
      </c>
      <c r="L66" s="378">
        <f t="shared" si="12"/>
        <v>0</v>
      </c>
      <c r="M66" s="244">
        <f>L66*D66*VPI!Q66</f>
        <v>0</v>
      </c>
    </row>
    <row r="67" spans="1:13" x14ac:dyDescent="0.25">
      <c r="A67" s="130">
        <f>Données!A67</f>
        <v>5503</v>
      </c>
      <c r="B67" s="27" t="str">
        <f>Données!B67</f>
        <v>Vufflens-la-Ville</v>
      </c>
      <c r="C67" s="285">
        <f>VPI!R67</f>
        <v>77419.766343283569</v>
      </c>
      <c r="D67" s="27">
        <f>Données!Z67</f>
        <v>1336</v>
      </c>
      <c r="E67" s="88">
        <f t="shared" si="5"/>
        <v>57.948926903655369</v>
      </c>
      <c r="F67" s="145">
        <f t="shared" si="6"/>
        <v>1.1716481002456731</v>
      </c>
      <c r="G67" s="376">
        <f t="shared" si="7"/>
        <v>8.4895995753350775</v>
      </c>
      <c r="H67" s="376">
        <f t="shared" si="8"/>
        <v>0</v>
      </c>
      <c r="I67" s="376">
        <f t="shared" si="9"/>
        <v>0</v>
      </c>
      <c r="J67" s="376">
        <f t="shared" si="10"/>
        <v>0</v>
      </c>
      <c r="K67" s="376">
        <f t="shared" si="11"/>
        <v>0</v>
      </c>
      <c r="L67" s="378">
        <f t="shared" si="12"/>
        <v>1.6979199150670157</v>
      </c>
      <c r="M67" s="244">
        <f>L67*D67*VPI!Q67</f>
        <v>151984.2074374787</v>
      </c>
    </row>
    <row r="68" spans="1:13" x14ac:dyDescent="0.25">
      <c r="A68" s="130">
        <f>Données!A68</f>
        <v>5511</v>
      </c>
      <c r="B68" s="27" t="str">
        <f>Données!B68</f>
        <v>Assens</v>
      </c>
      <c r="C68" s="285">
        <f>VPI!R68</f>
        <v>74810.046857142865</v>
      </c>
      <c r="D68" s="27">
        <f>Données!Z68</f>
        <v>1698</v>
      </c>
      <c r="E68" s="88">
        <f t="shared" si="5"/>
        <v>44.057742554265523</v>
      </c>
      <c r="F68" s="145">
        <f t="shared" si="6"/>
        <v>0.89078733848929981</v>
      </c>
      <c r="G68" s="376">
        <f t="shared" si="7"/>
        <v>0</v>
      </c>
      <c r="H68" s="376">
        <f t="shared" si="8"/>
        <v>0</v>
      </c>
      <c r="I68" s="376">
        <f t="shared" si="9"/>
        <v>0</v>
      </c>
      <c r="J68" s="376">
        <f t="shared" si="10"/>
        <v>0</v>
      </c>
      <c r="K68" s="376">
        <f t="shared" si="11"/>
        <v>0</v>
      </c>
      <c r="L68" s="378">
        <f t="shared" si="12"/>
        <v>0</v>
      </c>
      <c r="M68" s="244">
        <f>L68*D68*VPI!Q68</f>
        <v>0</v>
      </c>
    </row>
    <row r="69" spans="1:13" x14ac:dyDescent="0.25">
      <c r="A69" s="130">
        <f>Données!A69</f>
        <v>5512</v>
      </c>
      <c r="B69" s="27" t="str">
        <f>Données!B69</f>
        <v>Bercher</v>
      </c>
      <c r="C69" s="285">
        <f>VPI!R69</f>
        <v>42301.871392405068</v>
      </c>
      <c r="D69" s="27">
        <f>Données!Z69</f>
        <v>1330</v>
      </c>
      <c r="E69" s="88">
        <f t="shared" si="5"/>
        <v>31.805918340154186</v>
      </c>
      <c r="F69" s="145">
        <f t="shared" si="6"/>
        <v>0.64307219807136751</v>
      </c>
      <c r="G69" s="376">
        <f t="shared" si="7"/>
        <v>0</v>
      </c>
      <c r="H69" s="376">
        <f t="shared" si="8"/>
        <v>0</v>
      </c>
      <c r="I69" s="376">
        <f t="shared" si="9"/>
        <v>0</v>
      </c>
      <c r="J69" s="376">
        <f t="shared" si="10"/>
        <v>0</v>
      </c>
      <c r="K69" s="376">
        <f t="shared" si="11"/>
        <v>0</v>
      </c>
      <c r="L69" s="378">
        <f t="shared" si="12"/>
        <v>0</v>
      </c>
      <c r="M69" s="244">
        <f>L69*D69*VPI!Q69</f>
        <v>0</v>
      </c>
    </row>
    <row r="70" spans="1:13" x14ac:dyDescent="0.25">
      <c r="A70" s="130">
        <f>Données!A70</f>
        <v>5514</v>
      </c>
      <c r="B70" s="27" t="str">
        <f>Données!B70</f>
        <v>Bottens</v>
      </c>
      <c r="C70" s="285">
        <f>VPI!R70</f>
        <v>45049.61903448277</v>
      </c>
      <c r="D70" s="27">
        <f>Données!Z70</f>
        <v>1378</v>
      </c>
      <c r="E70" s="88">
        <f t="shared" si="5"/>
        <v>32.692031229668196</v>
      </c>
      <c r="F70" s="145">
        <f t="shared" si="6"/>
        <v>0.66098818960177841</v>
      </c>
      <c r="G70" s="376">
        <f t="shared" si="7"/>
        <v>0</v>
      </c>
      <c r="H70" s="376">
        <f t="shared" si="8"/>
        <v>0</v>
      </c>
      <c r="I70" s="376">
        <f t="shared" si="9"/>
        <v>0</v>
      </c>
      <c r="J70" s="376">
        <f t="shared" si="10"/>
        <v>0</v>
      </c>
      <c r="K70" s="376">
        <f t="shared" si="11"/>
        <v>0</v>
      </c>
      <c r="L70" s="378">
        <f t="shared" si="12"/>
        <v>0</v>
      </c>
      <c r="M70" s="244">
        <f>L70*D70*VPI!Q70</f>
        <v>0</v>
      </c>
    </row>
    <row r="71" spans="1:13" x14ac:dyDescent="0.25">
      <c r="A71" s="130">
        <f>Données!A71</f>
        <v>5515</v>
      </c>
      <c r="B71" s="27" t="str">
        <f>Données!B71</f>
        <v>Bretigny-sur-Morrens</v>
      </c>
      <c r="C71" s="285">
        <f>VPI!R71</f>
        <v>32261.164358974351</v>
      </c>
      <c r="D71" s="27">
        <f>Données!Z71</f>
        <v>893</v>
      </c>
      <c r="E71" s="88">
        <f t="shared" ref="E71:E134" si="13">C71/D71</f>
        <v>36.126723806242275</v>
      </c>
      <c r="F71" s="145">
        <f t="shared" ref="F71:F134" si="14">E71/$E$306</f>
        <v>0.73043297913104044</v>
      </c>
      <c r="G71" s="376">
        <f t="shared" ref="G71:G134" si="15">IF(E71-$G$3&lt;0,0,E71-$G$3)</f>
        <v>0</v>
      </c>
      <c r="H71" s="376">
        <f t="shared" ref="H71:H134" si="16">IF(E71-$H$3&lt;0,0,E71-$H$3)</f>
        <v>0</v>
      </c>
      <c r="I71" s="376">
        <f t="shared" ref="I71:I134" si="17">IF(E71-$I$3&lt;0,0,E71-$I$3)</f>
        <v>0</v>
      </c>
      <c r="J71" s="376">
        <f t="shared" ref="J71:J134" si="18">IF(E71-$J$3&lt;0,0,E71-$J$3)</f>
        <v>0</v>
      </c>
      <c r="K71" s="376">
        <f t="shared" ref="K71:K134" si="19">IF(E71-$K$3&lt;0,0,E71-$K$3)</f>
        <v>0</v>
      </c>
      <c r="L71" s="378">
        <f t="shared" ref="L71:L134" si="20">(G71-H71)*$G$4+(H71-I71)*$H$4+(I71-J71)*$I$4+(J71-K71)*$J$4+(K71*$K$4)</f>
        <v>0</v>
      </c>
      <c r="M71" s="244">
        <f>L71*D71*VPI!Q71</f>
        <v>0</v>
      </c>
    </row>
    <row r="72" spans="1:13" x14ac:dyDescent="0.25">
      <c r="A72" s="130">
        <f>Données!A72</f>
        <v>5516</v>
      </c>
      <c r="B72" s="27" t="str">
        <f>Données!B72</f>
        <v>Cugy</v>
      </c>
      <c r="C72" s="285">
        <f>VPI!R72</f>
        <v>114099.68980263159</v>
      </c>
      <c r="D72" s="27">
        <f>Données!Z72</f>
        <v>2733</v>
      </c>
      <c r="E72" s="88">
        <f t="shared" si="13"/>
        <v>41.748880279045586</v>
      </c>
      <c r="F72" s="145">
        <f t="shared" si="14"/>
        <v>0.84410529892387509</v>
      </c>
      <c r="G72" s="376">
        <f t="shared" si="15"/>
        <v>0</v>
      </c>
      <c r="H72" s="376">
        <f t="shared" si="16"/>
        <v>0</v>
      </c>
      <c r="I72" s="376">
        <f t="shared" si="17"/>
        <v>0</v>
      </c>
      <c r="J72" s="376">
        <f t="shared" si="18"/>
        <v>0</v>
      </c>
      <c r="K72" s="376">
        <f t="shared" si="19"/>
        <v>0</v>
      </c>
      <c r="L72" s="378">
        <f t="shared" si="20"/>
        <v>0</v>
      </c>
      <c r="M72" s="244">
        <f>L72*D72*VPI!Q72</f>
        <v>0</v>
      </c>
    </row>
    <row r="73" spans="1:13" x14ac:dyDescent="0.25">
      <c r="A73" s="130">
        <f>Données!A73</f>
        <v>5518</v>
      </c>
      <c r="B73" s="27" t="str">
        <f>Données!B73</f>
        <v>Echallens</v>
      </c>
      <c r="C73" s="285">
        <f>VPI!R73</f>
        <v>201769.75393103444</v>
      </c>
      <c r="D73" s="27">
        <f>Données!Z73</f>
        <v>6572</v>
      </c>
      <c r="E73" s="88">
        <f t="shared" si="13"/>
        <v>30.701423300522588</v>
      </c>
      <c r="F73" s="145">
        <f t="shared" si="14"/>
        <v>0.62074081793957248</v>
      </c>
      <c r="G73" s="376">
        <f t="shared" si="15"/>
        <v>0</v>
      </c>
      <c r="H73" s="376">
        <f t="shared" si="16"/>
        <v>0</v>
      </c>
      <c r="I73" s="376">
        <f t="shared" si="17"/>
        <v>0</v>
      </c>
      <c r="J73" s="376">
        <f t="shared" si="18"/>
        <v>0</v>
      </c>
      <c r="K73" s="376">
        <f t="shared" si="19"/>
        <v>0</v>
      </c>
      <c r="L73" s="378">
        <f t="shared" si="20"/>
        <v>0</v>
      </c>
      <c r="M73" s="244">
        <f>L73*D73*VPI!Q73</f>
        <v>0</v>
      </c>
    </row>
    <row r="74" spans="1:13" x14ac:dyDescent="0.25">
      <c r="A74" s="130">
        <f>Données!A74</f>
        <v>5520</v>
      </c>
      <c r="B74" s="27" t="str">
        <f>Données!B74</f>
        <v>Essertines-sur-Yverdon</v>
      </c>
      <c r="C74" s="285">
        <f>VPI!R74</f>
        <v>32600.230945945943</v>
      </c>
      <c r="D74" s="27">
        <f>Données!Z74</f>
        <v>1105</v>
      </c>
      <c r="E74" s="88">
        <f t="shared" si="13"/>
        <v>29.502471444294972</v>
      </c>
      <c r="F74" s="145">
        <f t="shared" si="14"/>
        <v>0.59649965007514216</v>
      </c>
      <c r="G74" s="376">
        <f t="shared" si="15"/>
        <v>0</v>
      </c>
      <c r="H74" s="376">
        <f t="shared" si="16"/>
        <v>0</v>
      </c>
      <c r="I74" s="376">
        <f t="shared" si="17"/>
        <v>0</v>
      </c>
      <c r="J74" s="376">
        <f t="shared" si="18"/>
        <v>0</v>
      </c>
      <c r="K74" s="376">
        <f t="shared" si="19"/>
        <v>0</v>
      </c>
      <c r="L74" s="378">
        <f t="shared" si="20"/>
        <v>0</v>
      </c>
      <c r="M74" s="244">
        <f>L74*D74*VPI!Q74</f>
        <v>0</v>
      </c>
    </row>
    <row r="75" spans="1:13" x14ac:dyDescent="0.25">
      <c r="A75" s="130">
        <f>Données!A75</f>
        <v>5521</v>
      </c>
      <c r="B75" s="27" t="str">
        <f>Données!B75</f>
        <v>Etagnières</v>
      </c>
      <c r="C75" s="285">
        <f>VPI!R75</f>
        <v>45069.292328767129</v>
      </c>
      <c r="D75" s="27">
        <f>Données!Z75</f>
        <v>1172</v>
      </c>
      <c r="E75" s="88">
        <f t="shared" si="13"/>
        <v>38.455027584272294</v>
      </c>
      <c r="F75" s="145">
        <f t="shared" si="14"/>
        <v>0.77750809931159415</v>
      </c>
      <c r="G75" s="376">
        <f t="shared" si="15"/>
        <v>0</v>
      </c>
      <c r="H75" s="376">
        <f t="shared" si="16"/>
        <v>0</v>
      </c>
      <c r="I75" s="376">
        <f t="shared" si="17"/>
        <v>0</v>
      </c>
      <c r="J75" s="376">
        <f t="shared" si="18"/>
        <v>0</v>
      </c>
      <c r="K75" s="376">
        <f t="shared" si="19"/>
        <v>0</v>
      </c>
      <c r="L75" s="378">
        <f t="shared" si="20"/>
        <v>0</v>
      </c>
      <c r="M75" s="244">
        <f>L75*D75*VPI!Q75</f>
        <v>0</v>
      </c>
    </row>
    <row r="76" spans="1:13" x14ac:dyDescent="0.25">
      <c r="A76" s="130">
        <f>Données!A76</f>
        <v>5522</v>
      </c>
      <c r="B76" s="27" t="str">
        <f>Données!B76</f>
        <v>Fey</v>
      </c>
      <c r="C76" s="285">
        <f>VPI!R76</f>
        <v>22943.940666666665</v>
      </c>
      <c r="D76" s="27">
        <f>Données!Z76</f>
        <v>763</v>
      </c>
      <c r="E76" s="88">
        <f t="shared" si="13"/>
        <v>30.070695500218434</v>
      </c>
      <c r="F76" s="145">
        <f t="shared" si="14"/>
        <v>0.60798836386519206</v>
      </c>
      <c r="G76" s="376">
        <f t="shared" si="15"/>
        <v>0</v>
      </c>
      <c r="H76" s="376">
        <f t="shared" si="16"/>
        <v>0</v>
      </c>
      <c r="I76" s="376">
        <f t="shared" si="17"/>
        <v>0</v>
      </c>
      <c r="J76" s="376">
        <f t="shared" si="18"/>
        <v>0</v>
      </c>
      <c r="K76" s="376">
        <f t="shared" si="19"/>
        <v>0</v>
      </c>
      <c r="L76" s="378">
        <f t="shared" si="20"/>
        <v>0</v>
      </c>
      <c r="M76" s="244">
        <f>L76*D76*VPI!Q76</f>
        <v>0</v>
      </c>
    </row>
    <row r="77" spans="1:13" x14ac:dyDescent="0.25">
      <c r="A77" s="130">
        <f>Données!A77</f>
        <v>5523</v>
      </c>
      <c r="B77" s="27" t="str">
        <f>Données!B77</f>
        <v>Froideville</v>
      </c>
      <c r="C77" s="285">
        <f>VPI!R77</f>
        <v>92586.842777777769</v>
      </c>
      <c r="D77" s="27">
        <f>Données!Z77</f>
        <v>2728</v>
      </c>
      <c r="E77" s="88">
        <f t="shared" si="13"/>
        <v>33.939458496252847</v>
      </c>
      <c r="F77" s="145">
        <f t="shared" si="14"/>
        <v>0.68620946400981875</v>
      </c>
      <c r="G77" s="376">
        <f t="shared" si="15"/>
        <v>0</v>
      </c>
      <c r="H77" s="376">
        <f t="shared" si="16"/>
        <v>0</v>
      </c>
      <c r="I77" s="376">
        <f t="shared" si="17"/>
        <v>0</v>
      </c>
      <c r="J77" s="376">
        <f t="shared" si="18"/>
        <v>0</v>
      </c>
      <c r="K77" s="376">
        <f t="shared" si="19"/>
        <v>0</v>
      </c>
      <c r="L77" s="378">
        <f t="shared" si="20"/>
        <v>0</v>
      </c>
      <c r="M77" s="244">
        <f>L77*D77*VPI!Q77</f>
        <v>0</v>
      </c>
    </row>
    <row r="78" spans="1:13" x14ac:dyDescent="0.25">
      <c r="A78" s="130">
        <f>Données!A78</f>
        <v>5527</v>
      </c>
      <c r="B78" s="27" t="str">
        <f>Données!B78</f>
        <v>Morrens</v>
      </c>
      <c r="C78" s="285">
        <f>VPI!R78</f>
        <v>42908.9222972973</v>
      </c>
      <c r="D78" s="27">
        <f>Données!Z78</f>
        <v>1142</v>
      </c>
      <c r="E78" s="88">
        <f t="shared" si="13"/>
        <v>37.573487125479247</v>
      </c>
      <c r="F78" s="145">
        <f t="shared" si="14"/>
        <v>0.75968455608098739</v>
      </c>
      <c r="G78" s="376">
        <f t="shared" si="15"/>
        <v>0</v>
      </c>
      <c r="H78" s="376">
        <f t="shared" si="16"/>
        <v>0</v>
      </c>
      <c r="I78" s="376">
        <f t="shared" si="17"/>
        <v>0</v>
      </c>
      <c r="J78" s="376">
        <f t="shared" si="18"/>
        <v>0</v>
      </c>
      <c r="K78" s="376">
        <f t="shared" si="19"/>
        <v>0</v>
      </c>
      <c r="L78" s="378">
        <f t="shared" si="20"/>
        <v>0</v>
      </c>
      <c r="M78" s="244">
        <f>L78*D78*VPI!Q78</f>
        <v>0</v>
      </c>
    </row>
    <row r="79" spans="1:13" x14ac:dyDescent="0.25">
      <c r="A79" s="130">
        <f>Données!A79</f>
        <v>5529</v>
      </c>
      <c r="B79" s="27" t="str">
        <f>Données!B79</f>
        <v>Oulens-sous-Echallens</v>
      </c>
      <c r="C79" s="285">
        <f>VPI!R79</f>
        <v>22948.614507042254</v>
      </c>
      <c r="D79" s="27">
        <f>Données!Z79</f>
        <v>600</v>
      </c>
      <c r="E79" s="88">
        <f t="shared" si="13"/>
        <v>38.247690845070423</v>
      </c>
      <c r="F79" s="145">
        <f t="shared" si="14"/>
        <v>0.77331603382260083</v>
      </c>
      <c r="G79" s="376">
        <f t="shared" si="15"/>
        <v>0</v>
      </c>
      <c r="H79" s="376">
        <f t="shared" si="16"/>
        <v>0</v>
      </c>
      <c r="I79" s="376">
        <f t="shared" si="17"/>
        <v>0</v>
      </c>
      <c r="J79" s="376">
        <f t="shared" si="18"/>
        <v>0</v>
      </c>
      <c r="K79" s="376">
        <f t="shared" si="19"/>
        <v>0</v>
      </c>
      <c r="L79" s="378">
        <f t="shared" si="20"/>
        <v>0</v>
      </c>
      <c r="M79" s="244">
        <f>L79*D79*VPI!Q79</f>
        <v>0</v>
      </c>
    </row>
    <row r="80" spans="1:13" x14ac:dyDescent="0.25">
      <c r="A80" s="130">
        <f>Données!A80</f>
        <v>5530</v>
      </c>
      <c r="B80" s="27" t="str">
        <f>Données!B80</f>
        <v>Pailly</v>
      </c>
      <c r="C80" s="285">
        <f>VPI!R80</f>
        <v>20543.565197368422</v>
      </c>
      <c r="D80" s="27">
        <f>Données!Z80</f>
        <v>576</v>
      </c>
      <c r="E80" s="88">
        <f t="shared" si="13"/>
        <v>35.665911800986841</v>
      </c>
      <c r="F80" s="145">
        <f t="shared" si="14"/>
        <v>0.72111599019998451</v>
      </c>
      <c r="G80" s="376">
        <f t="shared" si="15"/>
        <v>0</v>
      </c>
      <c r="H80" s="376">
        <f t="shared" si="16"/>
        <v>0</v>
      </c>
      <c r="I80" s="376">
        <f t="shared" si="17"/>
        <v>0</v>
      </c>
      <c r="J80" s="376">
        <f t="shared" si="18"/>
        <v>0</v>
      </c>
      <c r="K80" s="376">
        <f t="shared" si="19"/>
        <v>0</v>
      </c>
      <c r="L80" s="378">
        <f t="shared" si="20"/>
        <v>0</v>
      </c>
      <c r="M80" s="244">
        <f>L80*D80*VPI!Q80</f>
        <v>0</v>
      </c>
    </row>
    <row r="81" spans="1:13" x14ac:dyDescent="0.25">
      <c r="A81" s="130">
        <f>Données!A81</f>
        <v>5531</v>
      </c>
      <c r="B81" s="27" t="str">
        <f>Données!B81</f>
        <v>Penthéréaz</v>
      </c>
      <c r="C81" s="285">
        <f>VPI!R81</f>
        <v>17158.758513513516</v>
      </c>
      <c r="D81" s="27">
        <f>Données!Z81</f>
        <v>437</v>
      </c>
      <c r="E81" s="88">
        <f t="shared" si="13"/>
        <v>39.26489362360072</v>
      </c>
      <c r="F81" s="145">
        <f t="shared" si="14"/>
        <v>0.79388248374170134</v>
      </c>
      <c r="G81" s="376">
        <f t="shared" si="15"/>
        <v>0</v>
      </c>
      <c r="H81" s="376">
        <f t="shared" si="16"/>
        <v>0</v>
      </c>
      <c r="I81" s="376">
        <f t="shared" si="17"/>
        <v>0</v>
      </c>
      <c r="J81" s="376">
        <f t="shared" si="18"/>
        <v>0</v>
      </c>
      <c r="K81" s="376">
        <f t="shared" si="19"/>
        <v>0</v>
      </c>
      <c r="L81" s="378">
        <f t="shared" si="20"/>
        <v>0</v>
      </c>
      <c r="M81" s="244">
        <f>L81*D81*VPI!Q81</f>
        <v>0</v>
      </c>
    </row>
    <row r="82" spans="1:13" x14ac:dyDescent="0.25">
      <c r="A82" s="130">
        <f>Données!A82</f>
        <v>5533</v>
      </c>
      <c r="B82" s="27" t="str">
        <f>Données!B82</f>
        <v>Poliez-Pittet</v>
      </c>
      <c r="C82" s="285">
        <f>VPI!R82</f>
        <v>27174.793424657531</v>
      </c>
      <c r="D82" s="27">
        <f>Données!Z82</f>
        <v>876</v>
      </c>
      <c r="E82" s="88">
        <f t="shared" si="13"/>
        <v>31.021453681115904</v>
      </c>
      <c r="F82" s="145">
        <f t="shared" si="14"/>
        <v>0.62721139483336841</v>
      </c>
      <c r="G82" s="376">
        <f t="shared" si="15"/>
        <v>0</v>
      </c>
      <c r="H82" s="376">
        <f t="shared" si="16"/>
        <v>0</v>
      </c>
      <c r="I82" s="376">
        <f t="shared" si="17"/>
        <v>0</v>
      </c>
      <c r="J82" s="376">
        <f t="shared" si="18"/>
        <v>0</v>
      </c>
      <c r="K82" s="376">
        <f t="shared" si="19"/>
        <v>0</v>
      </c>
      <c r="L82" s="378">
        <f t="shared" si="20"/>
        <v>0</v>
      </c>
      <c r="M82" s="244">
        <f>L82*D82*VPI!Q82</f>
        <v>0</v>
      </c>
    </row>
    <row r="83" spans="1:13" x14ac:dyDescent="0.25">
      <c r="A83" s="130">
        <f>Données!A83</f>
        <v>5534</v>
      </c>
      <c r="B83" s="27" t="str">
        <f>Données!B83</f>
        <v>Rueyres</v>
      </c>
      <c r="C83" s="285">
        <f>VPI!R83</f>
        <v>15880.296484018269</v>
      </c>
      <c r="D83" s="27">
        <f>Données!Z83</f>
        <v>302</v>
      </c>
      <c r="E83" s="88">
        <f t="shared" si="13"/>
        <v>52.583763192113473</v>
      </c>
      <c r="F83" s="145">
        <f t="shared" si="14"/>
        <v>1.0631718228404643</v>
      </c>
      <c r="G83" s="376">
        <f t="shared" si="15"/>
        <v>3.1244358637931811</v>
      </c>
      <c r="H83" s="376">
        <f t="shared" si="16"/>
        <v>0</v>
      </c>
      <c r="I83" s="376">
        <f t="shared" si="17"/>
        <v>0</v>
      </c>
      <c r="J83" s="376">
        <f t="shared" si="18"/>
        <v>0</v>
      </c>
      <c r="K83" s="376">
        <f t="shared" si="19"/>
        <v>0</v>
      </c>
      <c r="L83" s="378">
        <f t="shared" si="20"/>
        <v>0.62488717275863626</v>
      </c>
      <c r="M83" s="244">
        <f>L83*D83*VPI!Q83</f>
        <v>13776.262610636895</v>
      </c>
    </row>
    <row r="84" spans="1:13" x14ac:dyDescent="0.25">
      <c r="A84" s="130">
        <f>Données!A84</f>
        <v>5535</v>
      </c>
      <c r="B84" s="27" t="str">
        <f>Données!B84</f>
        <v>Saint-Barthélemy</v>
      </c>
      <c r="C84" s="285">
        <f>VPI!R84</f>
        <v>27185.565066666662</v>
      </c>
      <c r="D84" s="27">
        <f>Données!Z84</f>
        <v>829</v>
      </c>
      <c r="E84" s="88">
        <f t="shared" si="13"/>
        <v>32.793202734217928</v>
      </c>
      <c r="F84" s="145">
        <f t="shared" si="14"/>
        <v>0.66303373914753228</v>
      </c>
      <c r="G84" s="376">
        <f t="shared" si="15"/>
        <v>0</v>
      </c>
      <c r="H84" s="376">
        <f t="shared" si="16"/>
        <v>0</v>
      </c>
      <c r="I84" s="376">
        <f t="shared" si="17"/>
        <v>0</v>
      </c>
      <c r="J84" s="376">
        <f t="shared" si="18"/>
        <v>0</v>
      </c>
      <c r="K84" s="376">
        <f t="shared" si="19"/>
        <v>0</v>
      </c>
      <c r="L84" s="378">
        <f t="shared" si="20"/>
        <v>0</v>
      </c>
      <c r="M84" s="244">
        <f>L84*D84*VPI!Q84</f>
        <v>0</v>
      </c>
    </row>
    <row r="85" spans="1:13" x14ac:dyDescent="0.25">
      <c r="A85" s="130">
        <f>Données!A85</f>
        <v>5537</v>
      </c>
      <c r="B85" s="27" t="str">
        <f>Données!B85</f>
        <v>Villars-le-Terroir</v>
      </c>
      <c r="C85" s="285">
        <f>VPI!R85</f>
        <v>37062.3994736842</v>
      </c>
      <c r="D85" s="27">
        <f>Données!Z85</f>
        <v>1298</v>
      </c>
      <c r="E85" s="88">
        <f t="shared" si="13"/>
        <v>28.553466466628812</v>
      </c>
      <c r="F85" s="145">
        <f t="shared" si="14"/>
        <v>0.57731206648011091</v>
      </c>
      <c r="G85" s="376">
        <f t="shared" si="15"/>
        <v>0</v>
      </c>
      <c r="H85" s="376">
        <f t="shared" si="16"/>
        <v>0</v>
      </c>
      <c r="I85" s="376">
        <f t="shared" si="17"/>
        <v>0</v>
      </c>
      <c r="J85" s="376">
        <f t="shared" si="18"/>
        <v>0</v>
      </c>
      <c r="K85" s="376">
        <f t="shared" si="19"/>
        <v>0</v>
      </c>
      <c r="L85" s="378">
        <f t="shared" si="20"/>
        <v>0</v>
      </c>
      <c r="M85" s="244">
        <f>L85*D85*VPI!Q85</f>
        <v>0</v>
      </c>
    </row>
    <row r="86" spans="1:13" x14ac:dyDescent="0.25">
      <c r="A86" s="130">
        <f>Données!A86</f>
        <v>5539</v>
      </c>
      <c r="B86" s="27" t="str">
        <f>Données!B86</f>
        <v>Vuarrens</v>
      </c>
      <c r="C86" s="285">
        <f>VPI!R86</f>
        <v>33245.200000000004</v>
      </c>
      <c r="D86" s="27">
        <f>Données!Z86</f>
        <v>1103</v>
      </c>
      <c r="E86" s="88">
        <f t="shared" si="13"/>
        <v>30.140707162284681</v>
      </c>
      <c r="F86" s="145">
        <f t="shared" si="14"/>
        <v>0.6094039039836715</v>
      </c>
      <c r="G86" s="376">
        <f t="shared" si="15"/>
        <v>0</v>
      </c>
      <c r="H86" s="376">
        <f t="shared" si="16"/>
        <v>0</v>
      </c>
      <c r="I86" s="376">
        <f t="shared" si="17"/>
        <v>0</v>
      </c>
      <c r="J86" s="376">
        <f t="shared" si="18"/>
        <v>0</v>
      </c>
      <c r="K86" s="376">
        <f t="shared" si="19"/>
        <v>0</v>
      </c>
      <c r="L86" s="378">
        <f t="shared" si="20"/>
        <v>0</v>
      </c>
      <c r="M86" s="244">
        <f>L86*D86*VPI!Q86</f>
        <v>0</v>
      </c>
    </row>
    <row r="87" spans="1:13" x14ac:dyDescent="0.25">
      <c r="A87" s="130">
        <f>Données!A87</f>
        <v>5540</v>
      </c>
      <c r="B87" s="27" t="str">
        <f>Données!B87</f>
        <v>Montilliez</v>
      </c>
      <c r="C87" s="285">
        <f>VPI!R87</f>
        <v>73930.013586206886</v>
      </c>
      <c r="D87" s="27">
        <f>Données!Z87</f>
        <v>1894</v>
      </c>
      <c r="E87" s="88">
        <f t="shared" si="13"/>
        <v>39.033798091978291</v>
      </c>
      <c r="F87" s="145">
        <f t="shared" si="14"/>
        <v>0.78921004794231464</v>
      </c>
      <c r="G87" s="376">
        <f t="shared" si="15"/>
        <v>0</v>
      </c>
      <c r="H87" s="376">
        <f t="shared" si="16"/>
        <v>0</v>
      </c>
      <c r="I87" s="376">
        <f t="shared" si="17"/>
        <v>0</v>
      </c>
      <c r="J87" s="376">
        <f t="shared" si="18"/>
        <v>0</v>
      </c>
      <c r="K87" s="376">
        <f t="shared" si="19"/>
        <v>0</v>
      </c>
      <c r="L87" s="378">
        <f t="shared" si="20"/>
        <v>0</v>
      </c>
      <c r="M87" s="244">
        <f>L87*D87*VPI!Q87</f>
        <v>0</v>
      </c>
    </row>
    <row r="88" spans="1:13" x14ac:dyDescent="0.25">
      <c r="A88" s="130">
        <f>Données!A88</f>
        <v>5541</v>
      </c>
      <c r="B88" s="27" t="str">
        <f>Données!B88</f>
        <v>Goumoëns</v>
      </c>
      <c r="C88" s="285">
        <f>VPI!R88</f>
        <v>42494.398410596026</v>
      </c>
      <c r="D88" s="27">
        <f>Données!Z88</f>
        <v>1212</v>
      </c>
      <c r="E88" s="88">
        <f t="shared" si="13"/>
        <v>35.061384827224444</v>
      </c>
      <c r="F88" s="145">
        <f t="shared" si="14"/>
        <v>0.70889328102827587</v>
      </c>
      <c r="G88" s="376">
        <f t="shared" si="15"/>
        <v>0</v>
      </c>
      <c r="H88" s="376">
        <f t="shared" si="16"/>
        <v>0</v>
      </c>
      <c r="I88" s="376">
        <f t="shared" si="17"/>
        <v>0</v>
      </c>
      <c r="J88" s="376">
        <f t="shared" si="18"/>
        <v>0</v>
      </c>
      <c r="K88" s="376">
        <f t="shared" si="19"/>
        <v>0</v>
      </c>
      <c r="L88" s="378">
        <f t="shared" si="20"/>
        <v>0</v>
      </c>
      <c r="M88" s="244">
        <f>L88*D88*VPI!Q88</f>
        <v>0</v>
      </c>
    </row>
    <row r="89" spans="1:13" x14ac:dyDescent="0.25">
      <c r="A89" s="130">
        <f>Données!A89</f>
        <v>5551</v>
      </c>
      <c r="B89" s="27" t="str">
        <f>Données!B89</f>
        <v>Bonvillars</v>
      </c>
      <c r="C89" s="285">
        <f>VPI!R89</f>
        <v>18997.947192982458</v>
      </c>
      <c r="D89" s="27">
        <f>Données!Z89</f>
        <v>526</v>
      </c>
      <c r="E89" s="88">
        <f t="shared" si="13"/>
        <v>36.11777032886399</v>
      </c>
      <c r="F89" s="145">
        <f t="shared" si="14"/>
        <v>0.73025195205562454</v>
      </c>
      <c r="G89" s="376">
        <f t="shared" si="15"/>
        <v>0</v>
      </c>
      <c r="H89" s="376">
        <f t="shared" si="16"/>
        <v>0</v>
      </c>
      <c r="I89" s="376">
        <f t="shared" si="17"/>
        <v>0</v>
      </c>
      <c r="J89" s="376">
        <f t="shared" si="18"/>
        <v>0</v>
      </c>
      <c r="K89" s="376">
        <f t="shared" si="19"/>
        <v>0</v>
      </c>
      <c r="L89" s="378">
        <f t="shared" si="20"/>
        <v>0</v>
      </c>
      <c r="M89" s="244">
        <f>L89*D89*VPI!Q89</f>
        <v>0</v>
      </c>
    </row>
    <row r="90" spans="1:13" x14ac:dyDescent="0.25">
      <c r="A90" s="130">
        <f>Données!A90</f>
        <v>5552</v>
      </c>
      <c r="B90" s="27" t="str">
        <f>Données!B90</f>
        <v>Bullet</v>
      </c>
      <c r="C90" s="285">
        <f>VPI!R90</f>
        <v>20424.764857142854</v>
      </c>
      <c r="D90" s="27">
        <f>Données!Z90</f>
        <v>675</v>
      </c>
      <c r="E90" s="88">
        <f t="shared" si="13"/>
        <v>30.258910899470894</v>
      </c>
      <c r="F90" s="145">
        <f t="shared" si="14"/>
        <v>0.61179382199451615</v>
      </c>
      <c r="G90" s="376">
        <f t="shared" si="15"/>
        <v>0</v>
      </c>
      <c r="H90" s="376">
        <f t="shared" si="16"/>
        <v>0</v>
      </c>
      <c r="I90" s="376">
        <f t="shared" si="17"/>
        <v>0</v>
      </c>
      <c r="J90" s="376">
        <f t="shared" si="18"/>
        <v>0</v>
      </c>
      <c r="K90" s="376">
        <f t="shared" si="19"/>
        <v>0</v>
      </c>
      <c r="L90" s="378">
        <f t="shared" si="20"/>
        <v>0</v>
      </c>
      <c r="M90" s="244">
        <f>L90*D90*VPI!Q90</f>
        <v>0</v>
      </c>
    </row>
    <row r="91" spans="1:13" x14ac:dyDescent="0.25">
      <c r="A91" s="130">
        <f>Données!A91</f>
        <v>5553</v>
      </c>
      <c r="B91" s="27" t="str">
        <f>Données!B91</f>
        <v>Champagne</v>
      </c>
      <c r="C91" s="285">
        <f>VPI!R91</f>
        <v>36175.512923076931</v>
      </c>
      <c r="D91" s="27">
        <f>Données!Z91</f>
        <v>1071</v>
      </c>
      <c r="E91" s="88">
        <f t="shared" si="13"/>
        <v>33.77732299073476</v>
      </c>
      <c r="F91" s="145">
        <f t="shared" si="14"/>
        <v>0.68293130568708615</v>
      </c>
      <c r="G91" s="376">
        <f t="shared" si="15"/>
        <v>0</v>
      </c>
      <c r="H91" s="376">
        <f t="shared" si="16"/>
        <v>0</v>
      </c>
      <c r="I91" s="376">
        <f t="shared" si="17"/>
        <v>0</v>
      </c>
      <c r="J91" s="376">
        <f t="shared" si="18"/>
        <v>0</v>
      </c>
      <c r="K91" s="376">
        <f t="shared" si="19"/>
        <v>0</v>
      </c>
      <c r="L91" s="378">
        <f t="shared" si="20"/>
        <v>0</v>
      </c>
      <c r="M91" s="244">
        <f>L91*D91*VPI!Q91</f>
        <v>0</v>
      </c>
    </row>
    <row r="92" spans="1:13" x14ac:dyDescent="0.25">
      <c r="A92" s="130">
        <f>Données!A92</f>
        <v>5554</v>
      </c>
      <c r="B92" s="27" t="str">
        <f>Données!B92</f>
        <v>Concise</v>
      </c>
      <c r="C92" s="285">
        <f>VPI!R92</f>
        <v>34308.622777777782</v>
      </c>
      <c r="D92" s="27">
        <f>Données!Z92</f>
        <v>1022</v>
      </c>
      <c r="E92" s="88">
        <f t="shared" si="13"/>
        <v>33.570080995868672</v>
      </c>
      <c r="F92" s="145">
        <f t="shared" si="14"/>
        <v>0.67874115579907057</v>
      </c>
      <c r="G92" s="376">
        <f t="shared" si="15"/>
        <v>0</v>
      </c>
      <c r="H92" s="376">
        <f t="shared" si="16"/>
        <v>0</v>
      </c>
      <c r="I92" s="376">
        <f t="shared" si="17"/>
        <v>0</v>
      </c>
      <c r="J92" s="376">
        <f t="shared" si="18"/>
        <v>0</v>
      </c>
      <c r="K92" s="376">
        <f t="shared" si="19"/>
        <v>0</v>
      </c>
      <c r="L92" s="378">
        <f t="shared" si="20"/>
        <v>0</v>
      </c>
      <c r="M92" s="244">
        <f>L92*D92*VPI!Q92</f>
        <v>0</v>
      </c>
    </row>
    <row r="93" spans="1:13" x14ac:dyDescent="0.25">
      <c r="A93" s="130">
        <f>Données!A93</f>
        <v>5555</v>
      </c>
      <c r="B93" s="27" t="str">
        <f>Données!B93</f>
        <v>Corcelles-près-Concise</v>
      </c>
      <c r="C93" s="285">
        <f>VPI!R93</f>
        <v>13639.969855072464</v>
      </c>
      <c r="D93" s="27">
        <f>Données!Z93</f>
        <v>425</v>
      </c>
      <c r="E93" s="88">
        <f t="shared" si="13"/>
        <v>32.094046717817562</v>
      </c>
      <c r="F93" s="145">
        <f t="shared" si="14"/>
        <v>0.64889776006801025</v>
      </c>
      <c r="G93" s="376">
        <f t="shared" si="15"/>
        <v>0</v>
      </c>
      <c r="H93" s="376">
        <f t="shared" si="16"/>
        <v>0</v>
      </c>
      <c r="I93" s="376">
        <f t="shared" si="17"/>
        <v>0</v>
      </c>
      <c r="J93" s="376">
        <f t="shared" si="18"/>
        <v>0</v>
      </c>
      <c r="K93" s="376">
        <f t="shared" si="19"/>
        <v>0</v>
      </c>
      <c r="L93" s="378">
        <f t="shared" si="20"/>
        <v>0</v>
      </c>
      <c r="M93" s="244">
        <f>L93*D93*VPI!Q93</f>
        <v>0</v>
      </c>
    </row>
    <row r="94" spans="1:13" x14ac:dyDescent="0.25">
      <c r="A94" s="130">
        <f>Données!A94</f>
        <v>5556</v>
      </c>
      <c r="B94" s="27" t="str">
        <f>Données!B94</f>
        <v>Fiez</v>
      </c>
      <c r="C94" s="285">
        <f>VPI!R94</f>
        <v>12931.397729468599</v>
      </c>
      <c r="D94" s="27">
        <f>Données!Z94</f>
        <v>436</v>
      </c>
      <c r="E94" s="88">
        <f t="shared" si="13"/>
        <v>29.659169104285777</v>
      </c>
      <c r="F94" s="145">
        <f t="shared" si="14"/>
        <v>0.59966786259349325</v>
      </c>
      <c r="G94" s="376">
        <f t="shared" si="15"/>
        <v>0</v>
      </c>
      <c r="H94" s="376">
        <f t="shared" si="16"/>
        <v>0</v>
      </c>
      <c r="I94" s="376">
        <f t="shared" si="17"/>
        <v>0</v>
      </c>
      <c r="J94" s="376">
        <f t="shared" si="18"/>
        <v>0</v>
      </c>
      <c r="K94" s="376">
        <f t="shared" si="19"/>
        <v>0</v>
      </c>
      <c r="L94" s="378">
        <f t="shared" si="20"/>
        <v>0</v>
      </c>
      <c r="M94" s="244">
        <f>L94*D94*VPI!Q94</f>
        <v>0</v>
      </c>
    </row>
    <row r="95" spans="1:13" x14ac:dyDescent="0.25">
      <c r="A95" s="130">
        <f>Données!A95</f>
        <v>5557</v>
      </c>
      <c r="B95" s="27" t="str">
        <f>Données!B95</f>
        <v>Fontaines-sur-Grandson</v>
      </c>
      <c r="C95" s="285">
        <f>VPI!R95</f>
        <v>4700.3647826086954</v>
      </c>
      <c r="D95" s="27">
        <f>Données!Z95</f>
        <v>199</v>
      </c>
      <c r="E95" s="88">
        <f t="shared" si="13"/>
        <v>23.619923530696962</v>
      </c>
      <c r="F95" s="145">
        <f t="shared" si="14"/>
        <v>0.47756257123966689</v>
      </c>
      <c r="G95" s="376">
        <f t="shared" si="15"/>
        <v>0</v>
      </c>
      <c r="H95" s="376">
        <f t="shared" si="16"/>
        <v>0</v>
      </c>
      <c r="I95" s="376">
        <f t="shared" si="17"/>
        <v>0</v>
      </c>
      <c r="J95" s="376">
        <f t="shared" si="18"/>
        <v>0</v>
      </c>
      <c r="K95" s="376">
        <f t="shared" si="19"/>
        <v>0</v>
      </c>
      <c r="L95" s="378">
        <f t="shared" si="20"/>
        <v>0</v>
      </c>
      <c r="M95" s="244">
        <f>L95*D95*VPI!Q95</f>
        <v>0</v>
      </c>
    </row>
    <row r="96" spans="1:13" x14ac:dyDescent="0.25">
      <c r="A96" s="130">
        <f>Données!A96</f>
        <v>5559</v>
      </c>
      <c r="B96" s="27" t="str">
        <f>Données!B96</f>
        <v>Giez</v>
      </c>
      <c r="C96" s="285">
        <f>VPI!R96</f>
        <v>19760.849242424243</v>
      </c>
      <c r="D96" s="27">
        <f>Données!Z96</f>
        <v>459</v>
      </c>
      <c r="E96" s="88">
        <f t="shared" si="13"/>
        <v>43.051959133821882</v>
      </c>
      <c r="F96" s="145">
        <f t="shared" si="14"/>
        <v>0.87045177238329385</v>
      </c>
      <c r="G96" s="376">
        <f t="shared" si="15"/>
        <v>0</v>
      </c>
      <c r="H96" s="376">
        <f t="shared" si="16"/>
        <v>0</v>
      </c>
      <c r="I96" s="376">
        <f t="shared" si="17"/>
        <v>0</v>
      </c>
      <c r="J96" s="376">
        <f t="shared" si="18"/>
        <v>0</v>
      </c>
      <c r="K96" s="376">
        <f t="shared" si="19"/>
        <v>0</v>
      </c>
      <c r="L96" s="378">
        <f t="shared" si="20"/>
        <v>0</v>
      </c>
      <c r="M96" s="244">
        <f>L96*D96*VPI!Q96</f>
        <v>0</v>
      </c>
    </row>
    <row r="97" spans="1:13" x14ac:dyDescent="0.25">
      <c r="A97" s="130">
        <f>Données!A97</f>
        <v>5560</v>
      </c>
      <c r="B97" s="27" t="str">
        <f>Données!B97</f>
        <v>Grandevent</v>
      </c>
      <c r="C97" s="285">
        <f>VPI!R97</f>
        <v>8048.598285714289</v>
      </c>
      <c r="D97" s="27">
        <f>Données!Z97</f>
        <v>237</v>
      </c>
      <c r="E97" s="88">
        <f t="shared" si="13"/>
        <v>33.960330319469577</v>
      </c>
      <c r="F97" s="145">
        <f t="shared" si="14"/>
        <v>0.68663146374867845</v>
      </c>
      <c r="G97" s="376">
        <f t="shared" si="15"/>
        <v>0</v>
      </c>
      <c r="H97" s="376">
        <f t="shared" si="16"/>
        <v>0</v>
      </c>
      <c r="I97" s="376">
        <f t="shared" si="17"/>
        <v>0</v>
      </c>
      <c r="J97" s="376">
        <f t="shared" si="18"/>
        <v>0</v>
      </c>
      <c r="K97" s="376">
        <f t="shared" si="19"/>
        <v>0</v>
      </c>
      <c r="L97" s="378">
        <f t="shared" si="20"/>
        <v>0</v>
      </c>
      <c r="M97" s="244">
        <f>L97*D97*VPI!Q97</f>
        <v>0</v>
      </c>
    </row>
    <row r="98" spans="1:13" x14ac:dyDescent="0.25">
      <c r="A98" s="130">
        <f>Données!A98</f>
        <v>5561</v>
      </c>
      <c r="B98" s="27" t="str">
        <f>Données!B98</f>
        <v>Grandson</v>
      </c>
      <c r="C98" s="285">
        <f>VPI!R98</f>
        <v>179345.48057971016</v>
      </c>
      <c r="D98" s="27">
        <f>Données!Z98</f>
        <v>3386</v>
      </c>
      <c r="E98" s="88">
        <f t="shared" si="13"/>
        <v>52.96676922023336</v>
      </c>
      <c r="F98" s="145">
        <f t="shared" si="14"/>
        <v>1.0709156812552263</v>
      </c>
      <c r="G98" s="376">
        <f t="shared" si="15"/>
        <v>3.5074418919130679</v>
      </c>
      <c r="H98" s="376">
        <f t="shared" si="16"/>
        <v>0</v>
      </c>
      <c r="I98" s="376">
        <f t="shared" si="17"/>
        <v>0</v>
      </c>
      <c r="J98" s="376">
        <f t="shared" si="18"/>
        <v>0</v>
      </c>
      <c r="K98" s="376">
        <f t="shared" si="19"/>
        <v>0</v>
      </c>
      <c r="L98" s="378">
        <f t="shared" si="20"/>
        <v>0.70148837838261358</v>
      </c>
      <c r="M98" s="244">
        <f>L98*D98*VPI!Q98</f>
        <v>163891.53579504354</v>
      </c>
    </row>
    <row r="99" spans="1:13" x14ac:dyDescent="0.25">
      <c r="A99" s="130">
        <f>Données!A99</f>
        <v>5562</v>
      </c>
      <c r="B99" s="27" t="str">
        <f>Données!B99</f>
        <v>Mauborget</v>
      </c>
      <c r="C99" s="285">
        <f>VPI!R99</f>
        <v>4951.6888333333327</v>
      </c>
      <c r="D99" s="27">
        <f>Données!Z99</f>
        <v>134</v>
      </c>
      <c r="E99" s="88">
        <f t="shared" si="13"/>
        <v>36.95290174129353</v>
      </c>
      <c r="F99" s="145">
        <f t="shared" si="14"/>
        <v>0.7471371677983657</v>
      </c>
      <c r="G99" s="376">
        <f t="shared" si="15"/>
        <v>0</v>
      </c>
      <c r="H99" s="376">
        <f t="shared" si="16"/>
        <v>0</v>
      </c>
      <c r="I99" s="376">
        <f t="shared" si="17"/>
        <v>0</v>
      </c>
      <c r="J99" s="376">
        <f t="shared" si="18"/>
        <v>0</v>
      </c>
      <c r="K99" s="376">
        <f t="shared" si="19"/>
        <v>0</v>
      </c>
      <c r="L99" s="378">
        <f t="shared" si="20"/>
        <v>0</v>
      </c>
      <c r="M99" s="244">
        <f>L99*D99*VPI!Q99</f>
        <v>0</v>
      </c>
    </row>
    <row r="100" spans="1:13" x14ac:dyDescent="0.25">
      <c r="A100" s="130">
        <f>Données!A100</f>
        <v>5563</v>
      </c>
      <c r="B100" s="27" t="str">
        <f>Données!B100</f>
        <v>Mutrux</v>
      </c>
      <c r="C100" s="285">
        <f>VPI!R100</f>
        <v>2911.2397499999997</v>
      </c>
      <c r="D100" s="27">
        <f>Données!Z100</f>
        <v>145</v>
      </c>
      <c r="E100" s="88">
        <f t="shared" si="13"/>
        <v>20.077515517241377</v>
      </c>
      <c r="F100" s="145">
        <f t="shared" si="14"/>
        <v>0.40593992279682783</v>
      </c>
      <c r="G100" s="376">
        <f t="shared" si="15"/>
        <v>0</v>
      </c>
      <c r="H100" s="376">
        <f t="shared" si="16"/>
        <v>0</v>
      </c>
      <c r="I100" s="376">
        <f t="shared" si="17"/>
        <v>0</v>
      </c>
      <c r="J100" s="376">
        <f t="shared" si="18"/>
        <v>0</v>
      </c>
      <c r="K100" s="376">
        <f t="shared" si="19"/>
        <v>0</v>
      </c>
      <c r="L100" s="378">
        <f t="shared" si="20"/>
        <v>0</v>
      </c>
      <c r="M100" s="244">
        <f>L100*D100*VPI!Q100</f>
        <v>0</v>
      </c>
    </row>
    <row r="101" spans="1:13" x14ac:dyDescent="0.25">
      <c r="A101" s="130">
        <f>Données!A101</f>
        <v>5564</v>
      </c>
      <c r="B101" s="27" t="str">
        <f>Données!B101</f>
        <v>Novalles</v>
      </c>
      <c r="C101" s="285">
        <f>VPI!R101</f>
        <v>2278.1877960526317</v>
      </c>
      <c r="D101" s="27">
        <f>Données!Z101</f>
        <v>102</v>
      </c>
      <c r="E101" s="88">
        <f t="shared" si="13"/>
        <v>22.335174471104231</v>
      </c>
      <c r="F101" s="145">
        <f t="shared" si="14"/>
        <v>0.45158670118659627</v>
      </c>
      <c r="G101" s="376">
        <f t="shared" si="15"/>
        <v>0</v>
      </c>
      <c r="H101" s="376">
        <f t="shared" si="16"/>
        <v>0</v>
      </c>
      <c r="I101" s="376">
        <f t="shared" si="17"/>
        <v>0</v>
      </c>
      <c r="J101" s="376">
        <f t="shared" si="18"/>
        <v>0</v>
      </c>
      <c r="K101" s="376">
        <f t="shared" si="19"/>
        <v>0</v>
      </c>
      <c r="L101" s="378">
        <f t="shared" si="20"/>
        <v>0</v>
      </c>
      <c r="M101" s="244">
        <f>L101*D101*VPI!Q101</f>
        <v>0</v>
      </c>
    </row>
    <row r="102" spans="1:13" x14ac:dyDescent="0.25">
      <c r="A102" s="130">
        <f>Données!A102</f>
        <v>5565</v>
      </c>
      <c r="B102" s="27" t="str">
        <f>Données!B102</f>
        <v>Onnens</v>
      </c>
      <c r="C102" s="285">
        <f>VPI!R102</f>
        <v>21491.927559055119</v>
      </c>
      <c r="D102" s="27">
        <f>Données!Z102</f>
        <v>498</v>
      </c>
      <c r="E102" s="88">
        <f t="shared" si="13"/>
        <v>43.156481042279353</v>
      </c>
      <c r="F102" s="145">
        <f t="shared" si="14"/>
        <v>0.8725650625168947</v>
      </c>
      <c r="G102" s="376">
        <f t="shared" si="15"/>
        <v>0</v>
      </c>
      <c r="H102" s="376">
        <f t="shared" si="16"/>
        <v>0</v>
      </c>
      <c r="I102" s="376">
        <f t="shared" si="17"/>
        <v>0</v>
      </c>
      <c r="J102" s="376">
        <f t="shared" si="18"/>
        <v>0</v>
      </c>
      <c r="K102" s="376">
        <f t="shared" si="19"/>
        <v>0</v>
      </c>
      <c r="L102" s="378">
        <f t="shared" si="20"/>
        <v>0</v>
      </c>
      <c r="M102" s="244">
        <f>L102*D102*VPI!Q102</f>
        <v>0</v>
      </c>
    </row>
    <row r="103" spans="1:13" x14ac:dyDescent="0.25">
      <c r="A103" s="130">
        <f>Données!A103</f>
        <v>5566</v>
      </c>
      <c r="B103" s="27" t="str">
        <f>Données!B103</f>
        <v>Provence</v>
      </c>
      <c r="C103" s="285">
        <f>VPI!R103</f>
        <v>9668.921111111109</v>
      </c>
      <c r="D103" s="27">
        <f>Données!Z103</f>
        <v>415</v>
      </c>
      <c r="E103" s="88">
        <f t="shared" si="13"/>
        <v>23.298605087014721</v>
      </c>
      <c r="F103" s="145">
        <f t="shared" si="14"/>
        <v>0.47106595147067426</v>
      </c>
      <c r="G103" s="376">
        <f t="shared" si="15"/>
        <v>0</v>
      </c>
      <c r="H103" s="376">
        <f t="shared" si="16"/>
        <v>0</v>
      </c>
      <c r="I103" s="376">
        <f t="shared" si="17"/>
        <v>0</v>
      </c>
      <c r="J103" s="376">
        <f t="shared" si="18"/>
        <v>0</v>
      </c>
      <c r="K103" s="376">
        <f t="shared" si="19"/>
        <v>0</v>
      </c>
      <c r="L103" s="378">
        <f t="shared" si="20"/>
        <v>0</v>
      </c>
      <c r="M103" s="244">
        <f>L103*D103*VPI!Q103</f>
        <v>0</v>
      </c>
    </row>
    <row r="104" spans="1:13" x14ac:dyDescent="0.25">
      <c r="A104" s="130">
        <f>Données!A104</f>
        <v>5568</v>
      </c>
      <c r="B104" s="27" t="str">
        <f>Données!B104</f>
        <v>Sainte-Croix</v>
      </c>
      <c r="C104" s="285">
        <f>VPI!R104</f>
        <v>108679.35057142857</v>
      </c>
      <c r="D104" s="27">
        <f>Données!Z104</f>
        <v>5051</v>
      </c>
      <c r="E104" s="88">
        <f t="shared" si="13"/>
        <v>21.516402805667902</v>
      </c>
      <c r="F104" s="145">
        <f t="shared" si="14"/>
        <v>0.43503225716835947</v>
      </c>
      <c r="G104" s="376">
        <f t="shared" si="15"/>
        <v>0</v>
      </c>
      <c r="H104" s="376">
        <f t="shared" si="16"/>
        <v>0</v>
      </c>
      <c r="I104" s="376">
        <f t="shared" si="17"/>
        <v>0</v>
      </c>
      <c r="J104" s="376">
        <f t="shared" si="18"/>
        <v>0</v>
      </c>
      <c r="K104" s="376">
        <f t="shared" si="19"/>
        <v>0</v>
      </c>
      <c r="L104" s="378">
        <f t="shared" si="20"/>
        <v>0</v>
      </c>
      <c r="M104" s="244">
        <f>L104*D104*VPI!Q104</f>
        <v>0</v>
      </c>
    </row>
    <row r="105" spans="1:13" x14ac:dyDescent="0.25">
      <c r="A105" s="130">
        <f>Données!A105</f>
        <v>5571</v>
      </c>
      <c r="B105" s="27" t="str">
        <f>Données!B105</f>
        <v>Tévenon</v>
      </c>
      <c r="C105" s="285">
        <f>VPI!R105</f>
        <v>25950.769557109554</v>
      </c>
      <c r="D105" s="27">
        <f>Données!Z105</f>
        <v>865</v>
      </c>
      <c r="E105" s="88">
        <f t="shared" si="13"/>
        <v>30.000889661398329</v>
      </c>
      <c r="F105" s="145">
        <f t="shared" si="14"/>
        <v>0.60657698521144043</v>
      </c>
      <c r="G105" s="376">
        <f t="shared" si="15"/>
        <v>0</v>
      </c>
      <c r="H105" s="376">
        <f t="shared" si="16"/>
        <v>0</v>
      </c>
      <c r="I105" s="376">
        <f t="shared" si="17"/>
        <v>0</v>
      </c>
      <c r="J105" s="376">
        <f t="shared" si="18"/>
        <v>0</v>
      </c>
      <c r="K105" s="376">
        <f t="shared" si="19"/>
        <v>0</v>
      </c>
      <c r="L105" s="378">
        <f t="shared" si="20"/>
        <v>0</v>
      </c>
      <c r="M105" s="244">
        <f>L105*D105*VPI!Q105</f>
        <v>0</v>
      </c>
    </row>
    <row r="106" spans="1:13" x14ac:dyDescent="0.25">
      <c r="A106" s="130">
        <f>Données!A106</f>
        <v>5581</v>
      </c>
      <c r="B106" s="27" t="str">
        <f>Données!B106</f>
        <v>Belmont-sur-Lausanne</v>
      </c>
      <c r="C106" s="285">
        <f>VPI!R106</f>
        <v>216786.11745370374</v>
      </c>
      <c r="D106" s="27">
        <f>Données!Z106</f>
        <v>3896</v>
      </c>
      <c r="E106" s="88">
        <f t="shared" si="13"/>
        <v>55.643253966556401</v>
      </c>
      <c r="F106" s="145">
        <f t="shared" si="14"/>
        <v>1.1250305447380238</v>
      </c>
      <c r="G106" s="376">
        <f t="shared" si="15"/>
        <v>6.1839266382361089</v>
      </c>
      <c r="H106" s="376">
        <f t="shared" si="16"/>
        <v>0</v>
      </c>
      <c r="I106" s="376">
        <f t="shared" si="17"/>
        <v>0</v>
      </c>
      <c r="J106" s="376">
        <f t="shared" si="18"/>
        <v>0</v>
      </c>
      <c r="K106" s="376">
        <f t="shared" si="19"/>
        <v>0</v>
      </c>
      <c r="L106" s="378">
        <f t="shared" si="20"/>
        <v>1.2367853276472218</v>
      </c>
      <c r="M106" s="244">
        <f>L106*D106*VPI!Q106</f>
        <v>346933.1258289775</v>
      </c>
    </row>
    <row r="107" spans="1:13" x14ac:dyDescent="0.25">
      <c r="A107" s="130">
        <f>Données!A107</f>
        <v>5582</v>
      </c>
      <c r="B107" s="27" t="str">
        <f>Données!B107</f>
        <v>Cheseaux-sur-Lausanne</v>
      </c>
      <c r="C107" s="285">
        <f>VPI!R107</f>
        <v>179452.21630136986</v>
      </c>
      <c r="D107" s="27">
        <f>Données!Z107</f>
        <v>4842</v>
      </c>
      <c r="E107" s="88">
        <f t="shared" si="13"/>
        <v>37.061589488097866</v>
      </c>
      <c r="F107" s="145">
        <f t="shared" si="14"/>
        <v>0.74933468548967685</v>
      </c>
      <c r="G107" s="376">
        <f t="shared" si="15"/>
        <v>0</v>
      </c>
      <c r="H107" s="376">
        <f t="shared" si="16"/>
        <v>0</v>
      </c>
      <c r="I107" s="376">
        <f t="shared" si="17"/>
        <v>0</v>
      </c>
      <c r="J107" s="376">
        <f t="shared" si="18"/>
        <v>0</v>
      </c>
      <c r="K107" s="376">
        <f t="shared" si="19"/>
        <v>0</v>
      </c>
      <c r="L107" s="378">
        <f t="shared" si="20"/>
        <v>0</v>
      </c>
      <c r="M107" s="244">
        <f>L107*D107*VPI!Q107</f>
        <v>0</v>
      </c>
    </row>
    <row r="108" spans="1:13" x14ac:dyDescent="0.25">
      <c r="A108" s="130">
        <f>Données!A108</f>
        <v>5583</v>
      </c>
      <c r="B108" s="27" t="str">
        <f>Données!B108</f>
        <v>Crissier</v>
      </c>
      <c r="C108" s="285">
        <f>VPI!R108</f>
        <v>371804.01181102369</v>
      </c>
      <c r="D108" s="27">
        <f>Données!Z108</f>
        <v>9327</v>
      </c>
      <c r="E108" s="88">
        <f t="shared" si="13"/>
        <v>39.863194147209576</v>
      </c>
      <c r="F108" s="145">
        <f t="shared" si="14"/>
        <v>0.80597930260131145</v>
      </c>
      <c r="G108" s="376">
        <f t="shared" si="15"/>
        <v>0</v>
      </c>
      <c r="H108" s="376">
        <f t="shared" si="16"/>
        <v>0</v>
      </c>
      <c r="I108" s="376">
        <f t="shared" si="17"/>
        <v>0</v>
      </c>
      <c r="J108" s="376">
        <f t="shared" si="18"/>
        <v>0</v>
      </c>
      <c r="K108" s="376">
        <f t="shared" si="19"/>
        <v>0</v>
      </c>
      <c r="L108" s="378">
        <f t="shared" si="20"/>
        <v>0</v>
      </c>
      <c r="M108" s="244">
        <f>L108*D108*VPI!Q108</f>
        <v>0</v>
      </c>
    </row>
    <row r="109" spans="1:13" x14ac:dyDescent="0.25">
      <c r="A109" s="130">
        <f>Données!A109</f>
        <v>5584</v>
      </c>
      <c r="B109" s="27" t="str">
        <f>Données!B109</f>
        <v>Epalinges</v>
      </c>
      <c r="C109" s="285">
        <f>VPI!R109</f>
        <v>516751.95968992251</v>
      </c>
      <c r="D109" s="27">
        <f>Données!Z109</f>
        <v>9910</v>
      </c>
      <c r="E109" s="88">
        <f t="shared" si="13"/>
        <v>52.14449643692457</v>
      </c>
      <c r="F109" s="145">
        <f t="shared" si="14"/>
        <v>1.0542904494187642</v>
      </c>
      <c r="G109" s="376">
        <f t="shared" si="15"/>
        <v>2.6851691086042777</v>
      </c>
      <c r="H109" s="376">
        <f t="shared" si="16"/>
        <v>0</v>
      </c>
      <c r="I109" s="376">
        <f t="shared" si="17"/>
        <v>0</v>
      </c>
      <c r="J109" s="376">
        <f t="shared" si="18"/>
        <v>0</v>
      </c>
      <c r="K109" s="376">
        <f t="shared" si="19"/>
        <v>0</v>
      </c>
      <c r="L109" s="378">
        <f t="shared" si="20"/>
        <v>0.53703382172085556</v>
      </c>
      <c r="M109" s="244">
        <f>L109*D109*VPI!Q109</f>
        <v>343269.33367486228</v>
      </c>
    </row>
    <row r="110" spans="1:13" x14ac:dyDescent="0.25">
      <c r="A110" s="130">
        <f>Données!A110</f>
        <v>5585</v>
      </c>
      <c r="B110" s="27" t="str">
        <f>Données!B110</f>
        <v>Jouxtens-Mézery</v>
      </c>
      <c r="C110" s="285">
        <f>VPI!R110</f>
        <v>251674.37118644069</v>
      </c>
      <c r="D110" s="27">
        <f>Données!Z110</f>
        <v>1493</v>
      </c>
      <c r="E110" s="88">
        <f t="shared" si="13"/>
        <v>168.56957212755572</v>
      </c>
      <c r="F110" s="145">
        <f t="shared" si="14"/>
        <v>3.4082463558098817</v>
      </c>
      <c r="G110" s="376">
        <f t="shared" si="15"/>
        <v>119.11024479923543</v>
      </c>
      <c r="H110" s="376">
        <f t="shared" si="16"/>
        <v>109.21837933357136</v>
      </c>
      <c r="I110" s="376">
        <f t="shared" si="17"/>
        <v>94.380581135075275</v>
      </c>
      <c r="J110" s="376">
        <f t="shared" si="18"/>
        <v>69.650917470915132</v>
      </c>
      <c r="K110" s="376">
        <f t="shared" si="19"/>
        <v>20.191590142594833</v>
      </c>
      <c r="L110" s="378">
        <f t="shared" si="20"/>
        <v>53.166195768062749</v>
      </c>
      <c r="M110" s="244">
        <f>L110*D110*VPI!Q110</f>
        <v>4683250.6866213437</v>
      </c>
    </row>
    <row r="111" spans="1:13" x14ac:dyDescent="0.25">
      <c r="A111" s="130">
        <f>Données!A111</f>
        <v>5586</v>
      </c>
      <c r="B111" s="27" t="str">
        <f>Données!B111</f>
        <v>Lausanne</v>
      </c>
      <c r="C111" s="285">
        <f>VPI!R111</f>
        <v>6915333.6485774955</v>
      </c>
      <c r="D111" s="27">
        <f>Données!Z111</f>
        <v>144365</v>
      </c>
      <c r="E111" s="88">
        <f t="shared" si="13"/>
        <v>47.901732750857171</v>
      </c>
      <c r="F111" s="145">
        <f t="shared" si="14"/>
        <v>0.96850756648743896</v>
      </c>
      <c r="G111" s="376">
        <f t="shared" si="15"/>
        <v>0</v>
      </c>
      <c r="H111" s="376">
        <f t="shared" si="16"/>
        <v>0</v>
      </c>
      <c r="I111" s="376">
        <f t="shared" si="17"/>
        <v>0</v>
      </c>
      <c r="J111" s="376">
        <f t="shared" si="18"/>
        <v>0</v>
      </c>
      <c r="K111" s="376">
        <f t="shared" si="19"/>
        <v>0</v>
      </c>
      <c r="L111" s="378">
        <f t="shared" si="20"/>
        <v>0</v>
      </c>
      <c r="M111" s="244">
        <f>L111*D111*VPI!Q111</f>
        <v>0</v>
      </c>
    </row>
    <row r="112" spans="1:13" x14ac:dyDescent="0.25">
      <c r="A112" s="130">
        <f>Données!A112</f>
        <v>5587</v>
      </c>
      <c r="B112" s="27" t="str">
        <f>Données!B112</f>
        <v>Le Mont-sur-Lausanne</v>
      </c>
      <c r="C112" s="285">
        <f>VPI!R112</f>
        <v>490592.89707482996</v>
      </c>
      <c r="D112" s="27">
        <f>Données!Z112</f>
        <v>9274</v>
      </c>
      <c r="E112" s="88">
        <f t="shared" si="13"/>
        <v>52.899816376410392</v>
      </c>
      <c r="F112" s="145">
        <f t="shared" si="14"/>
        <v>1.0695619862609835</v>
      </c>
      <c r="G112" s="376">
        <f t="shared" si="15"/>
        <v>3.4404890480901003</v>
      </c>
      <c r="H112" s="376">
        <f t="shared" si="16"/>
        <v>0</v>
      </c>
      <c r="I112" s="376">
        <f t="shared" si="17"/>
        <v>0</v>
      </c>
      <c r="J112" s="376">
        <f t="shared" si="18"/>
        <v>0</v>
      </c>
      <c r="K112" s="376">
        <f t="shared" si="19"/>
        <v>0</v>
      </c>
      <c r="L112" s="378">
        <f t="shared" si="20"/>
        <v>0.68809780961802014</v>
      </c>
      <c r="M112" s="244">
        <f>L112*D112*VPI!Q112</f>
        <v>469034.30285021767</v>
      </c>
    </row>
    <row r="113" spans="1:13" x14ac:dyDescent="0.25">
      <c r="A113" s="130">
        <f>Données!A113</f>
        <v>5588</v>
      </c>
      <c r="B113" s="27" t="str">
        <f>Données!B113</f>
        <v>Paudex</v>
      </c>
      <c r="C113" s="285">
        <f>VPI!R113</f>
        <v>123433.64683136411</v>
      </c>
      <c r="D113" s="27">
        <f>Données!Z113</f>
        <v>1538</v>
      </c>
      <c r="E113" s="88">
        <f t="shared" si="13"/>
        <v>80.255947224554035</v>
      </c>
      <c r="F113" s="145">
        <f t="shared" si="14"/>
        <v>1.6226655629948221</v>
      </c>
      <c r="G113" s="376">
        <f t="shared" si="15"/>
        <v>30.796619896233743</v>
      </c>
      <c r="H113" s="376">
        <f t="shared" si="16"/>
        <v>20.904754430569689</v>
      </c>
      <c r="I113" s="376">
        <f t="shared" si="17"/>
        <v>6.0669562320735935</v>
      </c>
      <c r="J113" s="376">
        <f t="shared" si="18"/>
        <v>0</v>
      </c>
      <c r="K113" s="376">
        <f t="shared" si="19"/>
        <v>0</v>
      </c>
      <c r="L113" s="378">
        <f t="shared" si="20"/>
        <v>8.8564950455110765</v>
      </c>
      <c r="M113" s="244">
        <f>L113*D113*VPI!Q113</f>
        <v>905815.74376973626</v>
      </c>
    </row>
    <row r="114" spans="1:13" x14ac:dyDescent="0.25">
      <c r="A114" s="130">
        <f>Données!A114</f>
        <v>5589</v>
      </c>
      <c r="B114" s="27" t="str">
        <f>Données!B114</f>
        <v>Prilly</v>
      </c>
      <c r="C114" s="285">
        <f>VPI!R114</f>
        <v>450278.56075331569</v>
      </c>
      <c r="D114" s="27">
        <f>Données!Z114</f>
        <v>12439</v>
      </c>
      <c r="E114" s="88">
        <f t="shared" si="13"/>
        <v>36.198935666316885</v>
      </c>
      <c r="F114" s="145">
        <f t="shared" si="14"/>
        <v>0.73189300424612647</v>
      </c>
      <c r="G114" s="376">
        <f t="shared" si="15"/>
        <v>0</v>
      </c>
      <c r="H114" s="376">
        <f t="shared" si="16"/>
        <v>0</v>
      </c>
      <c r="I114" s="376">
        <f t="shared" si="17"/>
        <v>0</v>
      </c>
      <c r="J114" s="376">
        <f t="shared" si="18"/>
        <v>0</v>
      </c>
      <c r="K114" s="376">
        <f t="shared" si="19"/>
        <v>0</v>
      </c>
      <c r="L114" s="378">
        <f t="shared" si="20"/>
        <v>0</v>
      </c>
      <c r="M114" s="244">
        <f>L114*D114*VPI!Q114</f>
        <v>0</v>
      </c>
    </row>
    <row r="115" spans="1:13" x14ac:dyDescent="0.25">
      <c r="A115" s="130">
        <f>Données!A115</f>
        <v>5590</v>
      </c>
      <c r="B115" s="27" t="str">
        <f>Données!B115</f>
        <v>Pully</v>
      </c>
      <c r="C115" s="285">
        <f>VPI!R115</f>
        <v>1605465.5341920371</v>
      </c>
      <c r="D115" s="27">
        <f>Données!Z115</f>
        <v>19298</v>
      </c>
      <c r="E115" s="88">
        <f t="shared" si="13"/>
        <v>83.193363778217275</v>
      </c>
      <c r="F115" s="145">
        <f t="shared" si="14"/>
        <v>1.6820561109932637</v>
      </c>
      <c r="G115" s="376">
        <f t="shared" si="15"/>
        <v>33.734036449896983</v>
      </c>
      <c r="H115" s="376">
        <f t="shared" si="16"/>
        <v>23.842170984232929</v>
      </c>
      <c r="I115" s="376">
        <f t="shared" si="17"/>
        <v>9.0043727857368339</v>
      </c>
      <c r="J115" s="376">
        <f t="shared" si="18"/>
        <v>0</v>
      </c>
      <c r="K115" s="376">
        <f t="shared" si="19"/>
        <v>0</v>
      </c>
      <c r="L115" s="378">
        <f t="shared" si="20"/>
        <v>10.031461666976373</v>
      </c>
      <c r="M115" s="244">
        <f>L115*D115*VPI!Q115</f>
        <v>11808815.982207913</v>
      </c>
    </row>
    <row r="116" spans="1:13" x14ac:dyDescent="0.25">
      <c r="A116" s="130">
        <f>Données!A116</f>
        <v>5591</v>
      </c>
      <c r="B116" s="27" t="str">
        <f>Données!B116</f>
        <v>Renens</v>
      </c>
      <c r="C116" s="285">
        <f>VPI!R116</f>
        <v>640589.63196660485</v>
      </c>
      <c r="D116" s="27">
        <f>Données!Z116</f>
        <v>21466</v>
      </c>
      <c r="E116" s="88">
        <f t="shared" si="13"/>
        <v>29.842058695919356</v>
      </c>
      <c r="F116" s="145">
        <f t="shared" si="14"/>
        <v>0.60336564017181582</v>
      </c>
      <c r="G116" s="376">
        <f t="shared" si="15"/>
        <v>0</v>
      </c>
      <c r="H116" s="376">
        <f t="shared" si="16"/>
        <v>0</v>
      </c>
      <c r="I116" s="376">
        <f t="shared" si="17"/>
        <v>0</v>
      </c>
      <c r="J116" s="376">
        <f t="shared" si="18"/>
        <v>0</v>
      </c>
      <c r="K116" s="376">
        <f t="shared" si="19"/>
        <v>0</v>
      </c>
      <c r="L116" s="378">
        <f t="shared" si="20"/>
        <v>0</v>
      </c>
      <c r="M116" s="244">
        <f>L116*D116*VPI!Q116</f>
        <v>0</v>
      </c>
    </row>
    <row r="117" spans="1:13" x14ac:dyDescent="0.25">
      <c r="A117" s="130">
        <f>Données!A117</f>
        <v>5592</v>
      </c>
      <c r="B117" s="27" t="str">
        <f>Données!B117</f>
        <v>Romanel-sur-Lausanne</v>
      </c>
      <c r="C117" s="285">
        <f>VPI!R117</f>
        <v>135992.91645390069</v>
      </c>
      <c r="D117" s="27">
        <f>Données!Z117</f>
        <v>3992</v>
      </c>
      <c r="E117" s="88">
        <f t="shared" si="13"/>
        <v>34.066361837149472</v>
      </c>
      <c r="F117" s="145">
        <f t="shared" si="14"/>
        <v>0.688775276117497</v>
      </c>
      <c r="G117" s="376">
        <f t="shared" si="15"/>
        <v>0</v>
      </c>
      <c r="H117" s="376">
        <f t="shared" si="16"/>
        <v>0</v>
      </c>
      <c r="I117" s="376">
        <f t="shared" si="17"/>
        <v>0</v>
      </c>
      <c r="J117" s="376">
        <f t="shared" si="18"/>
        <v>0</v>
      </c>
      <c r="K117" s="376">
        <f t="shared" si="19"/>
        <v>0</v>
      </c>
      <c r="L117" s="378">
        <f t="shared" si="20"/>
        <v>0</v>
      </c>
      <c r="M117" s="244">
        <f>L117*D117*VPI!Q117</f>
        <v>0</v>
      </c>
    </row>
    <row r="118" spans="1:13" x14ac:dyDescent="0.25">
      <c r="A118" s="130">
        <f>Données!A118</f>
        <v>5601</v>
      </c>
      <c r="B118" s="27" t="str">
        <f>Données!B118</f>
        <v>Chexbres</v>
      </c>
      <c r="C118" s="285">
        <f>VPI!R118</f>
        <v>102021.70311111111</v>
      </c>
      <c r="D118" s="27">
        <f>Données!Z118</f>
        <v>2230</v>
      </c>
      <c r="E118" s="88">
        <f t="shared" si="13"/>
        <v>45.749642650722471</v>
      </c>
      <c r="F118" s="145">
        <f t="shared" si="14"/>
        <v>0.92499524603373118</v>
      </c>
      <c r="G118" s="376">
        <f t="shared" si="15"/>
        <v>0</v>
      </c>
      <c r="H118" s="376">
        <f t="shared" si="16"/>
        <v>0</v>
      </c>
      <c r="I118" s="376">
        <f t="shared" si="17"/>
        <v>0</v>
      </c>
      <c r="J118" s="376">
        <f t="shared" si="18"/>
        <v>0</v>
      </c>
      <c r="K118" s="376">
        <f t="shared" si="19"/>
        <v>0</v>
      </c>
      <c r="L118" s="378">
        <f t="shared" si="20"/>
        <v>0</v>
      </c>
      <c r="M118" s="244">
        <f>L118*D118*VPI!Q118</f>
        <v>0</v>
      </c>
    </row>
    <row r="119" spans="1:13" x14ac:dyDescent="0.25">
      <c r="A119" s="130">
        <f>Données!A119</f>
        <v>5604</v>
      </c>
      <c r="B119" s="27" t="str">
        <f>Données!B119</f>
        <v>Forel (Lavaux)</v>
      </c>
      <c r="C119" s="285">
        <f>VPI!R119</f>
        <v>75702.239275362328</v>
      </c>
      <c r="D119" s="27">
        <f>Données!Z119</f>
        <v>2068</v>
      </c>
      <c r="E119" s="88">
        <f t="shared" si="13"/>
        <v>36.606498682476946</v>
      </c>
      <c r="F119" s="145">
        <f t="shared" si="14"/>
        <v>0.74013337139577617</v>
      </c>
      <c r="G119" s="376">
        <f t="shared" si="15"/>
        <v>0</v>
      </c>
      <c r="H119" s="376">
        <f t="shared" si="16"/>
        <v>0</v>
      </c>
      <c r="I119" s="376">
        <f t="shared" si="17"/>
        <v>0</v>
      </c>
      <c r="J119" s="376">
        <f t="shared" si="18"/>
        <v>0</v>
      </c>
      <c r="K119" s="376">
        <f t="shared" si="19"/>
        <v>0</v>
      </c>
      <c r="L119" s="378">
        <f t="shared" si="20"/>
        <v>0</v>
      </c>
      <c r="M119" s="244">
        <f>L119*D119*VPI!Q119</f>
        <v>0</v>
      </c>
    </row>
    <row r="120" spans="1:13" x14ac:dyDescent="0.25">
      <c r="A120" s="130">
        <f>Données!A120</f>
        <v>5606</v>
      </c>
      <c r="B120" s="27" t="str">
        <f>Données!B120</f>
        <v>Lutry</v>
      </c>
      <c r="C120" s="285">
        <f>VPI!R120</f>
        <v>997292.15626984113</v>
      </c>
      <c r="D120" s="27">
        <f>Données!Z120</f>
        <v>10796</v>
      </c>
      <c r="E120" s="88">
        <f t="shared" si="13"/>
        <v>92.376079684127561</v>
      </c>
      <c r="F120" s="145">
        <f t="shared" si="14"/>
        <v>1.8677180761258199</v>
      </c>
      <c r="G120" s="376">
        <f t="shared" si="15"/>
        <v>42.916752355807269</v>
      </c>
      <c r="H120" s="376">
        <f t="shared" si="16"/>
        <v>33.024886890143215</v>
      </c>
      <c r="I120" s="376">
        <f t="shared" si="17"/>
        <v>18.187088691647119</v>
      </c>
      <c r="J120" s="376">
        <f t="shared" si="18"/>
        <v>0</v>
      </c>
      <c r="K120" s="376">
        <f t="shared" si="19"/>
        <v>0</v>
      </c>
      <c r="L120" s="378">
        <f t="shared" si="20"/>
        <v>13.704548029340486</v>
      </c>
      <c r="M120" s="244">
        <f>L120*D120*VPI!Q120</f>
        <v>7989532.2283370346</v>
      </c>
    </row>
    <row r="121" spans="1:13" x14ac:dyDescent="0.25">
      <c r="A121" s="130">
        <f>Données!A121</f>
        <v>5607</v>
      </c>
      <c r="B121" s="27" t="str">
        <f>Données!B121</f>
        <v>Puidoux</v>
      </c>
      <c r="C121" s="285">
        <f>VPI!R121</f>
        <v>134658.72766105999</v>
      </c>
      <c r="D121" s="27">
        <f>Données!Z121</f>
        <v>3012</v>
      </c>
      <c r="E121" s="88">
        <f t="shared" si="13"/>
        <v>44.707412902078353</v>
      </c>
      <c r="F121" s="145">
        <f t="shared" si="14"/>
        <v>0.90392278498456236</v>
      </c>
      <c r="G121" s="376">
        <f t="shared" si="15"/>
        <v>0</v>
      </c>
      <c r="H121" s="376">
        <f t="shared" si="16"/>
        <v>0</v>
      </c>
      <c r="I121" s="376">
        <f t="shared" si="17"/>
        <v>0</v>
      </c>
      <c r="J121" s="376">
        <f t="shared" si="18"/>
        <v>0</v>
      </c>
      <c r="K121" s="376">
        <f t="shared" si="19"/>
        <v>0</v>
      </c>
      <c r="L121" s="378">
        <f t="shared" si="20"/>
        <v>0</v>
      </c>
      <c r="M121" s="244">
        <f>L121*D121*VPI!Q121</f>
        <v>0</v>
      </c>
    </row>
    <row r="122" spans="1:13" x14ac:dyDescent="0.25">
      <c r="A122" s="130">
        <f>Données!A122</f>
        <v>5609</v>
      </c>
      <c r="B122" s="27" t="str">
        <f>Données!B122</f>
        <v>Rivaz</v>
      </c>
      <c r="C122" s="285">
        <f>VPI!R122</f>
        <v>13979.892580645163</v>
      </c>
      <c r="D122" s="27">
        <f>Données!Z122</f>
        <v>326</v>
      </c>
      <c r="E122" s="88">
        <f t="shared" si="13"/>
        <v>42.883106075598661</v>
      </c>
      <c r="F122" s="145">
        <f t="shared" si="14"/>
        <v>0.86703779432608452</v>
      </c>
      <c r="G122" s="376">
        <f t="shared" si="15"/>
        <v>0</v>
      </c>
      <c r="H122" s="376">
        <f t="shared" si="16"/>
        <v>0</v>
      </c>
      <c r="I122" s="376">
        <f t="shared" si="17"/>
        <v>0</v>
      </c>
      <c r="J122" s="376">
        <f t="shared" si="18"/>
        <v>0</v>
      </c>
      <c r="K122" s="376">
        <f t="shared" si="19"/>
        <v>0</v>
      </c>
      <c r="L122" s="378">
        <f t="shared" si="20"/>
        <v>0</v>
      </c>
      <c r="M122" s="244">
        <f>L122*D122*VPI!Q122</f>
        <v>0</v>
      </c>
    </row>
    <row r="123" spans="1:13" x14ac:dyDescent="0.25">
      <c r="A123" s="130">
        <f>Données!A123</f>
        <v>5610</v>
      </c>
      <c r="B123" s="27" t="str">
        <f>Données!B123</f>
        <v>St-Saphorin (Lavaux)</v>
      </c>
      <c r="C123" s="285">
        <f>VPI!R123</f>
        <v>19286.757384259257</v>
      </c>
      <c r="D123" s="27">
        <f>Données!Z123</f>
        <v>391</v>
      </c>
      <c r="E123" s="88">
        <f t="shared" si="13"/>
        <v>49.326745228284544</v>
      </c>
      <c r="F123" s="145">
        <f t="shared" si="14"/>
        <v>0.99731937114397773</v>
      </c>
      <c r="G123" s="376">
        <f t="shared" si="15"/>
        <v>0</v>
      </c>
      <c r="H123" s="376">
        <f t="shared" si="16"/>
        <v>0</v>
      </c>
      <c r="I123" s="376">
        <f t="shared" si="17"/>
        <v>0</v>
      </c>
      <c r="J123" s="376">
        <f t="shared" si="18"/>
        <v>0</v>
      </c>
      <c r="K123" s="376">
        <f t="shared" si="19"/>
        <v>0</v>
      </c>
      <c r="L123" s="378">
        <f t="shared" si="20"/>
        <v>0</v>
      </c>
      <c r="M123" s="244">
        <f>L123*D123*VPI!Q123</f>
        <v>0</v>
      </c>
    </row>
    <row r="124" spans="1:13" x14ac:dyDescent="0.25">
      <c r="A124" s="130">
        <f>Données!A124</f>
        <v>5611</v>
      </c>
      <c r="B124" s="27" t="str">
        <f>Données!B124</f>
        <v>Savigny</v>
      </c>
      <c r="C124" s="285">
        <f>VPI!R124</f>
        <v>143902.95567632848</v>
      </c>
      <c r="D124" s="27">
        <f>Données!Z124</f>
        <v>3448</v>
      </c>
      <c r="E124" s="88">
        <f t="shared" si="13"/>
        <v>41.735195961812202</v>
      </c>
      <c r="F124" s="145">
        <f t="shared" si="14"/>
        <v>0.84382862073246856</v>
      </c>
      <c r="G124" s="376">
        <f t="shared" si="15"/>
        <v>0</v>
      </c>
      <c r="H124" s="376">
        <f t="shared" si="16"/>
        <v>0</v>
      </c>
      <c r="I124" s="376">
        <f t="shared" si="17"/>
        <v>0</v>
      </c>
      <c r="J124" s="376">
        <f t="shared" si="18"/>
        <v>0</v>
      </c>
      <c r="K124" s="376">
        <f t="shared" si="19"/>
        <v>0</v>
      </c>
      <c r="L124" s="378">
        <f t="shared" si="20"/>
        <v>0</v>
      </c>
      <c r="M124" s="244">
        <f>L124*D124*VPI!Q124</f>
        <v>0</v>
      </c>
    </row>
    <row r="125" spans="1:13" x14ac:dyDescent="0.25">
      <c r="A125" s="130">
        <f>Données!A125</f>
        <v>5613</v>
      </c>
      <c r="B125" s="27" t="str">
        <f>Données!B125</f>
        <v>Bourg-en-Lavaux</v>
      </c>
      <c r="C125" s="285">
        <f>VPI!R125</f>
        <v>363833.56800000003</v>
      </c>
      <c r="D125" s="27">
        <f>Données!Z125</f>
        <v>5411</v>
      </c>
      <c r="E125" s="88">
        <f t="shared" si="13"/>
        <v>67.239617076326013</v>
      </c>
      <c r="F125" s="145">
        <f t="shared" si="14"/>
        <v>1.3594931574782008</v>
      </c>
      <c r="G125" s="376">
        <f t="shared" si="15"/>
        <v>17.780289748005721</v>
      </c>
      <c r="H125" s="376">
        <f t="shared" si="16"/>
        <v>7.888424282341667</v>
      </c>
      <c r="I125" s="376">
        <f t="shared" si="17"/>
        <v>0</v>
      </c>
      <c r="J125" s="376">
        <f t="shared" si="18"/>
        <v>0</v>
      </c>
      <c r="K125" s="376">
        <f t="shared" si="19"/>
        <v>0</v>
      </c>
      <c r="L125" s="378">
        <f t="shared" si="20"/>
        <v>4.3449003778353106</v>
      </c>
      <c r="M125" s="244">
        <f>L125*D125*VPI!Q125</f>
        <v>1469390.9965291792</v>
      </c>
    </row>
    <row r="126" spans="1:13" x14ac:dyDescent="0.25">
      <c r="A126" s="130">
        <f>Données!A126</f>
        <v>5621</v>
      </c>
      <c r="B126" s="27" t="str">
        <f>Données!B126</f>
        <v>Aclens</v>
      </c>
      <c r="C126" s="285">
        <f>VPI!R126</f>
        <v>33787.730043988267</v>
      </c>
      <c r="D126" s="27">
        <f>Données!Z126</f>
        <v>578</v>
      </c>
      <c r="E126" s="88">
        <f t="shared" si="13"/>
        <v>58.456280352920878</v>
      </c>
      <c r="F126" s="145">
        <f t="shared" si="14"/>
        <v>1.1819060935640537</v>
      </c>
      <c r="G126" s="376">
        <f t="shared" si="15"/>
        <v>8.996953024600586</v>
      </c>
      <c r="H126" s="376">
        <f t="shared" si="16"/>
        <v>0</v>
      </c>
      <c r="I126" s="376">
        <f t="shared" si="17"/>
        <v>0</v>
      </c>
      <c r="J126" s="376">
        <f t="shared" si="18"/>
        <v>0</v>
      </c>
      <c r="K126" s="376">
        <f t="shared" si="19"/>
        <v>0</v>
      </c>
      <c r="L126" s="378">
        <f t="shared" si="20"/>
        <v>1.7993906049201174</v>
      </c>
      <c r="M126" s="244">
        <f>L126*D126*VPI!Q126</f>
        <v>64482.961717917329</v>
      </c>
    </row>
    <row r="127" spans="1:13" x14ac:dyDescent="0.25">
      <c r="A127" s="130">
        <f>Données!A127</f>
        <v>5622</v>
      </c>
      <c r="B127" s="27" t="str">
        <f>Données!B127</f>
        <v>Bremblens</v>
      </c>
      <c r="C127" s="285">
        <f>VPI!R127</f>
        <v>29905.330441176469</v>
      </c>
      <c r="D127" s="27">
        <f>Données!Z127</f>
        <v>614</v>
      </c>
      <c r="E127" s="88">
        <f t="shared" si="13"/>
        <v>48.705749904196203</v>
      </c>
      <c r="F127" s="145">
        <f t="shared" si="14"/>
        <v>0.98476369443681067</v>
      </c>
      <c r="G127" s="376">
        <f t="shared" si="15"/>
        <v>0</v>
      </c>
      <c r="H127" s="376">
        <f t="shared" si="16"/>
        <v>0</v>
      </c>
      <c r="I127" s="376">
        <f t="shared" si="17"/>
        <v>0</v>
      </c>
      <c r="J127" s="376">
        <f t="shared" si="18"/>
        <v>0</v>
      </c>
      <c r="K127" s="376">
        <f t="shared" si="19"/>
        <v>0</v>
      </c>
      <c r="L127" s="378">
        <f t="shared" si="20"/>
        <v>0</v>
      </c>
      <c r="M127" s="244">
        <f>L127*D127*VPI!Q127</f>
        <v>0</v>
      </c>
    </row>
    <row r="128" spans="1:13" x14ac:dyDescent="0.25">
      <c r="A128" s="130">
        <f>Données!A128</f>
        <v>5623</v>
      </c>
      <c r="B128" s="27" t="str">
        <f>Données!B128</f>
        <v>Buchillon</v>
      </c>
      <c r="C128" s="285">
        <f>VPI!R128</f>
        <v>94247.214615384597</v>
      </c>
      <c r="D128" s="27">
        <f>Données!Z128</f>
        <v>687</v>
      </c>
      <c r="E128" s="88">
        <f t="shared" si="13"/>
        <v>137.18662971671702</v>
      </c>
      <c r="F128" s="145">
        <f t="shared" si="14"/>
        <v>2.773726152926554</v>
      </c>
      <c r="G128" s="376">
        <f t="shared" si="15"/>
        <v>87.727302388396737</v>
      </c>
      <c r="H128" s="376">
        <f t="shared" si="16"/>
        <v>77.835436922732669</v>
      </c>
      <c r="I128" s="376">
        <f t="shared" si="17"/>
        <v>62.99763872423658</v>
      </c>
      <c r="J128" s="376">
        <f t="shared" si="18"/>
        <v>38.267975060076438</v>
      </c>
      <c r="K128" s="376">
        <f t="shared" si="19"/>
        <v>0</v>
      </c>
      <c r="L128" s="378">
        <f t="shared" si="20"/>
        <v>35.455565548383916</v>
      </c>
      <c r="M128" s="244">
        <f>L128*D128*VPI!Q128</f>
        <v>1266614.623650467</v>
      </c>
    </row>
    <row r="129" spans="1:13" x14ac:dyDescent="0.25">
      <c r="A129" s="130">
        <f>Données!A129</f>
        <v>5624</v>
      </c>
      <c r="B129" s="27" t="str">
        <f>Données!B129</f>
        <v>Bussigny</v>
      </c>
      <c r="C129" s="285">
        <f>VPI!R129</f>
        <v>412146.03071999998</v>
      </c>
      <c r="D129" s="27">
        <f>Données!Z129</f>
        <v>10645</v>
      </c>
      <c r="E129" s="88">
        <f t="shared" si="13"/>
        <v>38.717334966651009</v>
      </c>
      <c r="F129" s="145">
        <f t="shared" si="14"/>
        <v>0.78281159607444872</v>
      </c>
      <c r="G129" s="376">
        <f t="shared" si="15"/>
        <v>0</v>
      </c>
      <c r="H129" s="376">
        <f t="shared" si="16"/>
        <v>0</v>
      </c>
      <c r="I129" s="376">
        <f t="shared" si="17"/>
        <v>0</v>
      </c>
      <c r="J129" s="376">
        <f t="shared" si="18"/>
        <v>0</v>
      </c>
      <c r="K129" s="376">
        <f t="shared" si="19"/>
        <v>0</v>
      </c>
      <c r="L129" s="378">
        <f t="shared" si="20"/>
        <v>0</v>
      </c>
      <c r="M129" s="244">
        <f>L129*D129*VPI!Q129</f>
        <v>0</v>
      </c>
    </row>
    <row r="130" spans="1:13" x14ac:dyDescent="0.25">
      <c r="A130" s="130">
        <f>Données!A130</f>
        <v>5627</v>
      </c>
      <c r="B130" s="27" t="str">
        <f>Données!B130</f>
        <v>Chavannes-près-Renens</v>
      </c>
      <c r="C130" s="285">
        <f>VPI!R130</f>
        <v>197756.36438709678</v>
      </c>
      <c r="D130" s="27">
        <f>Données!Z130</f>
        <v>9337</v>
      </c>
      <c r="E130" s="88">
        <f t="shared" si="13"/>
        <v>21.17986123884511</v>
      </c>
      <c r="F130" s="145">
        <f t="shared" si="14"/>
        <v>0.4282278466556817</v>
      </c>
      <c r="G130" s="376">
        <f t="shared" si="15"/>
        <v>0</v>
      </c>
      <c r="H130" s="376">
        <f t="shared" si="16"/>
        <v>0</v>
      </c>
      <c r="I130" s="376">
        <f t="shared" si="17"/>
        <v>0</v>
      </c>
      <c r="J130" s="376">
        <f t="shared" si="18"/>
        <v>0</v>
      </c>
      <c r="K130" s="376">
        <f t="shared" si="19"/>
        <v>0</v>
      </c>
      <c r="L130" s="378">
        <f t="shared" si="20"/>
        <v>0</v>
      </c>
      <c r="M130" s="244">
        <f>L130*D130*VPI!Q130</f>
        <v>0</v>
      </c>
    </row>
    <row r="131" spans="1:13" x14ac:dyDescent="0.25">
      <c r="A131" s="130">
        <f>Données!A131</f>
        <v>5628</v>
      </c>
      <c r="B131" s="27" t="str">
        <f>Données!B131</f>
        <v>Chigny</v>
      </c>
      <c r="C131" s="285">
        <f>VPI!R131</f>
        <v>29701.321935483869</v>
      </c>
      <c r="D131" s="27">
        <f>Données!Z131</f>
        <v>422</v>
      </c>
      <c r="E131" s="88">
        <f t="shared" si="13"/>
        <v>70.382279467971259</v>
      </c>
      <c r="F131" s="145">
        <f t="shared" si="14"/>
        <v>1.4230334958007109</v>
      </c>
      <c r="G131" s="376">
        <f t="shared" si="15"/>
        <v>20.922952139650967</v>
      </c>
      <c r="H131" s="376">
        <f t="shared" si="16"/>
        <v>11.031086673986913</v>
      </c>
      <c r="I131" s="376">
        <f t="shared" si="17"/>
        <v>0</v>
      </c>
      <c r="J131" s="376">
        <f t="shared" si="18"/>
        <v>0</v>
      </c>
      <c r="K131" s="376">
        <f t="shared" si="19"/>
        <v>0</v>
      </c>
      <c r="L131" s="378">
        <f t="shared" si="20"/>
        <v>5.2876990953288843</v>
      </c>
      <c r="M131" s="244">
        <f>L131*D131*VPI!Q131</f>
        <v>138347.35913018492</v>
      </c>
    </row>
    <row r="132" spans="1:13" x14ac:dyDescent="0.25">
      <c r="A132" s="130">
        <f>Données!A132</f>
        <v>5629</v>
      </c>
      <c r="B132" s="27" t="str">
        <f>Données!B132</f>
        <v>Clarmont</v>
      </c>
      <c r="C132" s="285">
        <f>VPI!R132</f>
        <v>11214.945694444446</v>
      </c>
      <c r="D132" s="27">
        <f>Données!Z132</f>
        <v>219</v>
      </c>
      <c r="E132" s="88">
        <f t="shared" si="13"/>
        <v>51.20979769152715</v>
      </c>
      <c r="F132" s="145">
        <f t="shared" si="14"/>
        <v>1.0353921182871515</v>
      </c>
      <c r="G132" s="376">
        <f t="shared" si="15"/>
        <v>1.7504703632068583</v>
      </c>
      <c r="H132" s="376">
        <f t="shared" si="16"/>
        <v>0</v>
      </c>
      <c r="I132" s="376">
        <f t="shared" si="17"/>
        <v>0</v>
      </c>
      <c r="J132" s="376">
        <f t="shared" si="18"/>
        <v>0</v>
      </c>
      <c r="K132" s="376">
        <f t="shared" si="19"/>
        <v>0</v>
      </c>
      <c r="L132" s="378">
        <f t="shared" si="20"/>
        <v>0.35009407264137171</v>
      </c>
      <c r="M132" s="244">
        <f>L132*D132*VPI!Q132</f>
        <v>5520.2833374091488</v>
      </c>
    </row>
    <row r="133" spans="1:13" x14ac:dyDescent="0.25">
      <c r="A133" s="130">
        <f>Données!A133</f>
        <v>5631</v>
      </c>
      <c r="B133" s="27" t="str">
        <f>Données!B133</f>
        <v>Denens</v>
      </c>
      <c r="C133" s="285">
        <f>VPI!R133</f>
        <v>47500.25692307693</v>
      </c>
      <c r="D133" s="27">
        <f>Données!Z133</f>
        <v>742</v>
      </c>
      <c r="E133" s="88">
        <f t="shared" si="13"/>
        <v>64.016518764254627</v>
      </c>
      <c r="F133" s="145">
        <f t="shared" si="14"/>
        <v>1.2943265147805381</v>
      </c>
      <c r="G133" s="376">
        <f t="shared" si="15"/>
        <v>14.557191435934335</v>
      </c>
      <c r="H133" s="376">
        <f t="shared" si="16"/>
        <v>4.6653259702702812</v>
      </c>
      <c r="I133" s="376">
        <f t="shared" si="17"/>
        <v>0</v>
      </c>
      <c r="J133" s="376">
        <f t="shared" si="18"/>
        <v>0</v>
      </c>
      <c r="K133" s="376">
        <f t="shared" si="19"/>
        <v>0</v>
      </c>
      <c r="L133" s="378">
        <f t="shared" si="20"/>
        <v>3.3779708842138954</v>
      </c>
      <c r="M133" s="244">
        <f>L133*D133*VPI!Q133</f>
        <v>162919.53574563618</v>
      </c>
    </row>
    <row r="134" spans="1:13" x14ac:dyDescent="0.25">
      <c r="A134" s="130">
        <f>Données!A134</f>
        <v>5632</v>
      </c>
      <c r="B134" s="27" t="str">
        <f>Données!B134</f>
        <v>Denges</v>
      </c>
      <c r="C134" s="285">
        <f>VPI!R134</f>
        <v>89815.216612903241</v>
      </c>
      <c r="D134" s="27">
        <f>Données!Z134</f>
        <v>1821</v>
      </c>
      <c r="E134" s="88">
        <f t="shared" si="13"/>
        <v>49.321920160847469</v>
      </c>
      <c r="F134" s="145">
        <f t="shared" si="14"/>
        <v>0.99722181487506512</v>
      </c>
      <c r="G134" s="376">
        <f t="shared" si="15"/>
        <v>0</v>
      </c>
      <c r="H134" s="376">
        <f t="shared" si="16"/>
        <v>0</v>
      </c>
      <c r="I134" s="376">
        <f t="shared" si="17"/>
        <v>0</v>
      </c>
      <c r="J134" s="376">
        <f t="shared" si="18"/>
        <v>0</v>
      </c>
      <c r="K134" s="376">
        <f t="shared" si="19"/>
        <v>0</v>
      </c>
      <c r="L134" s="378">
        <f t="shared" si="20"/>
        <v>0</v>
      </c>
      <c r="M134" s="244">
        <f>L134*D134*VPI!Q134</f>
        <v>0</v>
      </c>
    </row>
    <row r="135" spans="1:13" x14ac:dyDescent="0.25">
      <c r="A135" s="130">
        <f>Données!A135</f>
        <v>5633</v>
      </c>
      <c r="B135" s="27" t="str">
        <f>Données!B135</f>
        <v>Echandens</v>
      </c>
      <c r="C135" s="285">
        <f>VPI!R135</f>
        <v>146616.96727272726</v>
      </c>
      <c r="D135" s="27">
        <f>Données!Z135</f>
        <v>2910</v>
      </c>
      <c r="E135" s="88">
        <f t="shared" ref="E135:E198" si="21">C135/D135</f>
        <v>50.383837550765378</v>
      </c>
      <c r="F135" s="145">
        <f t="shared" ref="F135:F198" si="22">E135/$E$306</f>
        <v>1.0186923331226891</v>
      </c>
      <c r="G135" s="376">
        <f t="shared" ref="G135:G198" si="23">IF(E135-$G$3&lt;0,0,E135-$G$3)</f>
        <v>0.92451022244508607</v>
      </c>
      <c r="H135" s="376">
        <f t="shared" ref="H135:H198" si="24">IF(E135-$H$3&lt;0,0,E135-$H$3)</f>
        <v>0</v>
      </c>
      <c r="I135" s="376">
        <f t="shared" ref="I135:I198" si="25">IF(E135-$I$3&lt;0,0,E135-$I$3)</f>
        <v>0</v>
      </c>
      <c r="J135" s="376">
        <f t="shared" ref="J135:J198" si="26">IF(E135-$J$3&lt;0,0,E135-$J$3)</f>
        <v>0</v>
      </c>
      <c r="K135" s="376">
        <f t="shared" ref="K135:K198" si="27">IF(E135-$K$3&lt;0,0,E135-$K$3)</f>
        <v>0</v>
      </c>
      <c r="L135" s="378">
        <f t="shared" ref="L135:L198" si="28">(G135-H135)*$G$4+(H135-I135)*$H$4+(I135-J135)*$I$4+(J135-K135)*$J$4+(K135*$K$4)</f>
        <v>0.18490204448901723</v>
      </c>
      <c r="M135" s="244">
        <f>L135*D135*VPI!Q135</f>
        <v>32552.929442513931</v>
      </c>
    </row>
    <row r="136" spans="1:13" x14ac:dyDescent="0.25">
      <c r="A136" s="130">
        <f>Données!A136</f>
        <v>5634</v>
      </c>
      <c r="B136" s="27" t="str">
        <f>Données!B136</f>
        <v>Echichens</v>
      </c>
      <c r="C136" s="285">
        <f>VPI!R136</f>
        <v>181424.03242424241</v>
      </c>
      <c r="D136" s="27">
        <f>Données!Z136</f>
        <v>3181</v>
      </c>
      <c r="E136" s="88">
        <f t="shared" si="21"/>
        <v>57.033647414096954</v>
      </c>
      <c r="F136" s="145">
        <f t="shared" si="22"/>
        <v>1.1531423999258401</v>
      </c>
      <c r="G136" s="376">
        <f t="shared" si="23"/>
        <v>7.5743200857766624</v>
      </c>
      <c r="H136" s="376">
        <f t="shared" si="24"/>
        <v>0</v>
      </c>
      <c r="I136" s="376">
        <f t="shared" si="25"/>
        <v>0</v>
      </c>
      <c r="J136" s="376">
        <f t="shared" si="26"/>
        <v>0</v>
      </c>
      <c r="K136" s="376">
        <f t="shared" si="27"/>
        <v>0</v>
      </c>
      <c r="L136" s="378">
        <f t="shared" si="28"/>
        <v>1.5148640171553325</v>
      </c>
      <c r="M136" s="244">
        <f>L136*D136*VPI!Q136</f>
        <v>318039.64094569342</v>
      </c>
    </row>
    <row r="137" spans="1:13" x14ac:dyDescent="0.25">
      <c r="A137" s="130">
        <f>Données!A137</f>
        <v>5635</v>
      </c>
      <c r="B137" s="27" t="str">
        <f>Données!B137</f>
        <v>Ecublens</v>
      </c>
      <c r="C137" s="285">
        <f>VPI!R137</f>
        <v>505560.77512000001</v>
      </c>
      <c r="D137" s="27">
        <f>Données!Z137</f>
        <v>13334</v>
      </c>
      <c r="E137" s="88">
        <f t="shared" si="21"/>
        <v>37.915162375881209</v>
      </c>
      <c r="F137" s="145">
        <f t="shared" si="22"/>
        <v>0.76659276265916942</v>
      </c>
      <c r="G137" s="376">
        <f t="shared" si="23"/>
        <v>0</v>
      </c>
      <c r="H137" s="376">
        <f t="shared" si="24"/>
        <v>0</v>
      </c>
      <c r="I137" s="376">
        <f t="shared" si="25"/>
        <v>0</v>
      </c>
      <c r="J137" s="376">
        <f t="shared" si="26"/>
        <v>0</v>
      </c>
      <c r="K137" s="376">
        <f t="shared" si="27"/>
        <v>0</v>
      </c>
      <c r="L137" s="378">
        <f t="shared" si="28"/>
        <v>0</v>
      </c>
      <c r="M137" s="244">
        <f>L137*D137*VPI!Q137</f>
        <v>0</v>
      </c>
    </row>
    <row r="138" spans="1:13" x14ac:dyDescent="0.25">
      <c r="A138" s="130">
        <f>Données!A138</f>
        <v>5636</v>
      </c>
      <c r="B138" s="27" t="str">
        <f>Données!B138</f>
        <v>Etoy</v>
      </c>
      <c r="C138" s="285">
        <f>VPI!R138</f>
        <v>236704.12550000002</v>
      </c>
      <c r="D138" s="27">
        <f>Données!Z138</f>
        <v>2920</v>
      </c>
      <c r="E138" s="88">
        <f t="shared" si="21"/>
        <v>81.063056678082205</v>
      </c>
      <c r="F138" s="145">
        <f t="shared" si="22"/>
        <v>1.6389842130276142</v>
      </c>
      <c r="G138" s="376">
        <f t="shared" si="23"/>
        <v>31.603729349761913</v>
      </c>
      <c r="H138" s="376">
        <f t="shared" si="24"/>
        <v>21.711863884097859</v>
      </c>
      <c r="I138" s="376">
        <f t="shared" si="25"/>
        <v>6.8740656856017637</v>
      </c>
      <c r="J138" s="376">
        <f t="shared" si="26"/>
        <v>0</v>
      </c>
      <c r="K138" s="376">
        <f t="shared" si="27"/>
        <v>0</v>
      </c>
      <c r="L138" s="378">
        <f t="shared" si="28"/>
        <v>9.1793388269223453</v>
      </c>
      <c r="M138" s="244">
        <f>L138*D138*VPI!Q138</f>
        <v>1608220.1624767948</v>
      </c>
    </row>
    <row r="139" spans="1:13" x14ac:dyDescent="0.25">
      <c r="A139" s="130">
        <f>Données!A139</f>
        <v>5637</v>
      </c>
      <c r="B139" s="27" t="str">
        <f>Données!B139</f>
        <v>Lavigny</v>
      </c>
      <c r="C139" s="285">
        <f>VPI!R139</f>
        <v>38282.802876712332</v>
      </c>
      <c r="D139" s="27">
        <f>Données!Z139</f>
        <v>1052</v>
      </c>
      <c r="E139" s="88">
        <f t="shared" si="21"/>
        <v>36.390497031095371</v>
      </c>
      <c r="F139" s="145">
        <f t="shared" si="22"/>
        <v>0.73576611322528562</v>
      </c>
      <c r="G139" s="376">
        <f t="shared" si="23"/>
        <v>0</v>
      </c>
      <c r="H139" s="376">
        <f t="shared" si="24"/>
        <v>0</v>
      </c>
      <c r="I139" s="376">
        <f t="shared" si="25"/>
        <v>0</v>
      </c>
      <c r="J139" s="376">
        <f t="shared" si="26"/>
        <v>0</v>
      </c>
      <c r="K139" s="376">
        <f t="shared" si="27"/>
        <v>0</v>
      </c>
      <c r="L139" s="378">
        <f t="shared" si="28"/>
        <v>0</v>
      </c>
      <c r="M139" s="244">
        <f>L139*D139*VPI!Q139</f>
        <v>0</v>
      </c>
    </row>
    <row r="140" spans="1:13" x14ac:dyDescent="0.25">
      <c r="A140" s="130">
        <f>Données!A140</f>
        <v>5638</v>
      </c>
      <c r="B140" s="27" t="str">
        <f>Données!B140</f>
        <v>Lonay</v>
      </c>
      <c r="C140" s="285">
        <f>VPI!R140</f>
        <v>168507.09218181815</v>
      </c>
      <c r="D140" s="27">
        <f>Données!Z140</f>
        <v>2693</v>
      </c>
      <c r="E140" s="88">
        <f t="shared" si="21"/>
        <v>62.572258515342796</v>
      </c>
      <c r="F140" s="145">
        <f t="shared" si="22"/>
        <v>1.2651255464914921</v>
      </c>
      <c r="G140" s="376">
        <f t="shared" si="23"/>
        <v>13.112931187022504</v>
      </c>
      <c r="H140" s="376">
        <f t="shared" si="24"/>
        <v>3.2210657213584497</v>
      </c>
      <c r="I140" s="376">
        <f t="shared" si="25"/>
        <v>0</v>
      </c>
      <c r="J140" s="376">
        <f t="shared" si="26"/>
        <v>0</v>
      </c>
      <c r="K140" s="376">
        <f t="shared" si="27"/>
        <v>0</v>
      </c>
      <c r="L140" s="378">
        <f t="shared" si="28"/>
        <v>2.9446928095403457</v>
      </c>
      <c r="M140" s="244">
        <f>L140*D140*VPI!Q140</f>
        <v>436153.17548506829</v>
      </c>
    </row>
    <row r="141" spans="1:13" x14ac:dyDescent="0.25">
      <c r="A141" s="130">
        <f>Données!A141</f>
        <v>5639</v>
      </c>
      <c r="B141" s="27" t="str">
        <f>Données!B141</f>
        <v>Lully</v>
      </c>
      <c r="C141" s="285">
        <f>VPI!R141</f>
        <v>50946.176393442627</v>
      </c>
      <c r="D141" s="27">
        <f>Données!Z141</f>
        <v>833</v>
      </c>
      <c r="E141" s="88">
        <f t="shared" si="21"/>
        <v>61.159875622380106</v>
      </c>
      <c r="F141" s="145">
        <f t="shared" si="22"/>
        <v>1.2365690947713337</v>
      </c>
      <c r="G141" s="376">
        <f t="shared" si="23"/>
        <v>11.700548294059814</v>
      </c>
      <c r="H141" s="376">
        <f t="shared" si="24"/>
        <v>1.8086828283957601</v>
      </c>
      <c r="I141" s="376">
        <f t="shared" si="25"/>
        <v>0</v>
      </c>
      <c r="J141" s="376">
        <f t="shared" si="26"/>
        <v>0</v>
      </c>
      <c r="K141" s="376">
        <f t="shared" si="27"/>
        <v>0</v>
      </c>
      <c r="L141" s="378">
        <f t="shared" si="28"/>
        <v>2.5209779416515392</v>
      </c>
      <c r="M141" s="244">
        <f>L141*D141*VPI!Q141</f>
        <v>128098.45214913967</v>
      </c>
    </row>
    <row r="142" spans="1:13" x14ac:dyDescent="0.25">
      <c r="A142" s="130">
        <f>Données!A142</f>
        <v>5640</v>
      </c>
      <c r="B142" s="27" t="str">
        <f>Données!B142</f>
        <v>Lussy-sur-Morges</v>
      </c>
      <c r="C142" s="285">
        <f>VPI!R142</f>
        <v>53692.239837398381</v>
      </c>
      <c r="D142" s="27">
        <f>Données!Z142</f>
        <v>732</v>
      </c>
      <c r="E142" s="88">
        <f t="shared" si="21"/>
        <v>73.350054422675385</v>
      </c>
      <c r="F142" s="145">
        <f t="shared" si="22"/>
        <v>1.4830378491758283</v>
      </c>
      <c r="G142" s="376">
        <f t="shared" si="23"/>
        <v>23.890727094355093</v>
      </c>
      <c r="H142" s="376">
        <f t="shared" si="24"/>
        <v>13.998861628691039</v>
      </c>
      <c r="I142" s="376">
        <f t="shared" si="25"/>
        <v>0</v>
      </c>
      <c r="J142" s="376">
        <f t="shared" si="26"/>
        <v>0</v>
      </c>
      <c r="K142" s="376">
        <f t="shared" si="27"/>
        <v>0</v>
      </c>
      <c r="L142" s="378">
        <f t="shared" si="28"/>
        <v>6.1780315817401226</v>
      </c>
      <c r="M142" s="244">
        <f>L142*D142*VPI!Q142</f>
        <v>278122.62574677682</v>
      </c>
    </row>
    <row r="143" spans="1:13" x14ac:dyDescent="0.25">
      <c r="A143" s="130">
        <f>Données!A143</f>
        <v>5642</v>
      </c>
      <c r="B143" s="27" t="str">
        <f>Données!B143</f>
        <v>Morges</v>
      </c>
      <c r="C143" s="285">
        <f>VPI!R143</f>
        <v>1132235.5279104479</v>
      </c>
      <c r="D143" s="27">
        <f>Données!Z143</f>
        <v>17755</v>
      </c>
      <c r="E143" s="88">
        <f t="shared" si="21"/>
        <v>63.769953698138437</v>
      </c>
      <c r="F143" s="145">
        <f t="shared" si="22"/>
        <v>1.2893413061366872</v>
      </c>
      <c r="G143" s="376">
        <f t="shared" si="23"/>
        <v>14.310626369818145</v>
      </c>
      <c r="H143" s="376">
        <f t="shared" si="24"/>
        <v>4.418760904154091</v>
      </c>
      <c r="I143" s="376">
        <f t="shared" si="25"/>
        <v>0</v>
      </c>
      <c r="J143" s="376">
        <f t="shared" si="26"/>
        <v>0</v>
      </c>
      <c r="K143" s="376">
        <f t="shared" si="27"/>
        <v>0</v>
      </c>
      <c r="L143" s="378">
        <f t="shared" si="28"/>
        <v>3.3040013643790385</v>
      </c>
      <c r="M143" s="244">
        <f>L143*D143*VPI!Q143</f>
        <v>3930390.4630448385</v>
      </c>
    </row>
    <row r="144" spans="1:13" x14ac:dyDescent="0.25">
      <c r="A144" s="130">
        <f>Données!A144</f>
        <v>5643</v>
      </c>
      <c r="B144" s="27" t="str">
        <f>Données!B144</f>
        <v>Préverenges</v>
      </c>
      <c r="C144" s="285">
        <f>VPI!R144</f>
        <v>249027.28047999999</v>
      </c>
      <c r="D144" s="27">
        <f>Données!Z144</f>
        <v>5223</v>
      </c>
      <c r="E144" s="88">
        <f t="shared" si="21"/>
        <v>47.678973861765265</v>
      </c>
      <c r="F144" s="145">
        <f t="shared" si="22"/>
        <v>0.96400368620590593</v>
      </c>
      <c r="G144" s="376">
        <f t="shared" si="23"/>
        <v>0</v>
      </c>
      <c r="H144" s="376">
        <f t="shared" si="24"/>
        <v>0</v>
      </c>
      <c r="I144" s="376">
        <f t="shared" si="25"/>
        <v>0</v>
      </c>
      <c r="J144" s="376">
        <f t="shared" si="26"/>
        <v>0</v>
      </c>
      <c r="K144" s="376">
        <f t="shared" si="27"/>
        <v>0</v>
      </c>
      <c r="L144" s="378">
        <f t="shared" si="28"/>
        <v>0</v>
      </c>
      <c r="M144" s="244">
        <f>L144*D144*VPI!Q144</f>
        <v>0</v>
      </c>
    </row>
    <row r="145" spans="1:13" x14ac:dyDescent="0.25">
      <c r="A145" s="130">
        <f>Données!A145</f>
        <v>5645</v>
      </c>
      <c r="B145" s="27" t="str">
        <f>Données!B145</f>
        <v>Romanel-sur-Morges</v>
      </c>
      <c r="C145" s="285">
        <f>VPI!R145</f>
        <v>27135.573571428577</v>
      </c>
      <c r="D145" s="27">
        <f>Données!Z145</f>
        <v>462</v>
      </c>
      <c r="E145" s="88">
        <f t="shared" si="21"/>
        <v>58.735007730364885</v>
      </c>
      <c r="F145" s="145">
        <f t="shared" si="22"/>
        <v>1.1875415801850859</v>
      </c>
      <c r="G145" s="376">
        <f t="shared" si="23"/>
        <v>9.2756804020445927</v>
      </c>
      <c r="H145" s="376">
        <f t="shared" si="24"/>
        <v>0</v>
      </c>
      <c r="I145" s="376">
        <f t="shared" si="25"/>
        <v>0</v>
      </c>
      <c r="J145" s="376">
        <f t="shared" si="26"/>
        <v>0</v>
      </c>
      <c r="K145" s="376">
        <f t="shared" si="27"/>
        <v>0</v>
      </c>
      <c r="L145" s="378">
        <f t="shared" si="28"/>
        <v>1.8551360804089185</v>
      </c>
      <c r="M145" s="244">
        <f>L145*D145*VPI!Q145</f>
        <v>47996.080672339544</v>
      </c>
    </row>
    <row r="146" spans="1:13" x14ac:dyDescent="0.25">
      <c r="A146" s="130">
        <f>Données!A146</f>
        <v>5646</v>
      </c>
      <c r="B146" s="27" t="str">
        <f>Données!B146</f>
        <v>Saint-Prex</v>
      </c>
      <c r="C146" s="285">
        <f>VPI!R146</f>
        <v>525095.71629943512</v>
      </c>
      <c r="D146" s="27">
        <f>Données!Z146</f>
        <v>5907</v>
      </c>
      <c r="E146" s="88">
        <f t="shared" si="21"/>
        <v>88.893806720744053</v>
      </c>
      <c r="F146" s="145">
        <f t="shared" si="22"/>
        <v>1.7973112762058063</v>
      </c>
      <c r="G146" s="376">
        <f t="shared" si="23"/>
        <v>39.434479392423761</v>
      </c>
      <c r="H146" s="376">
        <f t="shared" si="24"/>
        <v>29.542613926759707</v>
      </c>
      <c r="I146" s="376">
        <f t="shared" si="25"/>
        <v>14.704815728263611</v>
      </c>
      <c r="J146" s="376">
        <f t="shared" si="26"/>
        <v>0</v>
      </c>
      <c r="K146" s="376">
        <f t="shared" si="27"/>
        <v>0</v>
      </c>
      <c r="L146" s="378">
        <f t="shared" si="28"/>
        <v>12.311638843987083</v>
      </c>
      <c r="M146" s="244">
        <f>L146*D146*VPI!Q146</f>
        <v>4290766.1884344704</v>
      </c>
    </row>
    <row r="147" spans="1:13" x14ac:dyDescent="0.25">
      <c r="A147" s="130">
        <f>Données!A147</f>
        <v>5648</v>
      </c>
      <c r="B147" s="27" t="str">
        <f>Données!B147</f>
        <v>Saint-Sulpice</v>
      </c>
      <c r="C147" s="285">
        <f>VPI!R147</f>
        <v>396373.38209090912</v>
      </c>
      <c r="D147" s="27">
        <f>Données!Z147</f>
        <v>5138</v>
      </c>
      <c r="E147" s="88">
        <f t="shared" si="21"/>
        <v>77.145461675926256</v>
      </c>
      <c r="F147" s="145">
        <f t="shared" si="22"/>
        <v>1.5597757964603969</v>
      </c>
      <c r="G147" s="376">
        <f t="shared" si="23"/>
        <v>27.686134347605964</v>
      </c>
      <c r="H147" s="376">
        <f t="shared" si="24"/>
        <v>17.79426888194191</v>
      </c>
      <c r="I147" s="376">
        <f t="shared" si="25"/>
        <v>2.956470683445815</v>
      </c>
      <c r="J147" s="376">
        <f t="shared" si="26"/>
        <v>0</v>
      </c>
      <c r="K147" s="376">
        <f t="shared" si="27"/>
        <v>0</v>
      </c>
      <c r="L147" s="378">
        <f t="shared" si="28"/>
        <v>7.6123008260599656</v>
      </c>
      <c r="M147" s="244">
        <f>L147*D147*VPI!Q147</f>
        <v>2151160.0904362858</v>
      </c>
    </row>
    <row r="148" spans="1:13" x14ac:dyDescent="0.25">
      <c r="A148" s="130">
        <f>Données!A148</f>
        <v>5649</v>
      </c>
      <c r="B148" s="27" t="str">
        <f>Données!B148</f>
        <v>Tolochenaz</v>
      </c>
      <c r="C148" s="285">
        <f>VPI!R148</f>
        <v>281314.52828124992</v>
      </c>
      <c r="D148" s="27">
        <f>Données!Z148</f>
        <v>1922</v>
      </c>
      <c r="E148" s="88">
        <f t="shared" si="21"/>
        <v>146.36551939711234</v>
      </c>
      <c r="F148" s="145">
        <f t="shared" si="22"/>
        <v>2.9593107570086947</v>
      </c>
      <c r="G148" s="376">
        <f t="shared" si="23"/>
        <v>96.906192068792052</v>
      </c>
      <c r="H148" s="376">
        <f t="shared" si="24"/>
        <v>87.014326603127984</v>
      </c>
      <c r="I148" s="376">
        <f t="shared" si="25"/>
        <v>72.176528404631895</v>
      </c>
      <c r="J148" s="376">
        <f t="shared" si="26"/>
        <v>47.446864740471753</v>
      </c>
      <c r="K148" s="376">
        <f t="shared" si="27"/>
        <v>0</v>
      </c>
      <c r="L148" s="378">
        <f t="shared" si="28"/>
        <v>40.045010388581574</v>
      </c>
      <c r="M148" s="244">
        <f>L148*D148*VPI!Q148</f>
        <v>4925856.6378786424</v>
      </c>
    </row>
    <row r="149" spans="1:13" x14ac:dyDescent="0.25">
      <c r="A149" s="130">
        <f>Données!A149</f>
        <v>5650</v>
      </c>
      <c r="B149" s="27" t="str">
        <f>Données!B149</f>
        <v>Vaux-sur-Morges</v>
      </c>
      <c r="C149" s="285">
        <f>VPI!R149</f>
        <v>96067.741964285728</v>
      </c>
      <c r="D149" s="27">
        <f>Données!Z149</f>
        <v>180</v>
      </c>
      <c r="E149" s="88">
        <f t="shared" si="21"/>
        <v>533.70967757936512</v>
      </c>
      <c r="F149" s="145">
        <f t="shared" si="22"/>
        <v>10.790880232488812</v>
      </c>
      <c r="G149" s="376">
        <f t="shared" si="23"/>
        <v>484.25035025104484</v>
      </c>
      <c r="H149" s="376">
        <f t="shared" si="24"/>
        <v>474.35848478538077</v>
      </c>
      <c r="I149" s="376">
        <f t="shared" si="25"/>
        <v>459.52068658688466</v>
      </c>
      <c r="J149" s="376">
        <f t="shared" si="26"/>
        <v>434.79102292272455</v>
      </c>
      <c r="K149" s="376">
        <f t="shared" si="27"/>
        <v>385.33169559440421</v>
      </c>
      <c r="L149" s="378">
        <f t="shared" si="28"/>
        <v>272.25025903914837</v>
      </c>
      <c r="M149" s="244">
        <f>L149*D149*VPI!Q149</f>
        <v>2744282.6111146156</v>
      </c>
    </row>
    <row r="150" spans="1:13" x14ac:dyDescent="0.25">
      <c r="A150" s="130">
        <f>Données!A150</f>
        <v>5651</v>
      </c>
      <c r="B150" s="27" t="str">
        <f>Données!B150</f>
        <v>Villars-Sainte-Croix</v>
      </c>
      <c r="C150" s="285">
        <f>VPI!R150</f>
        <v>61414.015041322302</v>
      </c>
      <c r="D150" s="27">
        <f>Données!Z150</f>
        <v>980</v>
      </c>
      <c r="E150" s="88">
        <f t="shared" si="21"/>
        <v>62.667362287063575</v>
      </c>
      <c r="F150" s="145">
        <f t="shared" si="22"/>
        <v>1.2670484147725234</v>
      </c>
      <c r="G150" s="376">
        <f t="shared" si="23"/>
        <v>13.208034958743283</v>
      </c>
      <c r="H150" s="376">
        <f t="shared" si="24"/>
        <v>3.3161694930792294</v>
      </c>
      <c r="I150" s="376">
        <f t="shared" si="25"/>
        <v>0</v>
      </c>
      <c r="J150" s="376">
        <f t="shared" si="26"/>
        <v>0</v>
      </c>
      <c r="K150" s="376">
        <f t="shared" si="27"/>
        <v>0</v>
      </c>
      <c r="L150" s="378">
        <f t="shared" si="28"/>
        <v>2.9732239410565797</v>
      </c>
      <c r="M150" s="244">
        <f>L150*D150*VPI!Q150</f>
        <v>176282.44746524462</v>
      </c>
    </row>
    <row r="151" spans="1:13" x14ac:dyDescent="0.25">
      <c r="A151" s="130">
        <f>Données!A151</f>
        <v>5652</v>
      </c>
      <c r="B151" s="27" t="str">
        <f>Données!B151</f>
        <v>Villars-sous-Yens</v>
      </c>
      <c r="C151" s="285">
        <f>VPI!R151</f>
        <v>29186.92625</v>
      </c>
      <c r="D151" s="27">
        <f>Données!Z151</f>
        <v>609</v>
      </c>
      <c r="E151" s="88">
        <f t="shared" si="21"/>
        <v>47.925987274220034</v>
      </c>
      <c r="F151" s="145">
        <f t="shared" si="22"/>
        <v>0.96899795979994519</v>
      </c>
      <c r="G151" s="376">
        <f t="shared" si="23"/>
        <v>0</v>
      </c>
      <c r="H151" s="376">
        <f t="shared" si="24"/>
        <v>0</v>
      </c>
      <c r="I151" s="376">
        <f t="shared" si="25"/>
        <v>0</v>
      </c>
      <c r="J151" s="376">
        <f t="shared" si="26"/>
        <v>0</v>
      </c>
      <c r="K151" s="376">
        <f t="shared" si="27"/>
        <v>0</v>
      </c>
      <c r="L151" s="378">
        <f t="shared" si="28"/>
        <v>0</v>
      </c>
      <c r="M151" s="244">
        <f>L151*D151*VPI!Q151</f>
        <v>0</v>
      </c>
    </row>
    <row r="152" spans="1:13" x14ac:dyDescent="0.25">
      <c r="A152" s="130">
        <f>Données!A152</f>
        <v>5653</v>
      </c>
      <c r="B152" s="27" t="str">
        <f>Données!B152</f>
        <v>Vufflens-le-Château</v>
      </c>
      <c r="C152" s="285">
        <f>VPI!R152</f>
        <v>66751.135840000003</v>
      </c>
      <c r="D152" s="27">
        <f>Données!Z152</f>
        <v>882</v>
      </c>
      <c r="E152" s="88">
        <f t="shared" si="21"/>
        <v>75.68155990929705</v>
      </c>
      <c r="F152" s="145">
        <f t="shared" si="22"/>
        <v>1.530177703528167</v>
      </c>
      <c r="G152" s="376">
        <f t="shared" si="23"/>
        <v>26.222232580976758</v>
      </c>
      <c r="H152" s="376">
        <f t="shared" si="24"/>
        <v>16.330367115312704</v>
      </c>
      <c r="I152" s="376">
        <f t="shared" si="25"/>
        <v>1.4925689168166087</v>
      </c>
      <c r="J152" s="376">
        <f t="shared" si="26"/>
        <v>0</v>
      </c>
      <c r="K152" s="376">
        <f t="shared" si="27"/>
        <v>0</v>
      </c>
      <c r="L152" s="378">
        <f t="shared" si="28"/>
        <v>7.0267401194082826</v>
      </c>
      <c r="M152" s="244">
        <f>L152*D152*VPI!Q152</f>
        <v>387349.04908238153</v>
      </c>
    </row>
    <row r="153" spans="1:13" x14ac:dyDescent="0.25">
      <c r="A153" s="130">
        <f>Données!A153</f>
        <v>5654</v>
      </c>
      <c r="B153" s="27" t="str">
        <f>Données!B153</f>
        <v>Vullierens</v>
      </c>
      <c r="C153" s="285">
        <f>VPI!R153</f>
        <v>21960.434210526313</v>
      </c>
      <c r="D153" s="27">
        <f>Données!Z153</f>
        <v>571</v>
      </c>
      <c r="E153" s="88">
        <f t="shared" si="21"/>
        <v>38.459604571849937</v>
      </c>
      <c r="F153" s="145">
        <f t="shared" si="22"/>
        <v>0.77760063974481231</v>
      </c>
      <c r="G153" s="376">
        <f t="shared" si="23"/>
        <v>0</v>
      </c>
      <c r="H153" s="376">
        <f t="shared" si="24"/>
        <v>0</v>
      </c>
      <c r="I153" s="376">
        <f t="shared" si="25"/>
        <v>0</v>
      </c>
      <c r="J153" s="376">
        <f t="shared" si="26"/>
        <v>0</v>
      </c>
      <c r="K153" s="376">
        <f t="shared" si="27"/>
        <v>0</v>
      </c>
      <c r="L153" s="378">
        <f t="shared" si="28"/>
        <v>0</v>
      </c>
      <c r="M153" s="244">
        <f>L153*D153*VPI!Q153</f>
        <v>0</v>
      </c>
    </row>
    <row r="154" spans="1:13" x14ac:dyDescent="0.25">
      <c r="A154" s="130">
        <f>Données!A154</f>
        <v>5655</v>
      </c>
      <c r="B154" s="27" t="str">
        <f>Données!B154</f>
        <v>Yens</v>
      </c>
      <c r="C154" s="285">
        <f>VPI!R154</f>
        <v>83347.731285714282</v>
      </c>
      <c r="D154" s="27">
        <f>Données!Z154</f>
        <v>1505</v>
      </c>
      <c r="E154" s="88">
        <f t="shared" si="21"/>
        <v>55.380552349311813</v>
      </c>
      <c r="F154" s="145">
        <f t="shared" si="22"/>
        <v>1.1197190770850021</v>
      </c>
      <c r="G154" s="376">
        <f t="shared" si="23"/>
        <v>5.9212250209915211</v>
      </c>
      <c r="H154" s="376">
        <f t="shared" si="24"/>
        <v>0</v>
      </c>
      <c r="I154" s="376">
        <f t="shared" si="25"/>
        <v>0</v>
      </c>
      <c r="J154" s="376">
        <f t="shared" si="26"/>
        <v>0</v>
      </c>
      <c r="K154" s="376">
        <f t="shared" si="27"/>
        <v>0</v>
      </c>
      <c r="L154" s="378">
        <f t="shared" si="28"/>
        <v>1.1842450041983044</v>
      </c>
      <c r="M154" s="244">
        <f>L154*D154*VPI!Q154</f>
        <v>124760.21119229136</v>
      </c>
    </row>
    <row r="155" spans="1:13" x14ac:dyDescent="0.25">
      <c r="A155" s="130">
        <f>Données!A155</f>
        <v>5656</v>
      </c>
      <c r="B155" s="27" t="str">
        <f>Données!B155</f>
        <v>Hautemorges</v>
      </c>
      <c r="C155" s="285">
        <f>VPI!R155</f>
        <v>167962.47422535214</v>
      </c>
      <c r="D155" s="27">
        <f>Données!Z155</f>
        <v>4343</v>
      </c>
      <c r="E155" s="88">
        <f t="shared" si="21"/>
        <v>38.674297542102728</v>
      </c>
      <c r="F155" s="145">
        <f t="shared" si="22"/>
        <v>0.78194143817151995</v>
      </c>
      <c r="G155" s="376">
        <f t="shared" si="23"/>
        <v>0</v>
      </c>
      <c r="H155" s="376">
        <f t="shared" si="24"/>
        <v>0</v>
      </c>
      <c r="I155" s="376">
        <f t="shared" si="25"/>
        <v>0</v>
      </c>
      <c r="J155" s="376">
        <f t="shared" si="26"/>
        <v>0</v>
      </c>
      <c r="K155" s="376">
        <f t="shared" si="27"/>
        <v>0</v>
      </c>
      <c r="L155" s="378">
        <f t="shared" si="28"/>
        <v>0</v>
      </c>
      <c r="M155" s="244">
        <f>L155*D155*VPI!Q155</f>
        <v>0</v>
      </c>
    </row>
    <row r="156" spans="1:13" x14ac:dyDescent="0.25">
      <c r="A156" s="130">
        <f>Données!A156</f>
        <v>5661</v>
      </c>
      <c r="B156" s="27" t="str">
        <f>Données!B156</f>
        <v>Boulens</v>
      </c>
      <c r="C156" s="285">
        <f>VPI!R156</f>
        <v>10042.510349650349</v>
      </c>
      <c r="D156" s="27">
        <f>Données!Z156</f>
        <v>379</v>
      </c>
      <c r="E156" s="88">
        <f t="shared" si="21"/>
        <v>26.497388785357121</v>
      </c>
      <c r="F156" s="145">
        <f t="shared" si="22"/>
        <v>0.53574098591075625</v>
      </c>
      <c r="G156" s="376">
        <f t="shared" si="23"/>
        <v>0</v>
      </c>
      <c r="H156" s="376">
        <f t="shared" si="24"/>
        <v>0</v>
      </c>
      <c r="I156" s="376">
        <f t="shared" si="25"/>
        <v>0</v>
      </c>
      <c r="J156" s="376">
        <f t="shared" si="26"/>
        <v>0</v>
      </c>
      <c r="K156" s="376">
        <f t="shared" si="27"/>
        <v>0</v>
      </c>
      <c r="L156" s="378">
        <f t="shared" si="28"/>
        <v>0</v>
      </c>
      <c r="M156" s="244">
        <f>L156*D156*VPI!Q156</f>
        <v>0</v>
      </c>
    </row>
    <row r="157" spans="1:13" x14ac:dyDescent="0.25">
      <c r="A157" s="130">
        <f>Données!A157</f>
        <v>5663</v>
      </c>
      <c r="B157" s="27" t="str">
        <f>Données!B157</f>
        <v>Bussy-sur-Moudon</v>
      </c>
      <c r="C157" s="285">
        <f>VPI!R157</f>
        <v>7115.4099363057312</v>
      </c>
      <c r="D157" s="27">
        <f>Données!Z157</f>
        <v>251</v>
      </c>
      <c r="E157" s="88">
        <f t="shared" si="21"/>
        <v>28.348246758190164</v>
      </c>
      <c r="F157" s="145">
        <f t="shared" si="22"/>
        <v>0.57316280445969647</v>
      </c>
      <c r="G157" s="376">
        <f t="shared" si="23"/>
        <v>0</v>
      </c>
      <c r="H157" s="376">
        <f t="shared" si="24"/>
        <v>0</v>
      </c>
      <c r="I157" s="376">
        <f t="shared" si="25"/>
        <v>0</v>
      </c>
      <c r="J157" s="376">
        <f t="shared" si="26"/>
        <v>0</v>
      </c>
      <c r="K157" s="376">
        <f t="shared" si="27"/>
        <v>0</v>
      </c>
      <c r="L157" s="378">
        <f t="shared" si="28"/>
        <v>0</v>
      </c>
      <c r="M157" s="244">
        <f>L157*D157*VPI!Q157</f>
        <v>0</v>
      </c>
    </row>
    <row r="158" spans="1:13" x14ac:dyDescent="0.25">
      <c r="A158" s="130">
        <f>Données!A158</f>
        <v>5665</v>
      </c>
      <c r="B158" s="27" t="str">
        <f>Données!B158</f>
        <v>Chavannes-sur-Moudon</v>
      </c>
      <c r="C158" s="285">
        <f>VPI!R158</f>
        <v>5907.4868571428569</v>
      </c>
      <c r="D158" s="27">
        <f>Données!Z158</f>
        <v>238</v>
      </c>
      <c r="E158" s="88">
        <f t="shared" si="21"/>
        <v>24.821373349339733</v>
      </c>
      <c r="F158" s="145">
        <f t="shared" si="22"/>
        <v>0.50185424449003924</v>
      </c>
      <c r="G158" s="376">
        <f t="shared" si="23"/>
        <v>0</v>
      </c>
      <c r="H158" s="376">
        <f t="shared" si="24"/>
        <v>0</v>
      </c>
      <c r="I158" s="376">
        <f t="shared" si="25"/>
        <v>0</v>
      </c>
      <c r="J158" s="376">
        <f t="shared" si="26"/>
        <v>0</v>
      </c>
      <c r="K158" s="376">
        <f t="shared" si="27"/>
        <v>0</v>
      </c>
      <c r="L158" s="378">
        <f t="shared" si="28"/>
        <v>0</v>
      </c>
      <c r="M158" s="244">
        <f>L158*D158*VPI!Q158</f>
        <v>0</v>
      </c>
    </row>
    <row r="159" spans="1:13" x14ac:dyDescent="0.25">
      <c r="A159" s="130">
        <f>Données!A159</f>
        <v>5669</v>
      </c>
      <c r="B159" s="27" t="str">
        <f>Données!B159</f>
        <v>Curtilles</v>
      </c>
      <c r="C159" s="285">
        <f>VPI!R159</f>
        <v>9466.6579452054793</v>
      </c>
      <c r="D159" s="27">
        <f>Données!Z159</f>
        <v>310</v>
      </c>
      <c r="E159" s="88">
        <f t="shared" si="21"/>
        <v>30.537606274856383</v>
      </c>
      <c r="F159" s="145">
        <f t="shared" si="22"/>
        <v>0.61742866157766407</v>
      </c>
      <c r="G159" s="376">
        <f t="shared" si="23"/>
        <v>0</v>
      </c>
      <c r="H159" s="376">
        <f t="shared" si="24"/>
        <v>0</v>
      </c>
      <c r="I159" s="376">
        <f t="shared" si="25"/>
        <v>0</v>
      </c>
      <c r="J159" s="376">
        <f t="shared" si="26"/>
        <v>0</v>
      </c>
      <c r="K159" s="376">
        <f t="shared" si="27"/>
        <v>0</v>
      </c>
      <c r="L159" s="378">
        <f t="shared" si="28"/>
        <v>0</v>
      </c>
      <c r="M159" s="244">
        <f>L159*D159*VPI!Q159</f>
        <v>0</v>
      </c>
    </row>
    <row r="160" spans="1:13" x14ac:dyDescent="0.25">
      <c r="A160" s="130">
        <f>Données!A160</f>
        <v>5671</v>
      </c>
      <c r="B160" s="27" t="str">
        <f>Données!B160</f>
        <v>Dompierre</v>
      </c>
      <c r="C160" s="285">
        <f>VPI!R160</f>
        <v>8071.3430769230772</v>
      </c>
      <c r="D160" s="27">
        <f>Données!Z160</f>
        <v>253</v>
      </c>
      <c r="E160" s="88">
        <f t="shared" si="21"/>
        <v>31.902541806020068</v>
      </c>
      <c r="F160" s="145">
        <f t="shared" si="22"/>
        <v>0.64502579249096959</v>
      </c>
      <c r="G160" s="376">
        <f t="shared" si="23"/>
        <v>0</v>
      </c>
      <c r="H160" s="376">
        <f t="shared" si="24"/>
        <v>0</v>
      </c>
      <c r="I160" s="376">
        <f t="shared" si="25"/>
        <v>0</v>
      </c>
      <c r="J160" s="376">
        <f t="shared" si="26"/>
        <v>0</v>
      </c>
      <c r="K160" s="376">
        <f t="shared" si="27"/>
        <v>0</v>
      </c>
      <c r="L160" s="378">
        <f t="shared" si="28"/>
        <v>0</v>
      </c>
      <c r="M160" s="244">
        <f>L160*D160*VPI!Q160</f>
        <v>0</v>
      </c>
    </row>
    <row r="161" spans="1:13" x14ac:dyDescent="0.25">
      <c r="A161" s="130">
        <f>Données!A161</f>
        <v>5673</v>
      </c>
      <c r="B161" s="27" t="str">
        <f>Données!B161</f>
        <v>Hermenches</v>
      </c>
      <c r="C161" s="285">
        <f>VPI!R161</f>
        <v>11048.340272108846</v>
      </c>
      <c r="D161" s="27">
        <f>Données!Z161</f>
        <v>377</v>
      </c>
      <c r="E161" s="88">
        <f t="shared" si="21"/>
        <v>29.30594236633646</v>
      </c>
      <c r="F161" s="145">
        <f t="shared" si="22"/>
        <v>0.59252610072510925</v>
      </c>
      <c r="G161" s="376">
        <f t="shared" si="23"/>
        <v>0</v>
      </c>
      <c r="H161" s="376">
        <f t="shared" si="24"/>
        <v>0</v>
      </c>
      <c r="I161" s="376">
        <f t="shared" si="25"/>
        <v>0</v>
      </c>
      <c r="J161" s="376">
        <f t="shared" si="26"/>
        <v>0</v>
      </c>
      <c r="K161" s="376">
        <f t="shared" si="27"/>
        <v>0</v>
      </c>
      <c r="L161" s="378">
        <f t="shared" si="28"/>
        <v>0</v>
      </c>
      <c r="M161" s="244">
        <f>L161*D161*VPI!Q161</f>
        <v>0</v>
      </c>
    </row>
    <row r="162" spans="1:13" x14ac:dyDescent="0.25">
      <c r="A162" s="130">
        <f>Données!A162</f>
        <v>5674</v>
      </c>
      <c r="B162" s="27" t="str">
        <f>Données!B162</f>
        <v>Lovatens</v>
      </c>
      <c r="C162" s="285">
        <f>VPI!R162</f>
        <v>4104.2373333333326</v>
      </c>
      <c r="D162" s="27">
        <f>Données!Z162</f>
        <v>142</v>
      </c>
      <c r="E162" s="88">
        <f t="shared" si="21"/>
        <v>28.903079812206567</v>
      </c>
      <c r="F162" s="145">
        <f t="shared" si="22"/>
        <v>0.58438077049334902</v>
      </c>
      <c r="G162" s="376">
        <f t="shared" si="23"/>
        <v>0</v>
      </c>
      <c r="H162" s="376">
        <f t="shared" si="24"/>
        <v>0</v>
      </c>
      <c r="I162" s="376">
        <f t="shared" si="25"/>
        <v>0</v>
      </c>
      <c r="J162" s="376">
        <f t="shared" si="26"/>
        <v>0</v>
      </c>
      <c r="K162" s="376">
        <f t="shared" si="27"/>
        <v>0</v>
      </c>
      <c r="L162" s="378">
        <f t="shared" si="28"/>
        <v>0</v>
      </c>
      <c r="M162" s="244">
        <f>L162*D162*VPI!Q162</f>
        <v>0</v>
      </c>
    </row>
    <row r="163" spans="1:13" x14ac:dyDescent="0.25">
      <c r="A163" s="130">
        <f>Données!A163</f>
        <v>5675</v>
      </c>
      <c r="B163" s="27" t="str">
        <f>Données!B163</f>
        <v>Lucens</v>
      </c>
      <c r="C163" s="285">
        <f>VPI!R163</f>
        <v>97920.060444735136</v>
      </c>
      <c r="D163" s="27">
        <f>Données!Z163</f>
        <v>4599</v>
      </c>
      <c r="E163" s="88">
        <f t="shared" si="21"/>
        <v>21.291598270218554</v>
      </c>
      <c r="F163" s="145">
        <f t="shared" si="22"/>
        <v>0.43048701671336798</v>
      </c>
      <c r="G163" s="376">
        <f t="shared" si="23"/>
        <v>0</v>
      </c>
      <c r="H163" s="376">
        <f t="shared" si="24"/>
        <v>0</v>
      </c>
      <c r="I163" s="376">
        <f t="shared" si="25"/>
        <v>0</v>
      </c>
      <c r="J163" s="376">
        <f t="shared" si="26"/>
        <v>0</v>
      </c>
      <c r="K163" s="376">
        <f t="shared" si="27"/>
        <v>0</v>
      </c>
      <c r="L163" s="378">
        <f t="shared" si="28"/>
        <v>0</v>
      </c>
      <c r="M163" s="244">
        <f>L163*D163*VPI!Q163</f>
        <v>0</v>
      </c>
    </row>
    <row r="164" spans="1:13" x14ac:dyDescent="0.25">
      <c r="A164" s="130">
        <f>Données!A164</f>
        <v>5678</v>
      </c>
      <c r="B164" s="27" t="str">
        <f>Données!B164</f>
        <v>Moudon</v>
      </c>
      <c r="C164" s="285">
        <f>VPI!R164</f>
        <v>133786.12827586205</v>
      </c>
      <c r="D164" s="27">
        <f>Données!Z164</f>
        <v>6375</v>
      </c>
      <c r="E164" s="88">
        <f t="shared" si="21"/>
        <v>20.986059337390127</v>
      </c>
      <c r="F164" s="145">
        <f t="shared" si="22"/>
        <v>0.42430943708717933</v>
      </c>
      <c r="G164" s="376">
        <f t="shared" si="23"/>
        <v>0</v>
      </c>
      <c r="H164" s="376">
        <f t="shared" si="24"/>
        <v>0</v>
      </c>
      <c r="I164" s="376">
        <f t="shared" si="25"/>
        <v>0</v>
      </c>
      <c r="J164" s="376">
        <f t="shared" si="26"/>
        <v>0</v>
      </c>
      <c r="K164" s="376">
        <f t="shared" si="27"/>
        <v>0</v>
      </c>
      <c r="L164" s="378">
        <f t="shared" si="28"/>
        <v>0</v>
      </c>
      <c r="M164" s="244">
        <f>L164*D164*VPI!Q164</f>
        <v>0</v>
      </c>
    </row>
    <row r="165" spans="1:13" x14ac:dyDescent="0.25">
      <c r="A165" s="130">
        <f>Données!A165</f>
        <v>5680</v>
      </c>
      <c r="B165" s="27" t="str">
        <f>Données!B165</f>
        <v>Ogens</v>
      </c>
      <c r="C165" s="285">
        <f>VPI!R165</f>
        <v>7909.509316239315</v>
      </c>
      <c r="D165" s="27">
        <f>Données!Z165</f>
        <v>332</v>
      </c>
      <c r="E165" s="88">
        <f t="shared" si="21"/>
        <v>23.823823241684682</v>
      </c>
      <c r="F165" s="145">
        <f t="shared" si="22"/>
        <v>0.48168514471573126</v>
      </c>
      <c r="G165" s="376">
        <f t="shared" si="23"/>
        <v>0</v>
      </c>
      <c r="H165" s="376">
        <f t="shared" si="24"/>
        <v>0</v>
      </c>
      <c r="I165" s="376">
        <f t="shared" si="25"/>
        <v>0</v>
      </c>
      <c r="J165" s="376">
        <f t="shared" si="26"/>
        <v>0</v>
      </c>
      <c r="K165" s="376">
        <f t="shared" si="27"/>
        <v>0</v>
      </c>
      <c r="L165" s="378">
        <f t="shared" si="28"/>
        <v>0</v>
      </c>
      <c r="M165" s="244">
        <f>L165*D165*VPI!Q165</f>
        <v>0</v>
      </c>
    </row>
    <row r="166" spans="1:13" x14ac:dyDescent="0.25">
      <c r="A166" s="130">
        <f>Données!A166</f>
        <v>5683</v>
      </c>
      <c r="B166" s="27" t="str">
        <f>Données!B166</f>
        <v>Prévonloup</v>
      </c>
      <c r="C166" s="285">
        <f>VPI!R166</f>
        <v>6488.9761379310348</v>
      </c>
      <c r="D166" s="27">
        <f>Données!Z166</f>
        <v>226</v>
      </c>
      <c r="E166" s="88">
        <f t="shared" si="21"/>
        <v>28.71228379615502</v>
      </c>
      <c r="F166" s="145">
        <f t="shared" si="22"/>
        <v>0.58052313581940762</v>
      </c>
      <c r="G166" s="376">
        <f t="shared" si="23"/>
        <v>0</v>
      </c>
      <c r="H166" s="376">
        <f t="shared" si="24"/>
        <v>0</v>
      </c>
      <c r="I166" s="376">
        <f t="shared" si="25"/>
        <v>0</v>
      </c>
      <c r="J166" s="376">
        <f t="shared" si="26"/>
        <v>0</v>
      </c>
      <c r="K166" s="376">
        <f t="shared" si="27"/>
        <v>0</v>
      </c>
      <c r="L166" s="378">
        <f t="shared" si="28"/>
        <v>0</v>
      </c>
      <c r="M166" s="244">
        <f>L166*D166*VPI!Q166</f>
        <v>0</v>
      </c>
    </row>
    <row r="167" spans="1:13" x14ac:dyDescent="0.25">
      <c r="A167" s="130">
        <f>Données!A167</f>
        <v>5684</v>
      </c>
      <c r="B167" s="27" t="str">
        <f>Données!B167</f>
        <v>Rossenges</v>
      </c>
      <c r="C167" s="285">
        <f>VPI!R167</f>
        <v>5023.6746428571432</v>
      </c>
      <c r="D167" s="27">
        <f>Données!Z167</f>
        <v>88</v>
      </c>
      <c r="E167" s="88">
        <f t="shared" si="21"/>
        <v>57.087211850649354</v>
      </c>
      <c r="F167" s="145">
        <f t="shared" si="22"/>
        <v>1.1542253996236895</v>
      </c>
      <c r="G167" s="376">
        <f t="shared" si="23"/>
        <v>7.6278845223290617</v>
      </c>
      <c r="H167" s="376">
        <f t="shared" si="24"/>
        <v>0</v>
      </c>
      <c r="I167" s="376">
        <f t="shared" si="25"/>
        <v>0</v>
      </c>
      <c r="J167" s="376">
        <f t="shared" si="26"/>
        <v>0</v>
      </c>
      <c r="K167" s="376">
        <f t="shared" si="27"/>
        <v>0</v>
      </c>
      <c r="L167" s="378">
        <f t="shared" si="28"/>
        <v>1.5255769044658125</v>
      </c>
      <c r="M167" s="244">
        <f>L167*D167*VPI!Q167</f>
        <v>9397.5537315094061</v>
      </c>
    </row>
    <row r="168" spans="1:13" x14ac:dyDescent="0.25">
      <c r="A168" s="130">
        <f>Données!A168</f>
        <v>5688</v>
      </c>
      <c r="B168" s="27" t="str">
        <f>Données!B168</f>
        <v>Syens</v>
      </c>
      <c r="C168" s="285">
        <f>VPI!R168</f>
        <v>5225.3353846153841</v>
      </c>
      <c r="D168" s="27">
        <f>Données!Z168</f>
        <v>166</v>
      </c>
      <c r="E168" s="88">
        <f t="shared" si="21"/>
        <v>31.477924003707134</v>
      </c>
      <c r="F168" s="145">
        <f t="shared" si="22"/>
        <v>0.63644060087495269</v>
      </c>
      <c r="G168" s="376">
        <f t="shared" si="23"/>
        <v>0</v>
      </c>
      <c r="H168" s="376">
        <f t="shared" si="24"/>
        <v>0</v>
      </c>
      <c r="I168" s="376">
        <f t="shared" si="25"/>
        <v>0</v>
      </c>
      <c r="J168" s="376">
        <f t="shared" si="26"/>
        <v>0</v>
      </c>
      <c r="K168" s="376">
        <f t="shared" si="27"/>
        <v>0</v>
      </c>
      <c r="L168" s="378">
        <f t="shared" si="28"/>
        <v>0</v>
      </c>
      <c r="M168" s="244">
        <f>L168*D168*VPI!Q168</f>
        <v>0</v>
      </c>
    </row>
    <row r="169" spans="1:13" x14ac:dyDescent="0.25">
      <c r="A169" s="130">
        <f>Données!A169</f>
        <v>5690</v>
      </c>
      <c r="B169" s="27" t="str">
        <f>Données!B169</f>
        <v>Villars-le-Comte</v>
      </c>
      <c r="C169" s="285">
        <f>VPI!R169</f>
        <v>4383.2226470588239</v>
      </c>
      <c r="D169" s="27">
        <f>Données!Z169</f>
        <v>135</v>
      </c>
      <c r="E169" s="88">
        <f t="shared" si="21"/>
        <v>32.468315904139438</v>
      </c>
      <c r="F169" s="145">
        <f t="shared" si="22"/>
        <v>0.65646497148270266</v>
      </c>
      <c r="G169" s="376">
        <f t="shared" si="23"/>
        <v>0</v>
      </c>
      <c r="H169" s="376">
        <f t="shared" si="24"/>
        <v>0</v>
      </c>
      <c r="I169" s="376">
        <f t="shared" si="25"/>
        <v>0</v>
      </c>
      <c r="J169" s="376">
        <f t="shared" si="26"/>
        <v>0</v>
      </c>
      <c r="K169" s="376">
        <f t="shared" si="27"/>
        <v>0</v>
      </c>
      <c r="L169" s="378">
        <f t="shared" si="28"/>
        <v>0</v>
      </c>
      <c r="M169" s="244">
        <f>L169*D169*VPI!Q169</f>
        <v>0</v>
      </c>
    </row>
    <row r="170" spans="1:13" x14ac:dyDescent="0.25">
      <c r="A170" s="130">
        <f>Données!A170</f>
        <v>5692</v>
      </c>
      <c r="B170" s="27" t="str">
        <f>Données!B170</f>
        <v>Vucherens</v>
      </c>
      <c r="C170" s="285">
        <f>VPI!R170</f>
        <v>18408.334805194805</v>
      </c>
      <c r="D170" s="27">
        <f>Données!Z170</f>
        <v>635</v>
      </c>
      <c r="E170" s="88">
        <f t="shared" si="21"/>
        <v>28.98950363022804</v>
      </c>
      <c r="F170" s="145">
        <f t="shared" si="22"/>
        <v>0.58612814197391483</v>
      </c>
      <c r="G170" s="376">
        <f t="shared" si="23"/>
        <v>0</v>
      </c>
      <c r="H170" s="376">
        <f t="shared" si="24"/>
        <v>0</v>
      </c>
      <c r="I170" s="376">
        <f t="shared" si="25"/>
        <v>0</v>
      </c>
      <c r="J170" s="376">
        <f t="shared" si="26"/>
        <v>0</v>
      </c>
      <c r="K170" s="376">
        <f t="shared" si="27"/>
        <v>0</v>
      </c>
      <c r="L170" s="378">
        <f t="shared" si="28"/>
        <v>0</v>
      </c>
      <c r="M170" s="244">
        <f>L170*D170*VPI!Q170</f>
        <v>0</v>
      </c>
    </row>
    <row r="171" spans="1:13" x14ac:dyDescent="0.25">
      <c r="A171" s="130">
        <f>Données!A171</f>
        <v>5693</v>
      </c>
      <c r="B171" s="27" t="str">
        <f>Données!B171</f>
        <v>Montanaire</v>
      </c>
      <c r="C171" s="285">
        <f>VPI!R171</f>
        <v>74596.156714285724</v>
      </c>
      <c r="D171" s="27">
        <f>Données!Z171</f>
        <v>2835</v>
      </c>
      <c r="E171" s="88">
        <f t="shared" si="21"/>
        <v>26.312577324263042</v>
      </c>
      <c r="F171" s="145">
        <f t="shared" si="22"/>
        <v>0.53200435075865915</v>
      </c>
      <c r="G171" s="376">
        <f t="shared" si="23"/>
        <v>0</v>
      </c>
      <c r="H171" s="376">
        <f t="shared" si="24"/>
        <v>0</v>
      </c>
      <c r="I171" s="376">
        <f t="shared" si="25"/>
        <v>0</v>
      </c>
      <c r="J171" s="376">
        <f t="shared" si="26"/>
        <v>0</v>
      </c>
      <c r="K171" s="376">
        <f t="shared" si="27"/>
        <v>0</v>
      </c>
      <c r="L171" s="378">
        <f t="shared" si="28"/>
        <v>0</v>
      </c>
      <c r="M171" s="244">
        <f>L171*D171*VPI!Q171</f>
        <v>0</v>
      </c>
    </row>
    <row r="172" spans="1:13" x14ac:dyDescent="0.25">
      <c r="A172" s="130">
        <f>Données!A172</f>
        <v>5701</v>
      </c>
      <c r="B172" s="27" t="str">
        <f>Données!B172</f>
        <v>Arnex-sur-Nyon</v>
      </c>
      <c r="C172" s="285">
        <f>VPI!R172</f>
        <v>14428.628999999999</v>
      </c>
      <c r="D172" s="27">
        <f>Données!Z172</f>
        <v>242</v>
      </c>
      <c r="E172" s="88">
        <f t="shared" si="21"/>
        <v>59.622433884297514</v>
      </c>
      <c r="F172" s="145">
        <f t="shared" si="22"/>
        <v>1.2054841241271361</v>
      </c>
      <c r="G172" s="376">
        <f t="shared" si="23"/>
        <v>10.163106555977222</v>
      </c>
      <c r="H172" s="376">
        <f t="shared" si="24"/>
        <v>0.27124109031316834</v>
      </c>
      <c r="I172" s="376">
        <f t="shared" si="25"/>
        <v>0</v>
      </c>
      <c r="J172" s="376">
        <f t="shared" si="26"/>
        <v>0</v>
      </c>
      <c r="K172" s="376">
        <f t="shared" si="27"/>
        <v>0</v>
      </c>
      <c r="L172" s="378">
        <f t="shared" si="28"/>
        <v>2.0597454202267613</v>
      </c>
      <c r="M172" s="244">
        <f>L172*D172*VPI!Q172</f>
        <v>34892.087418641335</v>
      </c>
    </row>
    <row r="173" spans="1:13" x14ac:dyDescent="0.25">
      <c r="A173" s="130">
        <f>Données!A173</f>
        <v>5702</v>
      </c>
      <c r="B173" s="27" t="str">
        <f>Données!B173</f>
        <v>Arzier-Le Muids</v>
      </c>
      <c r="C173" s="285">
        <f>VPI!R173</f>
        <v>188642.38078125002</v>
      </c>
      <c r="D173" s="27">
        <f>Données!Z173</f>
        <v>2971</v>
      </c>
      <c r="E173" s="88">
        <f t="shared" si="21"/>
        <v>63.494574480393815</v>
      </c>
      <c r="F173" s="145">
        <f t="shared" si="22"/>
        <v>1.2837735147286764</v>
      </c>
      <c r="G173" s="376">
        <f t="shared" si="23"/>
        <v>14.035247152073524</v>
      </c>
      <c r="H173" s="376">
        <f t="shared" si="24"/>
        <v>4.1433816864094695</v>
      </c>
      <c r="I173" s="376">
        <f t="shared" si="25"/>
        <v>0</v>
      </c>
      <c r="J173" s="376">
        <f t="shared" si="26"/>
        <v>0</v>
      </c>
      <c r="K173" s="376">
        <f t="shared" si="27"/>
        <v>0</v>
      </c>
      <c r="L173" s="378">
        <f t="shared" si="28"/>
        <v>3.2213875990556518</v>
      </c>
      <c r="M173" s="244">
        <f>L173*D173*VPI!Q173</f>
        <v>612527.52363483782</v>
      </c>
    </row>
    <row r="174" spans="1:13" x14ac:dyDescent="0.25">
      <c r="A174" s="130">
        <f>Données!A174</f>
        <v>5703</v>
      </c>
      <c r="B174" s="27" t="str">
        <f>Données!B174</f>
        <v>Bassins</v>
      </c>
      <c r="C174" s="285">
        <f>VPI!R174</f>
        <v>66120.332571428575</v>
      </c>
      <c r="D174" s="27">
        <f>Données!Z174</f>
        <v>1483</v>
      </c>
      <c r="E174" s="88">
        <f t="shared" si="21"/>
        <v>44.585524323282925</v>
      </c>
      <c r="F174" s="145">
        <f t="shared" si="22"/>
        <v>0.90145836451263994</v>
      </c>
      <c r="G174" s="376">
        <f t="shared" si="23"/>
        <v>0</v>
      </c>
      <c r="H174" s="376">
        <f t="shared" si="24"/>
        <v>0</v>
      </c>
      <c r="I174" s="376">
        <f t="shared" si="25"/>
        <v>0</v>
      </c>
      <c r="J174" s="376">
        <f t="shared" si="26"/>
        <v>0</v>
      </c>
      <c r="K174" s="376">
        <f t="shared" si="27"/>
        <v>0</v>
      </c>
      <c r="L174" s="378">
        <f t="shared" si="28"/>
        <v>0</v>
      </c>
      <c r="M174" s="244">
        <f>L174*D174*VPI!Q174</f>
        <v>0</v>
      </c>
    </row>
    <row r="175" spans="1:13" x14ac:dyDescent="0.25">
      <c r="A175" s="130">
        <f>Données!A175</f>
        <v>5704</v>
      </c>
      <c r="B175" s="27" t="str">
        <f>Données!B175</f>
        <v>Begnins</v>
      </c>
      <c r="C175" s="285">
        <f>VPI!R175</f>
        <v>140338.01370666668</v>
      </c>
      <c r="D175" s="27">
        <f>Données!Z175</f>
        <v>2008</v>
      </c>
      <c r="E175" s="88">
        <f t="shared" si="21"/>
        <v>69.889449057104926</v>
      </c>
      <c r="F175" s="145">
        <f t="shared" si="22"/>
        <v>1.4130691384693863</v>
      </c>
      <c r="G175" s="376">
        <f t="shared" si="23"/>
        <v>20.430121728784634</v>
      </c>
      <c r="H175" s="376">
        <f t="shared" si="24"/>
        <v>10.53825626312058</v>
      </c>
      <c r="I175" s="376">
        <f t="shared" si="25"/>
        <v>0</v>
      </c>
      <c r="J175" s="376">
        <f t="shared" si="26"/>
        <v>0</v>
      </c>
      <c r="K175" s="376">
        <f t="shared" si="27"/>
        <v>0</v>
      </c>
      <c r="L175" s="378">
        <f t="shared" si="28"/>
        <v>5.1398499720689852</v>
      </c>
      <c r="M175" s="244">
        <f>L175*D175*VPI!Q175</f>
        <v>645051.17149465764</v>
      </c>
    </row>
    <row r="176" spans="1:13" x14ac:dyDescent="0.25">
      <c r="A176" s="130">
        <f>Données!A176</f>
        <v>5705</v>
      </c>
      <c r="B176" s="27" t="str">
        <f>Données!B176</f>
        <v>Bogis-Bossey</v>
      </c>
      <c r="C176" s="285">
        <f>VPI!R176</f>
        <v>55817.342916666668</v>
      </c>
      <c r="D176" s="27">
        <f>Données!Z176</f>
        <v>983</v>
      </c>
      <c r="E176" s="88">
        <f t="shared" si="21"/>
        <v>56.782647931502204</v>
      </c>
      <c r="F176" s="145">
        <f t="shared" si="22"/>
        <v>1.1480675334415353</v>
      </c>
      <c r="G176" s="376">
        <f t="shared" si="23"/>
        <v>7.3233206031819122</v>
      </c>
      <c r="H176" s="376">
        <f t="shared" si="24"/>
        <v>0</v>
      </c>
      <c r="I176" s="376">
        <f t="shared" si="25"/>
        <v>0</v>
      </c>
      <c r="J176" s="376">
        <f t="shared" si="26"/>
        <v>0</v>
      </c>
      <c r="K176" s="376">
        <f t="shared" si="27"/>
        <v>0</v>
      </c>
      <c r="L176" s="378">
        <f t="shared" si="28"/>
        <v>1.4646641206363826</v>
      </c>
      <c r="M176" s="244">
        <f>L176*D176*VPI!Q176</f>
        <v>103663.06780216061</v>
      </c>
    </row>
    <row r="177" spans="1:13" x14ac:dyDescent="0.25">
      <c r="A177" s="130">
        <f>Données!A177</f>
        <v>5706</v>
      </c>
      <c r="B177" s="27" t="str">
        <f>Données!B177</f>
        <v>Borex</v>
      </c>
      <c r="C177" s="285">
        <f>VPI!R177</f>
        <v>71534.631578947388</v>
      </c>
      <c r="D177" s="27">
        <f>Données!Z177</f>
        <v>1135</v>
      </c>
      <c r="E177" s="88">
        <f t="shared" si="21"/>
        <v>63.026107118015318</v>
      </c>
      <c r="F177" s="145">
        <f t="shared" si="22"/>
        <v>1.2743017449395582</v>
      </c>
      <c r="G177" s="376">
        <f t="shared" si="23"/>
        <v>13.566779789695026</v>
      </c>
      <c r="H177" s="376">
        <f t="shared" si="24"/>
        <v>3.6749143240309721</v>
      </c>
      <c r="I177" s="376">
        <f t="shared" si="25"/>
        <v>0</v>
      </c>
      <c r="J177" s="376">
        <f t="shared" si="26"/>
        <v>0</v>
      </c>
      <c r="K177" s="376">
        <f t="shared" si="27"/>
        <v>0</v>
      </c>
      <c r="L177" s="378">
        <f t="shared" si="28"/>
        <v>3.0808473903421025</v>
      </c>
      <c r="M177" s="244">
        <f>L177*D177*VPI!Q177</f>
        <v>199315.42191818231</v>
      </c>
    </row>
    <row r="178" spans="1:13" x14ac:dyDescent="0.25">
      <c r="A178" s="130">
        <f>Données!A178</f>
        <v>5707</v>
      </c>
      <c r="B178" s="27" t="str">
        <f>Données!B178</f>
        <v>Chavannes-de-Bogis</v>
      </c>
      <c r="C178" s="285">
        <f>VPI!R178</f>
        <v>92416.422643678146</v>
      </c>
      <c r="D178" s="27">
        <f>Données!Z178</f>
        <v>1394</v>
      </c>
      <c r="E178" s="88">
        <f t="shared" si="21"/>
        <v>66.295855555005843</v>
      </c>
      <c r="F178" s="145">
        <f t="shared" si="22"/>
        <v>1.3404115894039867</v>
      </c>
      <c r="G178" s="376">
        <f t="shared" si="23"/>
        <v>16.836528226685552</v>
      </c>
      <c r="H178" s="376">
        <f t="shared" si="24"/>
        <v>6.9446627610214975</v>
      </c>
      <c r="I178" s="376">
        <f t="shared" si="25"/>
        <v>0</v>
      </c>
      <c r="J178" s="376">
        <f t="shared" si="26"/>
        <v>0</v>
      </c>
      <c r="K178" s="376">
        <f t="shared" si="27"/>
        <v>0</v>
      </c>
      <c r="L178" s="378">
        <f t="shared" si="28"/>
        <v>4.0617719214392602</v>
      </c>
      <c r="M178" s="244">
        <f>L178*D178*VPI!Q178</f>
        <v>328402.38339220709</v>
      </c>
    </row>
    <row r="179" spans="1:13" x14ac:dyDescent="0.25">
      <c r="A179" s="130">
        <f>Données!A179</f>
        <v>5708</v>
      </c>
      <c r="B179" s="27" t="str">
        <f>Données!B179</f>
        <v>Chavannes-des-Bois</v>
      </c>
      <c r="C179" s="285">
        <f>VPI!R179</f>
        <v>78320.692500000005</v>
      </c>
      <c r="D179" s="27">
        <f>Données!Z179</f>
        <v>1011</v>
      </c>
      <c r="E179" s="88">
        <f t="shared" si="21"/>
        <v>77.468538575667665</v>
      </c>
      <c r="F179" s="145">
        <f t="shared" si="22"/>
        <v>1.5663079698075344</v>
      </c>
      <c r="G179" s="376">
        <f t="shared" si="23"/>
        <v>28.009211247347373</v>
      </c>
      <c r="H179" s="376">
        <f t="shared" si="24"/>
        <v>18.117345781683319</v>
      </c>
      <c r="I179" s="376">
        <f t="shared" si="25"/>
        <v>3.2795475831872238</v>
      </c>
      <c r="J179" s="376">
        <f t="shared" si="26"/>
        <v>0</v>
      </c>
      <c r="K179" s="376">
        <f t="shared" si="27"/>
        <v>0</v>
      </c>
      <c r="L179" s="378">
        <f t="shared" si="28"/>
        <v>7.7415315859565288</v>
      </c>
      <c r="M179" s="244">
        <f>L179*D179*VPI!Q179</f>
        <v>532214.81347133941</v>
      </c>
    </row>
    <row r="180" spans="1:13" x14ac:dyDescent="0.25">
      <c r="A180" s="130">
        <f>Données!A180</f>
        <v>5709</v>
      </c>
      <c r="B180" s="27" t="str">
        <f>Données!B180</f>
        <v>Chéserex</v>
      </c>
      <c r="C180" s="285">
        <f>VPI!R180</f>
        <v>110451.70315789471</v>
      </c>
      <c r="D180" s="27">
        <f>Données!Z180</f>
        <v>1276</v>
      </c>
      <c r="E180" s="88">
        <f t="shared" si="21"/>
        <v>86.560895891767018</v>
      </c>
      <c r="F180" s="145">
        <f t="shared" si="22"/>
        <v>1.7501430077517948</v>
      </c>
      <c r="G180" s="376">
        <f t="shared" si="23"/>
        <v>37.101568563446726</v>
      </c>
      <c r="H180" s="376">
        <f t="shared" si="24"/>
        <v>27.209703097782672</v>
      </c>
      <c r="I180" s="376">
        <f t="shared" si="25"/>
        <v>12.371904899286577</v>
      </c>
      <c r="J180" s="376">
        <f t="shared" si="26"/>
        <v>0</v>
      </c>
      <c r="K180" s="376">
        <f t="shared" si="27"/>
        <v>0</v>
      </c>
      <c r="L180" s="378">
        <f t="shared" si="28"/>
        <v>11.37847451239627</v>
      </c>
      <c r="M180" s="244">
        <f>L180*D180*VPI!Q180</f>
        <v>827579.2082356055</v>
      </c>
    </row>
    <row r="181" spans="1:13" x14ac:dyDescent="0.25">
      <c r="A181" s="130">
        <f>Données!A181</f>
        <v>5710</v>
      </c>
      <c r="B181" s="27" t="str">
        <f>Données!B181</f>
        <v>Coinsins</v>
      </c>
      <c r="C181" s="285">
        <f>VPI!R181</f>
        <v>31247.070588235296</v>
      </c>
      <c r="D181" s="27">
        <f>Données!Z181</f>
        <v>519</v>
      </c>
      <c r="E181" s="88">
        <f t="shared" si="21"/>
        <v>60.206301711436026</v>
      </c>
      <c r="F181" s="145">
        <f t="shared" si="22"/>
        <v>1.2172891335900164</v>
      </c>
      <c r="G181" s="376">
        <f t="shared" si="23"/>
        <v>10.746974383115734</v>
      </c>
      <c r="H181" s="376">
        <f t="shared" si="24"/>
        <v>0.85510891745168038</v>
      </c>
      <c r="I181" s="376">
        <f t="shared" si="25"/>
        <v>0</v>
      </c>
      <c r="J181" s="376">
        <f t="shared" si="26"/>
        <v>0</v>
      </c>
      <c r="K181" s="376">
        <f t="shared" si="27"/>
        <v>0</v>
      </c>
      <c r="L181" s="378">
        <f t="shared" si="28"/>
        <v>2.2349057683683151</v>
      </c>
      <c r="M181" s="244">
        <f>L181*D181*VPI!Q181</f>
        <v>59155.720782940931</v>
      </c>
    </row>
    <row r="182" spans="1:13" x14ac:dyDescent="0.25">
      <c r="A182" s="130">
        <f>Données!A182</f>
        <v>5711</v>
      </c>
      <c r="B182" s="27" t="str">
        <f>Données!B182</f>
        <v>Commugny</v>
      </c>
      <c r="C182" s="285">
        <f>VPI!R182</f>
        <v>264202.11623481783</v>
      </c>
      <c r="D182" s="27">
        <f>Données!Z182</f>
        <v>2993</v>
      </c>
      <c r="E182" s="88">
        <f t="shared" si="21"/>
        <v>88.273343212434966</v>
      </c>
      <c r="F182" s="145">
        <f t="shared" si="22"/>
        <v>1.784766352086836</v>
      </c>
      <c r="G182" s="376">
        <f t="shared" si="23"/>
        <v>38.814015884114674</v>
      </c>
      <c r="H182" s="376">
        <f t="shared" si="24"/>
        <v>28.92215041845062</v>
      </c>
      <c r="I182" s="376">
        <f t="shared" si="25"/>
        <v>14.084352219954525</v>
      </c>
      <c r="J182" s="376">
        <f t="shared" si="26"/>
        <v>0</v>
      </c>
      <c r="K182" s="376">
        <f t="shared" si="27"/>
        <v>0</v>
      </c>
      <c r="L182" s="378">
        <f t="shared" si="28"/>
        <v>12.06345344066345</v>
      </c>
      <c r="M182" s="244">
        <f>L182*D182*VPI!Q182</f>
        <v>2058037.2204306254</v>
      </c>
    </row>
    <row r="183" spans="1:13" x14ac:dyDescent="0.25">
      <c r="A183" s="130">
        <f>Données!A183</f>
        <v>5712</v>
      </c>
      <c r="B183" s="27" t="str">
        <f>Données!B183</f>
        <v>Coppet</v>
      </c>
      <c r="C183" s="285">
        <f>VPI!R183</f>
        <v>381890.66242424241</v>
      </c>
      <c r="D183" s="27">
        <f>Données!Z183</f>
        <v>3183</v>
      </c>
      <c r="E183" s="88">
        <f t="shared" si="21"/>
        <v>119.9782162815716</v>
      </c>
      <c r="F183" s="145">
        <f t="shared" si="22"/>
        <v>2.4257955528819406</v>
      </c>
      <c r="G183" s="376">
        <f t="shared" si="23"/>
        <v>70.51888895325132</v>
      </c>
      <c r="H183" s="376">
        <f t="shared" si="24"/>
        <v>60.627023487587259</v>
      </c>
      <c r="I183" s="376">
        <f t="shared" si="25"/>
        <v>45.789225289091164</v>
      </c>
      <c r="J183" s="376">
        <f t="shared" si="26"/>
        <v>21.059561624931021</v>
      </c>
      <c r="K183" s="376">
        <f t="shared" si="27"/>
        <v>0</v>
      </c>
      <c r="L183" s="378">
        <f t="shared" si="28"/>
        <v>26.851358830811208</v>
      </c>
      <c r="M183" s="244">
        <f>L183*D183*VPI!Q183</f>
        <v>4700733.1337159639</v>
      </c>
    </row>
    <row r="184" spans="1:13" x14ac:dyDescent="0.25">
      <c r="A184" s="130">
        <f>Données!A184</f>
        <v>5713</v>
      </c>
      <c r="B184" s="27" t="str">
        <f>Données!B184</f>
        <v>Crans</v>
      </c>
      <c r="C184" s="285">
        <f>VPI!R184</f>
        <v>303238.4722033898</v>
      </c>
      <c r="D184" s="27">
        <f>Données!Z184</f>
        <v>2424</v>
      </c>
      <c r="E184" s="88">
        <f t="shared" si="21"/>
        <v>125.09837962186047</v>
      </c>
      <c r="F184" s="145">
        <f t="shared" si="22"/>
        <v>2.5293182576348836</v>
      </c>
      <c r="G184" s="376">
        <f t="shared" si="23"/>
        <v>75.639052293540175</v>
      </c>
      <c r="H184" s="376">
        <f t="shared" si="24"/>
        <v>65.747186827876135</v>
      </c>
      <c r="I184" s="376">
        <f t="shared" si="25"/>
        <v>50.909388629380032</v>
      </c>
      <c r="J184" s="376">
        <f t="shared" si="26"/>
        <v>26.17972496521989</v>
      </c>
      <c r="K184" s="376">
        <f t="shared" si="27"/>
        <v>0</v>
      </c>
      <c r="L184" s="378">
        <f t="shared" si="28"/>
        <v>29.411440500955642</v>
      </c>
      <c r="M184" s="244">
        <f>L184*D184*VPI!Q184</f>
        <v>4206306.5746846721</v>
      </c>
    </row>
    <row r="185" spans="1:13" x14ac:dyDescent="0.25">
      <c r="A185" s="130">
        <f>Données!A185</f>
        <v>5714</v>
      </c>
      <c r="B185" s="27" t="str">
        <f>Données!B185</f>
        <v>Crassier</v>
      </c>
      <c r="C185" s="285">
        <f>VPI!R185</f>
        <v>66120.939097744369</v>
      </c>
      <c r="D185" s="27">
        <f>Données!Z185</f>
        <v>1273</v>
      </c>
      <c r="E185" s="88">
        <f t="shared" si="21"/>
        <v>51.941036211896595</v>
      </c>
      <c r="F185" s="145">
        <f t="shared" si="22"/>
        <v>1.0501767617481381</v>
      </c>
      <c r="G185" s="376">
        <f t="shared" si="23"/>
        <v>2.481708883576303</v>
      </c>
      <c r="H185" s="376">
        <f t="shared" si="24"/>
        <v>0</v>
      </c>
      <c r="I185" s="376">
        <f t="shared" si="25"/>
        <v>0</v>
      </c>
      <c r="J185" s="376">
        <f t="shared" si="26"/>
        <v>0</v>
      </c>
      <c r="K185" s="376">
        <f t="shared" si="27"/>
        <v>0</v>
      </c>
      <c r="L185" s="378">
        <f t="shared" si="28"/>
        <v>0.49634177671526064</v>
      </c>
      <c r="M185" s="244">
        <f>L185*D185*VPI!Q185</f>
        <v>42017.564936942028</v>
      </c>
    </row>
    <row r="186" spans="1:13" x14ac:dyDescent="0.25">
      <c r="A186" s="130">
        <f>Données!A186</f>
        <v>5715</v>
      </c>
      <c r="B186" s="27" t="str">
        <f>Données!B186</f>
        <v>Duillier</v>
      </c>
      <c r="C186" s="285">
        <f>VPI!R186</f>
        <v>62085.974545454548</v>
      </c>
      <c r="D186" s="27">
        <f>Données!Z186</f>
        <v>1115</v>
      </c>
      <c r="E186" s="88">
        <f t="shared" si="21"/>
        <v>55.682488381573584</v>
      </c>
      <c r="F186" s="145">
        <f t="shared" si="22"/>
        <v>1.1258238109860004</v>
      </c>
      <c r="G186" s="376">
        <f t="shared" si="23"/>
        <v>6.2231610532532926</v>
      </c>
      <c r="H186" s="376">
        <f t="shared" si="24"/>
        <v>0</v>
      </c>
      <c r="I186" s="376">
        <f t="shared" si="25"/>
        <v>0</v>
      </c>
      <c r="J186" s="376">
        <f t="shared" si="26"/>
        <v>0</v>
      </c>
      <c r="K186" s="376">
        <f t="shared" si="27"/>
        <v>0</v>
      </c>
      <c r="L186" s="378">
        <f t="shared" si="28"/>
        <v>1.2446322106506587</v>
      </c>
      <c r="M186" s="244">
        <f>L186*D186*VPI!Q186</f>
        <v>91592.484381781978</v>
      </c>
    </row>
    <row r="187" spans="1:13" x14ac:dyDescent="0.25">
      <c r="A187" s="130">
        <f>Données!A187</f>
        <v>5716</v>
      </c>
      <c r="B187" s="27" t="str">
        <f>Données!B187</f>
        <v>Eysins</v>
      </c>
      <c r="C187" s="285">
        <f>VPI!R187</f>
        <v>264344.77579831937</v>
      </c>
      <c r="D187" s="27">
        <f>Données!Z187</f>
        <v>1739</v>
      </c>
      <c r="E187" s="88">
        <f t="shared" si="21"/>
        <v>152.00964680754421</v>
      </c>
      <c r="F187" s="145">
        <f t="shared" si="22"/>
        <v>3.0734272991315805</v>
      </c>
      <c r="G187" s="376">
        <f t="shared" si="23"/>
        <v>102.55031947922393</v>
      </c>
      <c r="H187" s="376">
        <f t="shared" si="24"/>
        <v>92.658454013559862</v>
      </c>
      <c r="I187" s="376">
        <f t="shared" si="25"/>
        <v>77.820655815063773</v>
      </c>
      <c r="J187" s="376">
        <f t="shared" si="26"/>
        <v>53.090992150903631</v>
      </c>
      <c r="K187" s="376">
        <f t="shared" si="27"/>
        <v>3.6316648225833319</v>
      </c>
      <c r="L187" s="378">
        <f t="shared" si="28"/>
        <v>43.230240576055849</v>
      </c>
      <c r="M187" s="244">
        <f>L187*D187*VPI!Q187</f>
        <v>4473054.6075247861</v>
      </c>
    </row>
    <row r="188" spans="1:13" x14ac:dyDescent="0.25">
      <c r="A188" s="130">
        <f>Données!A188</f>
        <v>5717</v>
      </c>
      <c r="B188" s="27" t="str">
        <f>Données!B188</f>
        <v>Founex</v>
      </c>
      <c r="C188" s="285">
        <f>VPI!R188</f>
        <v>391171.86561403517</v>
      </c>
      <c r="D188" s="27">
        <f>Données!Z188</f>
        <v>3792</v>
      </c>
      <c r="E188" s="88">
        <f t="shared" si="21"/>
        <v>103.15713755644387</v>
      </c>
      <c r="F188" s="145">
        <f t="shared" si="22"/>
        <v>2.0856963312838332</v>
      </c>
      <c r="G188" s="376">
        <f t="shared" si="23"/>
        <v>53.697810228123579</v>
      </c>
      <c r="H188" s="376">
        <f t="shared" si="24"/>
        <v>43.805944762459525</v>
      </c>
      <c r="I188" s="376">
        <f t="shared" si="25"/>
        <v>28.96814656396343</v>
      </c>
      <c r="J188" s="376">
        <f t="shared" si="26"/>
        <v>4.2384828998032873</v>
      </c>
      <c r="K188" s="376">
        <f t="shared" si="27"/>
        <v>0</v>
      </c>
      <c r="L188" s="378">
        <f t="shared" si="28"/>
        <v>18.440819468247341</v>
      </c>
      <c r="M188" s="244">
        <f>L188*D188*VPI!Q188</f>
        <v>3985872.4831448528</v>
      </c>
    </row>
    <row r="189" spans="1:13" x14ac:dyDescent="0.25">
      <c r="A189" s="130">
        <f>Données!A189</f>
        <v>5718</v>
      </c>
      <c r="B189" s="27" t="str">
        <f>Données!B189</f>
        <v>Genolier</v>
      </c>
      <c r="C189" s="285">
        <f>VPI!R189</f>
        <v>199612.23730769227</v>
      </c>
      <c r="D189" s="27">
        <f>Données!Z189</f>
        <v>2038</v>
      </c>
      <c r="E189" s="88">
        <f t="shared" si="21"/>
        <v>97.94516060240052</v>
      </c>
      <c r="F189" s="145">
        <f t="shared" si="22"/>
        <v>1.980317280747111</v>
      </c>
      <c r="G189" s="376">
        <f t="shared" si="23"/>
        <v>48.485833274080228</v>
      </c>
      <c r="H189" s="376">
        <f t="shared" si="24"/>
        <v>38.593967808416174</v>
      </c>
      <c r="I189" s="376">
        <f t="shared" si="25"/>
        <v>23.756169609920079</v>
      </c>
      <c r="J189" s="376">
        <f t="shared" si="26"/>
        <v>0</v>
      </c>
      <c r="K189" s="376">
        <f t="shared" si="27"/>
        <v>0</v>
      </c>
      <c r="L189" s="378">
        <f t="shared" si="28"/>
        <v>15.932180396649672</v>
      </c>
      <c r="M189" s="244">
        <f>L189*D189*VPI!Q189</f>
        <v>1688428.7497153457</v>
      </c>
    </row>
    <row r="190" spans="1:13" x14ac:dyDescent="0.25">
      <c r="A190" s="130">
        <f>Données!A190</f>
        <v>5719</v>
      </c>
      <c r="B190" s="27" t="str">
        <f>Données!B190</f>
        <v>Gingins</v>
      </c>
      <c r="C190" s="285">
        <f>VPI!R190</f>
        <v>144024.32127777775</v>
      </c>
      <c r="D190" s="27">
        <f>Données!Z190</f>
        <v>1262</v>
      </c>
      <c r="E190" s="88">
        <f t="shared" si="21"/>
        <v>114.12386789047365</v>
      </c>
      <c r="F190" s="145">
        <f t="shared" si="22"/>
        <v>2.3074286298496944</v>
      </c>
      <c r="G190" s="376">
        <f t="shared" si="23"/>
        <v>64.664540562153348</v>
      </c>
      <c r="H190" s="376">
        <f t="shared" si="24"/>
        <v>54.772675096489301</v>
      </c>
      <c r="I190" s="376">
        <f t="shared" si="25"/>
        <v>39.934876897993206</v>
      </c>
      <c r="J190" s="376">
        <f t="shared" si="26"/>
        <v>15.205213233833064</v>
      </c>
      <c r="K190" s="376">
        <f t="shared" si="27"/>
        <v>0</v>
      </c>
      <c r="L190" s="378">
        <f t="shared" si="28"/>
        <v>23.924184635262229</v>
      </c>
      <c r="M190" s="244">
        <f>L190*D190*VPI!Q190</f>
        <v>1811539.2605820559</v>
      </c>
    </row>
    <row r="191" spans="1:13" x14ac:dyDescent="0.25">
      <c r="A191" s="130">
        <f>Données!A191</f>
        <v>5720</v>
      </c>
      <c r="B191" s="27" t="str">
        <f>Données!B191</f>
        <v>Givrins</v>
      </c>
      <c r="C191" s="285">
        <f>VPI!R191</f>
        <v>79448.9027363184</v>
      </c>
      <c r="D191" s="27">
        <f>Données!Z191</f>
        <v>1019</v>
      </c>
      <c r="E191" s="88">
        <f t="shared" si="21"/>
        <v>77.967519858997449</v>
      </c>
      <c r="F191" s="145">
        <f t="shared" si="22"/>
        <v>1.5763966893733599</v>
      </c>
      <c r="G191" s="376">
        <f t="shared" si="23"/>
        <v>28.508192530677157</v>
      </c>
      <c r="H191" s="376">
        <f t="shared" si="24"/>
        <v>18.616327065013103</v>
      </c>
      <c r="I191" s="376">
        <f t="shared" si="25"/>
        <v>3.7785288665170071</v>
      </c>
      <c r="J191" s="376">
        <f t="shared" si="26"/>
        <v>0</v>
      </c>
      <c r="K191" s="376">
        <f t="shared" si="27"/>
        <v>0</v>
      </c>
      <c r="L191" s="378">
        <f t="shared" si="28"/>
        <v>7.9411240992884427</v>
      </c>
      <c r="M191" s="244">
        <f>L191*D191*VPI!Q191</f>
        <v>542164.36563071981</v>
      </c>
    </row>
    <row r="192" spans="1:13" x14ac:dyDescent="0.25">
      <c r="A192" s="130">
        <f>Données!A192</f>
        <v>5721</v>
      </c>
      <c r="B192" s="27" t="str">
        <f>Données!B192</f>
        <v>Gland</v>
      </c>
      <c r="C192" s="285">
        <f>VPI!R192</f>
        <v>729933.83950819669</v>
      </c>
      <c r="D192" s="27">
        <f>Données!Z192</f>
        <v>13976</v>
      </c>
      <c r="E192" s="88">
        <f t="shared" si="21"/>
        <v>52.227664532641434</v>
      </c>
      <c r="F192" s="145">
        <f t="shared" si="22"/>
        <v>1.0559719946440922</v>
      </c>
      <c r="G192" s="376">
        <f t="shared" si="23"/>
        <v>2.7683372043211421</v>
      </c>
      <c r="H192" s="376">
        <f t="shared" si="24"/>
        <v>0</v>
      </c>
      <c r="I192" s="376">
        <f t="shared" si="25"/>
        <v>0</v>
      </c>
      <c r="J192" s="376">
        <f t="shared" si="26"/>
        <v>0</v>
      </c>
      <c r="K192" s="376">
        <f t="shared" si="27"/>
        <v>0</v>
      </c>
      <c r="L192" s="378">
        <f t="shared" si="28"/>
        <v>0.55366744086422848</v>
      </c>
      <c r="M192" s="244">
        <f>L192*D192*VPI!Q192</f>
        <v>472021.42536462587</v>
      </c>
    </row>
    <row r="193" spans="1:13" x14ac:dyDescent="0.25">
      <c r="A193" s="130">
        <f>Données!A193</f>
        <v>5722</v>
      </c>
      <c r="B193" s="27" t="str">
        <f>Données!B193</f>
        <v>Grens</v>
      </c>
      <c r="C193" s="285">
        <f>VPI!R193</f>
        <v>21839.736451612909</v>
      </c>
      <c r="D193" s="27">
        <f>Données!Z193</f>
        <v>392</v>
      </c>
      <c r="E193" s="88">
        <f t="shared" si="21"/>
        <v>55.713613396971709</v>
      </c>
      <c r="F193" s="145">
        <f t="shared" si="22"/>
        <v>1.1264531162572085</v>
      </c>
      <c r="G193" s="376">
        <f t="shared" si="23"/>
        <v>6.2542860686514175</v>
      </c>
      <c r="H193" s="376">
        <f t="shared" si="24"/>
        <v>0</v>
      </c>
      <c r="I193" s="376">
        <f t="shared" si="25"/>
        <v>0</v>
      </c>
      <c r="J193" s="376">
        <f t="shared" si="26"/>
        <v>0</v>
      </c>
      <c r="K193" s="376">
        <f t="shared" si="27"/>
        <v>0</v>
      </c>
      <c r="L193" s="378">
        <f t="shared" si="28"/>
        <v>1.2508572137302836</v>
      </c>
      <c r="M193" s="244">
        <f>L193*D193*VPI!Q193</f>
        <v>30400.833722500814</v>
      </c>
    </row>
    <row r="194" spans="1:13" x14ac:dyDescent="0.25">
      <c r="A194" s="130">
        <f>Données!A194</f>
        <v>5723</v>
      </c>
      <c r="B194" s="27" t="str">
        <f>Données!B194</f>
        <v>Mies</v>
      </c>
      <c r="C194" s="285">
        <f>VPI!R194</f>
        <v>253199.57134615383</v>
      </c>
      <c r="D194" s="27">
        <f>Données!Z194</f>
        <v>2171</v>
      </c>
      <c r="E194" s="88">
        <f t="shared" si="21"/>
        <v>116.62808445239698</v>
      </c>
      <c r="F194" s="145">
        <f t="shared" si="22"/>
        <v>2.3580604660916205</v>
      </c>
      <c r="G194" s="376">
        <f t="shared" si="23"/>
        <v>67.168757124076677</v>
      </c>
      <c r="H194" s="376">
        <f t="shared" si="24"/>
        <v>57.27689165841263</v>
      </c>
      <c r="I194" s="376">
        <f t="shared" si="25"/>
        <v>42.439093459916535</v>
      </c>
      <c r="J194" s="376">
        <f t="shared" si="26"/>
        <v>17.709429795756392</v>
      </c>
      <c r="K194" s="376">
        <f t="shared" si="27"/>
        <v>0</v>
      </c>
      <c r="L194" s="378">
        <f t="shared" si="28"/>
        <v>25.176292916223893</v>
      </c>
      <c r="M194" s="244">
        <f>L194*D194*VPI!Q194</f>
        <v>2842202.0598983481</v>
      </c>
    </row>
    <row r="195" spans="1:13" x14ac:dyDescent="0.25">
      <c r="A195" s="130">
        <f>Données!A195</f>
        <v>5724</v>
      </c>
      <c r="B195" s="27" t="str">
        <f>Données!B195</f>
        <v>Nyon</v>
      </c>
      <c r="C195" s="285">
        <f>VPI!R195</f>
        <v>1663090.0153005463</v>
      </c>
      <c r="D195" s="27">
        <f>Données!Z195</f>
        <v>22978</v>
      </c>
      <c r="E195" s="88">
        <f t="shared" si="21"/>
        <v>72.377492179499797</v>
      </c>
      <c r="F195" s="145">
        <f t="shared" si="22"/>
        <v>1.4633739698691093</v>
      </c>
      <c r="G195" s="376">
        <f t="shared" si="23"/>
        <v>22.918164851179505</v>
      </c>
      <c r="H195" s="376">
        <f t="shared" si="24"/>
        <v>13.026299385515451</v>
      </c>
      <c r="I195" s="376">
        <f t="shared" si="25"/>
        <v>0</v>
      </c>
      <c r="J195" s="376">
        <f t="shared" si="26"/>
        <v>0</v>
      </c>
      <c r="K195" s="376">
        <f t="shared" si="27"/>
        <v>0</v>
      </c>
      <c r="L195" s="378">
        <f t="shared" si="28"/>
        <v>5.8862629087874456</v>
      </c>
      <c r="M195" s="244">
        <f>L195*D195*VPI!Q195</f>
        <v>8250527.496205193</v>
      </c>
    </row>
    <row r="196" spans="1:13" x14ac:dyDescent="0.25">
      <c r="A196" s="130">
        <f>Données!A196</f>
        <v>5725</v>
      </c>
      <c r="B196" s="27" t="str">
        <f>Données!B196</f>
        <v>Prangins</v>
      </c>
      <c r="C196" s="285">
        <f>VPI!R196</f>
        <v>341674.87389610388</v>
      </c>
      <c r="D196" s="27">
        <f>Données!Z196</f>
        <v>4284</v>
      </c>
      <c r="E196" s="88">
        <f t="shared" si="21"/>
        <v>79.756039658287548</v>
      </c>
      <c r="F196" s="145">
        <f t="shared" si="22"/>
        <v>1.6125581152540147</v>
      </c>
      <c r="G196" s="376">
        <f t="shared" si="23"/>
        <v>30.296712329967256</v>
      </c>
      <c r="H196" s="376">
        <f t="shared" si="24"/>
        <v>20.404846864303202</v>
      </c>
      <c r="I196" s="376">
        <f t="shared" si="25"/>
        <v>5.567048665807107</v>
      </c>
      <c r="J196" s="376">
        <f t="shared" si="26"/>
        <v>0</v>
      </c>
      <c r="K196" s="376">
        <f t="shared" si="27"/>
        <v>0</v>
      </c>
      <c r="L196" s="378">
        <f t="shared" si="28"/>
        <v>8.6565320190044819</v>
      </c>
      <c r="M196" s="244">
        <f>L196*D196*VPI!Q196</f>
        <v>2039652.074317836</v>
      </c>
    </row>
    <row r="197" spans="1:13" x14ac:dyDescent="0.25">
      <c r="A197" s="130">
        <f>Données!A197</f>
        <v>5726</v>
      </c>
      <c r="B197" s="27" t="str">
        <f>Données!B197</f>
        <v>La Rippe</v>
      </c>
      <c r="C197" s="285">
        <f>VPI!R197</f>
        <v>71131.071496062999</v>
      </c>
      <c r="D197" s="27">
        <f>Données!Z197</f>
        <v>1206</v>
      </c>
      <c r="E197" s="88">
        <f t="shared" si="21"/>
        <v>58.980987973518239</v>
      </c>
      <c r="F197" s="145">
        <f t="shared" si="22"/>
        <v>1.1925149645079356</v>
      </c>
      <c r="G197" s="376">
        <f t="shared" si="23"/>
        <v>9.5216606451979473</v>
      </c>
      <c r="H197" s="376">
        <f t="shared" si="24"/>
        <v>0</v>
      </c>
      <c r="I197" s="376">
        <f t="shared" si="25"/>
        <v>0</v>
      </c>
      <c r="J197" s="376">
        <f t="shared" si="26"/>
        <v>0</v>
      </c>
      <c r="K197" s="376">
        <f t="shared" si="27"/>
        <v>0</v>
      </c>
      <c r="L197" s="378">
        <f t="shared" si="28"/>
        <v>1.9043321290395896</v>
      </c>
      <c r="M197" s="244">
        <f>L197*D197*VPI!Q197</f>
        <v>145835.6587739808</v>
      </c>
    </row>
    <row r="198" spans="1:13" x14ac:dyDescent="0.25">
      <c r="A198" s="130">
        <f>Données!A198</f>
        <v>5727</v>
      </c>
      <c r="B198" s="27" t="str">
        <f>Données!B198</f>
        <v>Saint-Cergue</v>
      </c>
      <c r="C198" s="285">
        <f>VPI!R198</f>
        <v>108766.91914141414</v>
      </c>
      <c r="D198" s="27">
        <f>Données!Z198</f>
        <v>2916</v>
      </c>
      <c r="E198" s="88">
        <f t="shared" si="21"/>
        <v>37.300040857823781</v>
      </c>
      <c r="F198" s="145">
        <f t="shared" si="22"/>
        <v>0.7541558462819179</v>
      </c>
      <c r="G198" s="376">
        <f t="shared" si="23"/>
        <v>0</v>
      </c>
      <c r="H198" s="376">
        <f t="shared" si="24"/>
        <v>0</v>
      </c>
      <c r="I198" s="376">
        <f t="shared" si="25"/>
        <v>0</v>
      </c>
      <c r="J198" s="376">
        <f t="shared" si="26"/>
        <v>0</v>
      </c>
      <c r="K198" s="376">
        <f t="shared" si="27"/>
        <v>0</v>
      </c>
      <c r="L198" s="378">
        <f t="shared" si="28"/>
        <v>0</v>
      </c>
      <c r="M198" s="244">
        <f>L198*D198*VPI!Q198</f>
        <v>0</v>
      </c>
    </row>
    <row r="199" spans="1:13" x14ac:dyDescent="0.25">
      <c r="A199" s="130">
        <f>Données!A199</f>
        <v>5728</v>
      </c>
      <c r="B199" s="27" t="str">
        <f>Données!B199</f>
        <v>Signy-Avenex</v>
      </c>
      <c r="C199" s="285">
        <f>VPI!R199</f>
        <v>54935.229999999996</v>
      </c>
      <c r="D199" s="27">
        <f>Données!Z199</f>
        <v>606</v>
      </c>
      <c r="E199" s="88">
        <f t="shared" ref="E199:E262" si="29">C199/D199</f>
        <v>90.652194719471936</v>
      </c>
      <c r="F199" s="145">
        <f t="shared" ref="F199:F262" si="30">E199/$E$306</f>
        <v>1.8328634782617577</v>
      </c>
      <c r="G199" s="376">
        <f t="shared" ref="G199:G262" si="31">IF(E199-$G$3&lt;0,0,E199-$G$3)</f>
        <v>41.192867391151644</v>
      </c>
      <c r="H199" s="376">
        <f t="shared" ref="H199:H262" si="32">IF(E199-$H$3&lt;0,0,E199-$H$3)</f>
        <v>31.30100192548759</v>
      </c>
      <c r="I199" s="376">
        <f t="shared" ref="I199:I262" si="33">IF(E199-$I$3&lt;0,0,E199-$I$3)</f>
        <v>16.463203726991495</v>
      </c>
      <c r="J199" s="376">
        <f t="shared" ref="J199:J262" si="34">IF(E199-$J$3&lt;0,0,E199-$J$3)</f>
        <v>0</v>
      </c>
      <c r="K199" s="376">
        <f t="shared" ref="K199:K262" si="35">IF(E199-$K$3&lt;0,0,E199-$K$3)</f>
        <v>0</v>
      </c>
      <c r="L199" s="378">
        <f t="shared" ref="L199:L262" si="36">(G199-H199)*$G$4+(H199-I199)*$H$4+(I199-J199)*$I$4+(J199-K199)*$J$4+(K199*$K$4)</f>
        <v>13.014994043478238</v>
      </c>
      <c r="M199" s="244">
        <f>L199*D199*VPI!Q199</f>
        <v>457451.0106401731</v>
      </c>
    </row>
    <row r="200" spans="1:13" x14ac:dyDescent="0.25">
      <c r="A200" s="130">
        <f>Données!A200</f>
        <v>5729</v>
      </c>
      <c r="B200" s="27" t="str">
        <f>Données!B200</f>
        <v>Tannay</v>
      </c>
      <c r="C200" s="285">
        <f>VPI!R200</f>
        <v>200776.3305785124</v>
      </c>
      <c r="D200" s="27">
        <f>Données!Z200</f>
        <v>1715</v>
      </c>
      <c r="E200" s="88">
        <f t="shared" si="29"/>
        <v>117.07074669301015</v>
      </c>
      <c r="F200" s="145">
        <f t="shared" si="30"/>
        <v>2.3670104915878167</v>
      </c>
      <c r="G200" s="376">
        <f t="shared" si="31"/>
        <v>67.611419364689851</v>
      </c>
      <c r="H200" s="376">
        <f t="shared" si="32"/>
        <v>57.719553899025804</v>
      </c>
      <c r="I200" s="376">
        <f t="shared" si="33"/>
        <v>42.881755700529709</v>
      </c>
      <c r="J200" s="376">
        <f t="shared" si="34"/>
        <v>18.152092036369567</v>
      </c>
      <c r="K200" s="376">
        <f t="shared" si="35"/>
        <v>0</v>
      </c>
      <c r="L200" s="378">
        <f t="shared" si="36"/>
        <v>25.39762403653048</v>
      </c>
      <c r="M200" s="244">
        <f>L200*D200*VPI!Q200</f>
        <v>2635193.9759703116</v>
      </c>
    </row>
    <row r="201" spans="1:13" x14ac:dyDescent="0.25">
      <c r="A201" s="130">
        <f>Données!A201</f>
        <v>5730</v>
      </c>
      <c r="B201" s="27" t="str">
        <f>Données!B201</f>
        <v>Trélex</v>
      </c>
      <c r="C201" s="285">
        <f>VPI!R201</f>
        <v>146462.65611611609</v>
      </c>
      <c r="D201" s="27">
        <f>Données!Z201</f>
        <v>1447</v>
      </c>
      <c r="E201" s="88">
        <f t="shared" si="29"/>
        <v>101.21814520809681</v>
      </c>
      <c r="F201" s="145">
        <f t="shared" si="30"/>
        <v>2.046492556119734</v>
      </c>
      <c r="G201" s="376">
        <f t="shared" si="31"/>
        <v>51.758817879776522</v>
      </c>
      <c r="H201" s="376">
        <f t="shared" si="32"/>
        <v>41.866952414112468</v>
      </c>
      <c r="I201" s="376">
        <f t="shared" si="33"/>
        <v>27.029154215616373</v>
      </c>
      <c r="J201" s="376">
        <f t="shared" si="34"/>
        <v>2.2994905514562305</v>
      </c>
      <c r="K201" s="376">
        <f t="shared" si="35"/>
        <v>0</v>
      </c>
      <c r="L201" s="378">
        <f t="shared" si="36"/>
        <v>17.471323294073812</v>
      </c>
      <c r="M201" s="244">
        <f>L201*D201*VPI!Q201</f>
        <v>1403095.7667621267</v>
      </c>
    </row>
    <row r="202" spans="1:13" x14ac:dyDescent="0.25">
      <c r="A202" s="130">
        <f>Données!A202</f>
        <v>5731</v>
      </c>
      <c r="B202" s="27" t="str">
        <f>Données!B202</f>
        <v>Le Vaud</v>
      </c>
      <c r="C202" s="285">
        <f>VPI!R202</f>
        <v>70899.219223744294</v>
      </c>
      <c r="D202" s="27">
        <f>Données!Z202</f>
        <v>1413</v>
      </c>
      <c r="E202" s="88">
        <f t="shared" si="29"/>
        <v>50.176375954525334</v>
      </c>
      <c r="F202" s="145">
        <f t="shared" si="30"/>
        <v>1.0144977431950326</v>
      </c>
      <c r="G202" s="376">
        <f t="shared" si="31"/>
        <v>0.71704862620504173</v>
      </c>
      <c r="H202" s="376">
        <f t="shared" si="32"/>
        <v>0</v>
      </c>
      <c r="I202" s="376">
        <f t="shared" si="33"/>
        <v>0</v>
      </c>
      <c r="J202" s="376">
        <f t="shared" si="34"/>
        <v>0</v>
      </c>
      <c r="K202" s="376">
        <f t="shared" si="35"/>
        <v>0</v>
      </c>
      <c r="L202" s="378">
        <f t="shared" si="36"/>
        <v>0.14340972524100834</v>
      </c>
      <c r="M202" s="244">
        <f>L202*D202*VPI!Q202</f>
        <v>14792.569748884769</v>
      </c>
    </row>
    <row r="203" spans="1:13" x14ac:dyDescent="0.25">
      <c r="A203" s="130">
        <f>Données!A203</f>
        <v>5732</v>
      </c>
      <c r="B203" s="27" t="str">
        <f>Données!B203</f>
        <v>Vich</v>
      </c>
      <c r="C203" s="285">
        <f>VPI!R203</f>
        <v>83913.803650793649</v>
      </c>
      <c r="D203" s="27">
        <f>Données!Z203</f>
        <v>1174</v>
      </c>
      <c r="E203" s="88">
        <f t="shared" si="29"/>
        <v>71.476834455531218</v>
      </c>
      <c r="F203" s="145">
        <f t="shared" si="30"/>
        <v>1.4451639016651923</v>
      </c>
      <c r="G203" s="376">
        <f t="shared" si="31"/>
        <v>22.017507127210926</v>
      </c>
      <c r="H203" s="376">
        <f t="shared" si="32"/>
        <v>12.125641661546872</v>
      </c>
      <c r="I203" s="376">
        <f t="shared" si="33"/>
        <v>0</v>
      </c>
      <c r="J203" s="376">
        <f t="shared" si="34"/>
        <v>0</v>
      </c>
      <c r="K203" s="376">
        <f t="shared" si="35"/>
        <v>0</v>
      </c>
      <c r="L203" s="378">
        <f t="shared" si="36"/>
        <v>5.6160655915968727</v>
      </c>
      <c r="M203" s="244">
        <f>L203*D203*VPI!Q203</f>
        <v>415375.44328568788</v>
      </c>
    </row>
    <row r="204" spans="1:13" x14ac:dyDescent="0.25">
      <c r="A204" s="130">
        <f>Données!A204</f>
        <v>5741</v>
      </c>
      <c r="B204" s="27" t="str">
        <f>Données!B204</f>
        <v>L'Abergement</v>
      </c>
      <c r="C204" s="285">
        <f>VPI!R204</f>
        <v>8275.7188124999993</v>
      </c>
      <c r="D204" s="27">
        <f>Données!Z204</f>
        <v>268</v>
      </c>
      <c r="E204" s="88">
        <f t="shared" si="29"/>
        <v>30.87954780783582</v>
      </c>
      <c r="F204" s="145">
        <f t="shared" si="30"/>
        <v>0.62434225202562077</v>
      </c>
      <c r="G204" s="376">
        <f t="shared" si="31"/>
        <v>0</v>
      </c>
      <c r="H204" s="376">
        <f t="shared" si="32"/>
        <v>0</v>
      </c>
      <c r="I204" s="376">
        <f t="shared" si="33"/>
        <v>0</v>
      </c>
      <c r="J204" s="376">
        <f t="shared" si="34"/>
        <v>0</v>
      </c>
      <c r="K204" s="376">
        <f t="shared" si="35"/>
        <v>0</v>
      </c>
      <c r="L204" s="378">
        <f t="shared" si="36"/>
        <v>0</v>
      </c>
      <c r="M204" s="244">
        <f>L204*D204*VPI!Q204</f>
        <v>0</v>
      </c>
    </row>
    <row r="205" spans="1:13" x14ac:dyDescent="0.25">
      <c r="A205" s="130">
        <f>Données!A205</f>
        <v>5742</v>
      </c>
      <c r="B205" s="27" t="str">
        <f>Données!B205</f>
        <v>Agiez</v>
      </c>
      <c r="C205" s="285">
        <f>VPI!R205</f>
        <v>9208.6422368421081</v>
      </c>
      <c r="D205" s="27">
        <f>Données!Z205</f>
        <v>383</v>
      </c>
      <c r="E205" s="88">
        <f t="shared" si="29"/>
        <v>24.043452315514642</v>
      </c>
      <c r="F205" s="145">
        <f t="shared" si="30"/>
        <v>0.4861257444103454</v>
      </c>
      <c r="G205" s="376">
        <f t="shared" si="31"/>
        <v>0</v>
      </c>
      <c r="H205" s="376">
        <f t="shared" si="32"/>
        <v>0</v>
      </c>
      <c r="I205" s="376">
        <f t="shared" si="33"/>
        <v>0</v>
      </c>
      <c r="J205" s="376">
        <f t="shared" si="34"/>
        <v>0</v>
      </c>
      <c r="K205" s="376">
        <f t="shared" si="35"/>
        <v>0</v>
      </c>
      <c r="L205" s="378">
        <f t="shared" si="36"/>
        <v>0</v>
      </c>
      <c r="M205" s="244">
        <f>L205*D205*VPI!Q205</f>
        <v>0</v>
      </c>
    </row>
    <row r="206" spans="1:13" x14ac:dyDescent="0.25">
      <c r="A206" s="130">
        <f>Données!A206</f>
        <v>5743</v>
      </c>
      <c r="B206" s="27" t="str">
        <f>Données!B206</f>
        <v>Arnex-sur-Orbe</v>
      </c>
      <c r="C206" s="285">
        <f>VPI!R206</f>
        <v>19122.067147887326</v>
      </c>
      <c r="D206" s="27">
        <f>Données!Z206</f>
        <v>661</v>
      </c>
      <c r="E206" s="88">
        <f t="shared" si="29"/>
        <v>28.928997198014109</v>
      </c>
      <c r="F206" s="145">
        <f t="shared" si="30"/>
        <v>0.58490478461176798</v>
      </c>
      <c r="G206" s="376">
        <f t="shared" si="31"/>
        <v>0</v>
      </c>
      <c r="H206" s="376">
        <f t="shared" si="32"/>
        <v>0</v>
      </c>
      <c r="I206" s="376">
        <f t="shared" si="33"/>
        <v>0</v>
      </c>
      <c r="J206" s="376">
        <f t="shared" si="34"/>
        <v>0</v>
      </c>
      <c r="K206" s="376">
        <f t="shared" si="35"/>
        <v>0</v>
      </c>
      <c r="L206" s="378">
        <f t="shared" si="36"/>
        <v>0</v>
      </c>
      <c r="M206" s="244">
        <f>L206*D206*VPI!Q206</f>
        <v>0</v>
      </c>
    </row>
    <row r="207" spans="1:13" x14ac:dyDescent="0.25">
      <c r="A207" s="130">
        <f>Données!A207</f>
        <v>5744</v>
      </c>
      <c r="B207" s="27" t="str">
        <f>Données!B207</f>
        <v>Ballaigues</v>
      </c>
      <c r="C207" s="285">
        <f>VPI!R207</f>
        <v>60998.783230769215</v>
      </c>
      <c r="D207" s="27">
        <f>Données!Z207</f>
        <v>1193</v>
      </c>
      <c r="E207" s="88">
        <f t="shared" si="29"/>
        <v>51.1305810819524</v>
      </c>
      <c r="F207" s="145">
        <f t="shared" si="30"/>
        <v>1.0337904667109201</v>
      </c>
      <c r="G207" s="376">
        <f t="shared" si="31"/>
        <v>1.6712537536321079</v>
      </c>
      <c r="H207" s="376">
        <f t="shared" si="32"/>
        <v>0</v>
      </c>
      <c r="I207" s="376">
        <f t="shared" si="33"/>
        <v>0</v>
      </c>
      <c r="J207" s="376">
        <f t="shared" si="34"/>
        <v>0</v>
      </c>
      <c r="K207" s="376">
        <f t="shared" si="35"/>
        <v>0</v>
      </c>
      <c r="L207" s="378">
        <f t="shared" si="36"/>
        <v>0.33425075072642163</v>
      </c>
      <c r="M207" s="244">
        <f>L207*D207*VPI!Q207</f>
        <v>25919.474465080362</v>
      </c>
    </row>
    <row r="208" spans="1:13" x14ac:dyDescent="0.25">
      <c r="A208" s="130">
        <f>Données!A208</f>
        <v>5745</v>
      </c>
      <c r="B208" s="27" t="str">
        <f>Données!B208</f>
        <v>Baulmes</v>
      </c>
      <c r="C208" s="285">
        <f>VPI!R208</f>
        <v>29147.980130718955</v>
      </c>
      <c r="D208" s="27">
        <f>Données!Z208</f>
        <v>1146</v>
      </c>
      <c r="E208" s="88">
        <f t="shared" si="29"/>
        <v>25.434537635880414</v>
      </c>
      <c r="F208" s="145">
        <f t="shared" si="30"/>
        <v>0.51425158832106999</v>
      </c>
      <c r="G208" s="376">
        <f t="shared" si="31"/>
        <v>0</v>
      </c>
      <c r="H208" s="376">
        <f t="shared" si="32"/>
        <v>0</v>
      </c>
      <c r="I208" s="376">
        <f t="shared" si="33"/>
        <v>0</v>
      </c>
      <c r="J208" s="376">
        <f t="shared" si="34"/>
        <v>0</v>
      </c>
      <c r="K208" s="376">
        <f t="shared" si="35"/>
        <v>0</v>
      </c>
      <c r="L208" s="378">
        <f t="shared" si="36"/>
        <v>0</v>
      </c>
      <c r="M208" s="244">
        <f>L208*D208*VPI!Q208</f>
        <v>0</v>
      </c>
    </row>
    <row r="209" spans="1:13" x14ac:dyDescent="0.25">
      <c r="A209" s="130">
        <f>Données!A209</f>
        <v>5746</v>
      </c>
      <c r="B209" s="27" t="str">
        <f>Données!B209</f>
        <v>Bavois</v>
      </c>
      <c r="C209" s="285">
        <f>VPI!R209</f>
        <v>33851.911712962959</v>
      </c>
      <c r="D209" s="27">
        <f>Données!Z209</f>
        <v>1037</v>
      </c>
      <c r="E209" s="88">
        <f t="shared" si="29"/>
        <v>32.644080726097357</v>
      </c>
      <c r="F209" s="145">
        <f t="shared" si="30"/>
        <v>0.66001869595596852</v>
      </c>
      <c r="G209" s="376">
        <f t="shared" si="31"/>
        <v>0</v>
      </c>
      <c r="H209" s="376">
        <f t="shared" si="32"/>
        <v>0</v>
      </c>
      <c r="I209" s="376">
        <f t="shared" si="33"/>
        <v>0</v>
      </c>
      <c r="J209" s="376">
        <f t="shared" si="34"/>
        <v>0</v>
      </c>
      <c r="K209" s="376">
        <f t="shared" si="35"/>
        <v>0</v>
      </c>
      <c r="L209" s="378">
        <f t="shared" si="36"/>
        <v>0</v>
      </c>
      <c r="M209" s="244">
        <f>L209*D209*VPI!Q209</f>
        <v>0</v>
      </c>
    </row>
    <row r="210" spans="1:13" x14ac:dyDescent="0.25">
      <c r="A210" s="130">
        <f>Données!A210</f>
        <v>5747</v>
      </c>
      <c r="B210" s="27" t="str">
        <f>Données!B210</f>
        <v>Bofflens</v>
      </c>
      <c r="C210" s="285">
        <f>VPI!R210</f>
        <v>7065.5449275362316</v>
      </c>
      <c r="D210" s="27">
        <f>Données!Z210</f>
        <v>194</v>
      </c>
      <c r="E210" s="88">
        <f t="shared" si="29"/>
        <v>36.42033467802181</v>
      </c>
      <c r="F210" s="145">
        <f t="shared" si="30"/>
        <v>0.73636938966550836</v>
      </c>
      <c r="G210" s="376">
        <f t="shared" si="31"/>
        <v>0</v>
      </c>
      <c r="H210" s="376">
        <f t="shared" si="32"/>
        <v>0</v>
      </c>
      <c r="I210" s="376">
        <f t="shared" si="33"/>
        <v>0</v>
      </c>
      <c r="J210" s="376">
        <f t="shared" si="34"/>
        <v>0</v>
      </c>
      <c r="K210" s="376">
        <f t="shared" si="35"/>
        <v>0</v>
      </c>
      <c r="L210" s="378">
        <f t="shared" si="36"/>
        <v>0</v>
      </c>
      <c r="M210" s="244">
        <f>L210*D210*VPI!Q210</f>
        <v>0</v>
      </c>
    </row>
    <row r="211" spans="1:13" x14ac:dyDescent="0.25">
      <c r="A211" s="130">
        <f>Données!A211</f>
        <v>5748</v>
      </c>
      <c r="B211" s="27" t="str">
        <f>Données!B211</f>
        <v>Bretonnières</v>
      </c>
      <c r="C211" s="285">
        <f>VPI!R211</f>
        <v>6864.9177304964542</v>
      </c>
      <c r="D211" s="27">
        <f>Données!Z211</f>
        <v>259</v>
      </c>
      <c r="E211" s="88">
        <f t="shared" si="29"/>
        <v>26.505473862920674</v>
      </c>
      <c r="F211" s="145">
        <f t="shared" si="30"/>
        <v>0.53590445512880447</v>
      </c>
      <c r="G211" s="376">
        <f t="shared" si="31"/>
        <v>0</v>
      </c>
      <c r="H211" s="376">
        <f t="shared" si="32"/>
        <v>0</v>
      </c>
      <c r="I211" s="376">
        <f t="shared" si="33"/>
        <v>0</v>
      </c>
      <c r="J211" s="376">
        <f t="shared" si="34"/>
        <v>0</v>
      </c>
      <c r="K211" s="376">
        <f t="shared" si="35"/>
        <v>0</v>
      </c>
      <c r="L211" s="378">
        <f t="shared" si="36"/>
        <v>0</v>
      </c>
      <c r="M211" s="244">
        <f>L211*D211*VPI!Q211</f>
        <v>0</v>
      </c>
    </row>
    <row r="212" spans="1:13" x14ac:dyDescent="0.25">
      <c r="A212" s="130">
        <f>Données!A212</f>
        <v>5749</v>
      </c>
      <c r="B212" s="27" t="str">
        <f>Données!B212</f>
        <v>Chavornay</v>
      </c>
      <c r="C212" s="285">
        <f>VPI!R212</f>
        <v>149579.8465248227</v>
      </c>
      <c r="D212" s="27">
        <f>Données!Z212</f>
        <v>5423</v>
      </c>
      <c r="E212" s="88">
        <f t="shared" si="29"/>
        <v>27.582490600188585</v>
      </c>
      <c r="F212" s="145">
        <f t="shared" si="30"/>
        <v>0.55768026154279937</v>
      </c>
      <c r="G212" s="376">
        <f t="shared" si="31"/>
        <v>0</v>
      </c>
      <c r="H212" s="376">
        <f t="shared" si="32"/>
        <v>0</v>
      </c>
      <c r="I212" s="376">
        <f t="shared" si="33"/>
        <v>0</v>
      </c>
      <c r="J212" s="376">
        <f t="shared" si="34"/>
        <v>0</v>
      </c>
      <c r="K212" s="376">
        <f t="shared" si="35"/>
        <v>0</v>
      </c>
      <c r="L212" s="378">
        <f t="shared" si="36"/>
        <v>0</v>
      </c>
      <c r="M212" s="244">
        <f>L212*D212*VPI!Q212</f>
        <v>0</v>
      </c>
    </row>
    <row r="213" spans="1:13" x14ac:dyDescent="0.25">
      <c r="A213" s="130">
        <f>Données!A213</f>
        <v>5750</v>
      </c>
      <c r="B213" s="27" t="str">
        <f>Données!B213</f>
        <v>Les Clées</v>
      </c>
      <c r="C213" s="285">
        <f>VPI!R213</f>
        <v>5320.5294166666672</v>
      </c>
      <c r="D213" s="27">
        <f>Données!Z213</f>
        <v>192</v>
      </c>
      <c r="E213" s="88">
        <f t="shared" si="29"/>
        <v>27.711090711805557</v>
      </c>
      <c r="F213" s="145">
        <f t="shared" si="30"/>
        <v>0.56028038003538017</v>
      </c>
      <c r="G213" s="376">
        <f t="shared" si="31"/>
        <v>0</v>
      </c>
      <c r="H213" s="376">
        <f t="shared" si="32"/>
        <v>0</v>
      </c>
      <c r="I213" s="376">
        <f t="shared" si="33"/>
        <v>0</v>
      </c>
      <c r="J213" s="376">
        <f t="shared" si="34"/>
        <v>0</v>
      </c>
      <c r="K213" s="376">
        <f t="shared" si="35"/>
        <v>0</v>
      </c>
      <c r="L213" s="378">
        <f t="shared" si="36"/>
        <v>0</v>
      </c>
      <c r="M213" s="244">
        <f>L213*D213*VPI!Q213</f>
        <v>0</v>
      </c>
    </row>
    <row r="214" spans="1:13" x14ac:dyDescent="0.25">
      <c r="A214" s="130">
        <f>Données!A214</f>
        <v>5752</v>
      </c>
      <c r="B214" s="27" t="str">
        <f>Données!B214</f>
        <v>Croy</v>
      </c>
      <c r="C214" s="285">
        <f>VPI!R214</f>
        <v>9858.3588996138969</v>
      </c>
      <c r="D214" s="27">
        <f>Données!Z214</f>
        <v>397</v>
      </c>
      <c r="E214" s="88">
        <f t="shared" si="29"/>
        <v>24.832138286181099</v>
      </c>
      <c r="F214" s="145">
        <f t="shared" si="30"/>
        <v>0.50207189679998487</v>
      </c>
      <c r="G214" s="376">
        <f t="shared" si="31"/>
        <v>0</v>
      </c>
      <c r="H214" s="376">
        <f t="shared" si="32"/>
        <v>0</v>
      </c>
      <c r="I214" s="376">
        <f t="shared" si="33"/>
        <v>0</v>
      </c>
      <c r="J214" s="376">
        <f t="shared" si="34"/>
        <v>0</v>
      </c>
      <c r="K214" s="376">
        <f t="shared" si="35"/>
        <v>0</v>
      </c>
      <c r="L214" s="378">
        <f t="shared" si="36"/>
        <v>0</v>
      </c>
      <c r="M214" s="244">
        <f>L214*D214*VPI!Q214</f>
        <v>0</v>
      </c>
    </row>
    <row r="215" spans="1:13" x14ac:dyDescent="0.25">
      <c r="A215" s="130">
        <f>Données!A215</f>
        <v>5754</v>
      </c>
      <c r="B215" s="27" t="str">
        <f>Données!B215</f>
        <v>Juriens</v>
      </c>
      <c r="C215" s="285">
        <f>VPI!R215</f>
        <v>8812.2215189873423</v>
      </c>
      <c r="D215" s="27">
        <f>Données!Z215</f>
        <v>351</v>
      </c>
      <c r="E215" s="88">
        <f t="shared" si="29"/>
        <v>25.106044213639152</v>
      </c>
      <c r="F215" s="145">
        <f t="shared" si="30"/>
        <v>0.50760990029202224</v>
      </c>
      <c r="G215" s="376">
        <f t="shared" si="31"/>
        <v>0</v>
      </c>
      <c r="H215" s="376">
        <f t="shared" si="32"/>
        <v>0</v>
      </c>
      <c r="I215" s="376">
        <f t="shared" si="33"/>
        <v>0</v>
      </c>
      <c r="J215" s="376">
        <f t="shared" si="34"/>
        <v>0</v>
      </c>
      <c r="K215" s="376">
        <f t="shared" si="35"/>
        <v>0</v>
      </c>
      <c r="L215" s="378">
        <f t="shared" si="36"/>
        <v>0</v>
      </c>
      <c r="M215" s="244">
        <f>L215*D215*VPI!Q215</f>
        <v>0</v>
      </c>
    </row>
    <row r="216" spans="1:13" x14ac:dyDescent="0.25">
      <c r="A216" s="130">
        <f>Données!A216</f>
        <v>5755</v>
      </c>
      <c r="B216" s="27" t="str">
        <f>Données!B216</f>
        <v>Lignerolle</v>
      </c>
      <c r="C216" s="285">
        <f>VPI!R216</f>
        <v>11116.576615104641</v>
      </c>
      <c r="D216" s="27">
        <f>Données!Z216</f>
        <v>462</v>
      </c>
      <c r="E216" s="88">
        <f t="shared" si="29"/>
        <v>24.061854145248141</v>
      </c>
      <c r="F216" s="145">
        <f t="shared" si="30"/>
        <v>0.48649780425683997</v>
      </c>
      <c r="G216" s="376">
        <f t="shared" si="31"/>
        <v>0</v>
      </c>
      <c r="H216" s="376">
        <f t="shared" si="32"/>
        <v>0</v>
      </c>
      <c r="I216" s="376">
        <f t="shared" si="33"/>
        <v>0</v>
      </c>
      <c r="J216" s="376">
        <f t="shared" si="34"/>
        <v>0</v>
      </c>
      <c r="K216" s="376">
        <f t="shared" si="35"/>
        <v>0</v>
      </c>
      <c r="L216" s="378">
        <f t="shared" si="36"/>
        <v>0</v>
      </c>
      <c r="M216" s="244">
        <f>L216*D216*VPI!Q216</f>
        <v>0</v>
      </c>
    </row>
    <row r="217" spans="1:13" x14ac:dyDescent="0.25">
      <c r="A217" s="130">
        <f>Données!A217</f>
        <v>5756</v>
      </c>
      <c r="B217" s="27" t="str">
        <f>Données!B217</f>
        <v>Montcherand</v>
      </c>
      <c r="C217" s="285">
        <f>VPI!R217</f>
        <v>20941.594027777777</v>
      </c>
      <c r="D217" s="27">
        <f>Données!Z217</f>
        <v>494</v>
      </c>
      <c r="E217" s="88">
        <f t="shared" si="29"/>
        <v>42.39189074448943</v>
      </c>
      <c r="F217" s="145">
        <f t="shared" si="30"/>
        <v>0.85710609170003682</v>
      </c>
      <c r="G217" s="376">
        <f t="shared" si="31"/>
        <v>0</v>
      </c>
      <c r="H217" s="376">
        <f t="shared" si="32"/>
        <v>0</v>
      </c>
      <c r="I217" s="376">
        <f t="shared" si="33"/>
        <v>0</v>
      </c>
      <c r="J217" s="376">
        <f t="shared" si="34"/>
        <v>0</v>
      </c>
      <c r="K217" s="376">
        <f t="shared" si="35"/>
        <v>0</v>
      </c>
      <c r="L217" s="378">
        <f t="shared" si="36"/>
        <v>0</v>
      </c>
      <c r="M217" s="244">
        <f>L217*D217*VPI!Q217</f>
        <v>0</v>
      </c>
    </row>
    <row r="218" spans="1:13" x14ac:dyDescent="0.25">
      <c r="A218" s="130">
        <f>Données!A218</f>
        <v>5757</v>
      </c>
      <c r="B218" s="27" t="str">
        <f>Données!B218</f>
        <v>Orbe</v>
      </c>
      <c r="C218" s="285">
        <f>VPI!R218</f>
        <v>226209.22728476822</v>
      </c>
      <c r="D218" s="27">
        <f>Données!Z218</f>
        <v>7827</v>
      </c>
      <c r="E218" s="88">
        <f t="shared" si="29"/>
        <v>28.901140575542126</v>
      </c>
      <c r="F218" s="145">
        <f t="shared" si="30"/>
        <v>0.58434156177844743</v>
      </c>
      <c r="G218" s="376">
        <f t="shared" si="31"/>
        <v>0</v>
      </c>
      <c r="H218" s="376">
        <f t="shared" si="32"/>
        <v>0</v>
      </c>
      <c r="I218" s="376">
        <f t="shared" si="33"/>
        <v>0</v>
      </c>
      <c r="J218" s="376">
        <f t="shared" si="34"/>
        <v>0</v>
      </c>
      <c r="K218" s="376">
        <f t="shared" si="35"/>
        <v>0</v>
      </c>
      <c r="L218" s="378">
        <f t="shared" si="36"/>
        <v>0</v>
      </c>
      <c r="M218" s="244">
        <f>L218*D218*VPI!Q218</f>
        <v>0</v>
      </c>
    </row>
    <row r="219" spans="1:13" x14ac:dyDescent="0.25">
      <c r="A219" s="130">
        <f>Données!A219</f>
        <v>5758</v>
      </c>
      <c r="B219" s="27" t="str">
        <f>Données!B219</f>
        <v>La Praz</v>
      </c>
      <c r="C219" s="285">
        <f>VPI!R219</f>
        <v>5593.0973493975916</v>
      </c>
      <c r="D219" s="27">
        <f>Données!Z219</f>
        <v>206</v>
      </c>
      <c r="E219" s="88">
        <f t="shared" si="29"/>
        <v>27.150958006784425</v>
      </c>
      <c r="F219" s="145">
        <f t="shared" si="30"/>
        <v>0.54895526230171454</v>
      </c>
      <c r="G219" s="376">
        <f t="shared" si="31"/>
        <v>0</v>
      </c>
      <c r="H219" s="376">
        <f t="shared" si="32"/>
        <v>0</v>
      </c>
      <c r="I219" s="376">
        <f t="shared" si="33"/>
        <v>0</v>
      </c>
      <c r="J219" s="376">
        <f t="shared" si="34"/>
        <v>0</v>
      </c>
      <c r="K219" s="376">
        <f t="shared" si="35"/>
        <v>0</v>
      </c>
      <c r="L219" s="378">
        <f t="shared" si="36"/>
        <v>0</v>
      </c>
      <c r="M219" s="244">
        <f>L219*D219*VPI!Q219</f>
        <v>0</v>
      </c>
    </row>
    <row r="220" spans="1:13" x14ac:dyDescent="0.25">
      <c r="A220" s="130">
        <f>Données!A220</f>
        <v>5759</v>
      </c>
      <c r="B220" s="27" t="str">
        <f>Données!B220</f>
        <v>Premier</v>
      </c>
      <c r="C220" s="285">
        <f>VPI!R220</f>
        <v>5351.6616352201272</v>
      </c>
      <c r="D220" s="27">
        <f>Données!Z220</f>
        <v>233</v>
      </c>
      <c r="E220" s="88">
        <f t="shared" si="29"/>
        <v>22.968504872189389</v>
      </c>
      <c r="F220" s="145">
        <f t="shared" si="30"/>
        <v>0.46439177629166173</v>
      </c>
      <c r="G220" s="376">
        <f t="shared" si="31"/>
        <v>0</v>
      </c>
      <c r="H220" s="376">
        <f t="shared" si="32"/>
        <v>0</v>
      </c>
      <c r="I220" s="376">
        <f t="shared" si="33"/>
        <v>0</v>
      </c>
      <c r="J220" s="376">
        <f t="shared" si="34"/>
        <v>0</v>
      </c>
      <c r="K220" s="376">
        <f t="shared" si="35"/>
        <v>0</v>
      </c>
      <c r="L220" s="378">
        <f t="shared" si="36"/>
        <v>0</v>
      </c>
      <c r="M220" s="244">
        <f>L220*D220*VPI!Q220</f>
        <v>0</v>
      </c>
    </row>
    <row r="221" spans="1:13" x14ac:dyDescent="0.25">
      <c r="A221" s="130">
        <f>Données!A221</f>
        <v>5760</v>
      </c>
      <c r="B221" s="27" t="str">
        <f>Données!B221</f>
        <v>Rances</v>
      </c>
      <c r="C221" s="285">
        <f>VPI!R221</f>
        <v>16377.081307189543</v>
      </c>
      <c r="D221" s="27">
        <f>Données!Z221</f>
        <v>525</v>
      </c>
      <c r="E221" s="88">
        <f t="shared" si="29"/>
        <v>31.194440585122937</v>
      </c>
      <c r="F221" s="145">
        <f t="shared" si="30"/>
        <v>0.6307089536023891</v>
      </c>
      <c r="G221" s="376">
        <f t="shared" si="31"/>
        <v>0</v>
      </c>
      <c r="H221" s="376">
        <f t="shared" si="32"/>
        <v>0</v>
      </c>
      <c r="I221" s="376">
        <f t="shared" si="33"/>
        <v>0</v>
      </c>
      <c r="J221" s="376">
        <f t="shared" si="34"/>
        <v>0</v>
      </c>
      <c r="K221" s="376">
        <f t="shared" si="35"/>
        <v>0</v>
      </c>
      <c r="L221" s="378">
        <f t="shared" si="36"/>
        <v>0</v>
      </c>
      <c r="M221" s="244">
        <f>L221*D221*VPI!Q221</f>
        <v>0</v>
      </c>
    </row>
    <row r="222" spans="1:13" x14ac:dyDescent="0.25">
      <c r="A222" s="130">
        <f>Données!A222</f>
        <v>5761</v>
      </c>
      <c r="B222" s="27" t="str">
        <f>Données!B222</f>
        <v>Romainmôtier-Envy</v>
      </c>
      <c r="C222" s="285">
        <f>VPI!R222</f>
        <v>13471.82785634119</v>
      </c>
      <c r="D222" s="27">
        <f>Données!Z222</f>
        <v>575</v>
      </c>
      <c r="E222" s="88">
        <f t="shared" si="29"/>
        <v>23.429265837115111</v>
      </c>
      <c r="F222" s="145">
        <f t="shared" si="30"/>
        <v>0.47370773325701032</v>
      </c>
      <c r="G222" s="376">
        <f t="shared" si="31"/>
        <v>0</v>
      </c>
      <c r="H222" s="376">
        <f t="shared" si="32"/>
        <v>0</v>
      </c>
      <c r="I222" s="376">
        <f t="shared" si="33"/>
        <v>0</v>
      </c>
      <c r="J222" s="376">
        <f t="shared" si="34"/>
        <v>0</v>
      </c>
      <c r="K222" s="376">
        <f t="shared" si="35"/>
        <v>0</v>
      </c>
      <c r="L222" s="378">
        <f t="shared" si="36"/>
        <v>0</v>
      </c>
      <c r="M222" s="244">
        <f>L222*D222*VPI!Q222</f>
        <v>0</v>
      </c>
    </row>
    <row r="223" spans="1:13" x14ac:dyDescent="0.25">
      <c r="A223" s="130">
        <f>Données!A223</f>
        <v>5762</v>
      </c>
      <c r="B223" s="27" t="str">
        <f>Données!B223</f>
        <v>Sergey</v>
      </c>
      <c r="C223" s="285">
        <f>VPI!R223</f>
        <v>3564.2302564102565</v>
      </c>
      <c r="D223" s="27">
        <f>Données!Z223</f>
        <v>137</v>
      </c>
      <c r="E223" s="88">
        <f t="shared" si="29"/>
        <v>26.016279243870486</v>
      </c>
      <c r="F223" s="145">
        <f t="shared" si="30"/>
        <v>0.52601360853878065</v>
      </c>
      <c r="G223" s="376">
        <f t="shared" si="31"/>
        <v>0</v>
      </c>
      <c r="H223" s="376">
        <f t="shared" si="32"/>
        <v>0</v>
      </c>
      <c r="I223" s="376">
        <f t="shared" si="33"/>
        <v>0</v>
      </c>
      <c r="J223" s="376">
        <f t="shared" si="34"/>
        <v>0</v>
      </c>
      <c r="K223" s="376">
        <f t="shared" si="35"/>
        <v>0</v>
      </c>
      <c r="L223" s="378">
        <f t="shared" si="36"/>
        <v>0</v>
      </c>
      <c r="M223" s="244">
        <f>L223*D223*VPI!Q223</f>
        <v>0</v>
      </c>
    </row>
    <row r="224" spans="1:13" x14ac:dyDescent="0.25">
      <c r="A224" s="130">
        <f>Données!A224</f>
        <v>5763</v>
      </c>
      <c r="B224" s="27" t="str">
        <f>Données!B224</f>
        <v>Valeyres-sous-Rances</v>
      </c>
      <c r="C224" s="285">
        <f>VPI!R224</f>
        <v>21279.080140845068</v>
      </c>
      <c r="D224" s="27">
        <f>Données!Z224</f>
        <v>583</v>
      </c>
      <c r="E224" s="88">
        <f t="shared" si="29"/>
        <v>36.499279829922926</v>
      </c>
      <c r="F224" s="145">
        <f t="shared" si="30"/>
        <v>0.73796555273859388</v>
      </c>
      <c r="G224" s="376">
        <f t="shared" si="31"/>
        <v>0</v>
      </c>
      <c r="H224" s="376">
        <f t="shared" si="32"/>
        <v>0</v>
      </c>
      <c r="I224" s="376">
        <f t="shared" si="33"/>
        <v>0</v>
      </c>
      <c r="J224" s="376">
        <f t="shared" si="34"/>
        <v>0</v>
      </c>
      <c r="K224" s="376">
        <f t="shared" si="35"/>
        <v>0</v>
      </c>
      <c r="L224" s="378">
        <f t="shared" si="36"/>
        <v>0</v>
      </c>
      <c r="M224" s="244">
        <f>L224*D224*VPI!Q224</f>
        <v>0</v>
      </c>
    </row>
    <row r="225" spans="1:13" x14ac:dyDescent="0.25">
      <c r="A225" s="130">
        <f>Données!A225</f>
        <v>5764</v>
      </c>
      <c r="B225" s="27" t="str">
        <f>Données!B225</f>
        <v>Vallorbe</v>
      </c>
      <c r="C225" s="285">
        <f>VPI!R225</f>
        <v>94417.86909090908</v>
      </c>
      <c r="D225" s="27">
        <f>Données!Z225</f>
        <v>4121</v>
      </c>
      <c r="E225" s="88">
        <f t="shared" si="29"/>
        <v>22.91139749840065</v>
      </c>
      <c r="F225" s="145">
        <f t="shared" si="30"/>
        <v>0.46323714324520621</v>
      </c>
      <c r="G225" s="376">
        <f t="shared" si="31"/>
        <v>0</v>
      </c>
      <c r="H225" s="376">
        <f t="shared" si="32"/>
        <v>0</v>
      </c>
      <c r="I225" s="376">
        <f t="shared" si="33"/>
        <v>0</v>
      </c>
      <c r="J225" s="376">
        <f t="shared" si="34"/>
        <v>0</v>
      </c>
      <c r="K225" s="376">
        <f t="shared" si="35"/>
        <v>0</v>
      </c>
      <c r="L225" s="378">
        <f t="shared" si="36"/>
        <v>0</v>
      </c>
      <c r="M225" s="244">
        <f>L225*D225*VPI!Q225</f>
        <v>0</v>
      </c>
    </row>
    <row r="226" spans="1:13" x14ac:dyDescent="0.25">
      <c r="A226" s="130">
        <f>Données!A226</f>
        <v>5765</v>
      </c>
      <c r="B226" s="27" t="str">
        <f>Données!B226</f>
        <v>Vaulion</v>
      </c>
      <c r="C226" s="285">
        <f>VPI!R226</f>
        <v>11559.011234567901</v>
      </c>
      <c r="D226" s="27">
        <f>Données!Z226</f>
        <v>486</v>
      </c>
      <c r="E226" s="88">
        <f t="shared" si="29"/>
        <v>23.78397373367881</v>
      </c>
      <c r="F226" s="145">
        <f t="shared" si="30"/>
        <v>0.48087944212820227</v>
      </c>
      <c r="G226" s="376">
        <f t="shared" si="31"/>
        <v>0</v>
      </c>
      <c r="H226" s="376">
        <f t="shared" si="32"/>
        <v>0</v>
      </c>
      <c r="I226" s="376">
        <f t="shared" si="33"/>
        <v>0</v>
      </c>
      <c r="J226" s="376">
        <f t="shared" si="34"/>
        <v>0</v>
      </c>
      <c r="K226" s="376">
        <f t="shared" si="35"/>
        <v>0</v>
      </c>
      <c r="L226" s="378">
        <f t="shared" si="36"/>
        <v>0</v>
      </c>
      <c r="M226" s="244">
        <f>L226*D226*VPI!Q226</f>
        <v>0</v>
      </c>
    </row>
    <row r="227" spans="1:13" x14ac:dyDescent="0.25">
      <c r="A227" s="130">
        <f>Données!A227</f>
        <v>5766</v>
      </c>
      <c r="B227" s="27" t="str">
        <f>Données!B227</f>
        <v>Vuiteboeuf</v>
      </c>
      <c r="C227" s="285">
        <f>VPI!R227</f>
        <v>14621.166361904759</v>
      </c>
      <c r="D227" s="27">
        <f>Données!Z227</f>
        <v>586</v>
      </c>
      <c r="E227" s="88">
        <f t="shared" si="29"/>
        <v>24.950795839427919</v>
      </c>
      <c r="F227" s="145">
        <f t="shared" si="30"/>
        <v>0.50447099035132148</v>
      </c>
      <c r="G227" s="376">
        <f t="shared" si="31"/>
        <v>0</v>
      </c>
      <c r="H227" s="376">
        <f t="shared" si="32"/>
        <v>0</v>
      </c>
      <c r="I227" s="376">
        <f t="shared" si="33"/>
        <v>0</v>
      </c>
      <c r="J227" s="376">
        <f t="shared" si="34"/>
        <v>0</v>
      </c>
      <c r="K227" s="376">
        <f t="shared" si="35"/>
        <v>0</v>
      </c>
      <c r="L227" s="378">
        <f t="shared" si="36"/>
        <v>0</v>
      </c>
      <c r="M227" s="244">
        <f>L227*D227*VPI!Q227</f>
        <v>0</v>
      </c>
    </row>
    <row r="228" spans="1:13" x14ac:dyDescent="0.25">
      <c r="A228" s="130">
        <f>Données!A228</f>
        <v>5785</v>
      </c>
      <c r="B228" s="27" t="str">
        <f>Données!B228</f>
        <v>Corcelles-le-Jorat</v>
      </c>
      <c r="C228" s="285">
        <f>VPI!R228</f>
        <v>17967.826266666671</v>
      </c>
      <c r="D228" s="27">
        <f>Données!Z228</f>
        <v>500</v>
      </c>
      <c r="E228" s="88">
        <f t="shared" si="29"/>
        <v>35.935652533333339</v>
      </c>
      <c r="F228" s="145">
        <f t="shared" si="30"/>
        <v>0.72656977913965015</v>
      </c>
      <c r="G228" s="376">
        <f t="shared" si="31"/>
        <v>0</v>
      </c>
      <c r="H228" s="376">
        <f t="shared" si="32"/>
        <v>0</v>
      </c>
      <c r="I228" s="376">
        <f t="shared" si="33"/>
        <v>0</v>
      </c>
      <c r="J228" s="376">
        <f t="shared" si="34"/>
        <v>0</v>
      </c>
      <c r="K228" s="376">
        <f t="shared" si="35"/>
        <v>0</v>
      </c>
      <c r="L228" s="378">
        <f t="shared" si="36"/>
        <v>0</v>
      </c>
      <c r="M228" s="244">
        <f>L228*D228*VPI!Q228</f>
        <v>0</v>
      </c>
    </row>
    <row r="229" spans="1:13" x14ac:dyDescent="0.25">
      <c r="A229" s="130">
        <f>Données!A229</f>
        <v>5790</v>
      </c>
      <c r="B229" s="27" t="str">
        <f>Données!B229</f>
        <v>Maracon</v>
      </c>
      <c r="C229" s="285">
        <f>VPI!R229</f>
        <v>17556.382281879196</v>
      </c>
      <c r="D229" s="27">
        <f>Données!Z229</f>
        <v>567</v>
      </c>
      <c r="E229" s="88">
        <f t="shared" si="29"/>
        <v>30.963637181444788</v>
      </c>
      <c r="F229" s="145">
        <f t="shared" si="30"/>
        <v>0.62604242423076961</v>
      </c>
      <c r="G229" s="376">
        <f t="shared" si="31"/>
        <v>0</v>
      </c>
      <c r="H229" s="376">
        <f t="shared" si="32"/>
        <v>0</v>
      </c>
      <c r="I229" s="376">
        <f t="shared" si="33"/>
        <v>0</v>
      </c>
      <c r="J229" s="376">
        <f t="shared" si="34"/>
        <v>0</v>
      </c>
      <c r="K229" s="376">
        <f t="shared" si="35"/>
        <v>0</v>
      </c>
      <c r="L229" s="378">
        <f t="shared" si="36"/>
        <v>0</v>
      </c>
      <c r="M229" s="244">
        <f>L229*D229*VPI!Q229</f>
        <v>0</v>
      </c>
    </row>
    <row r="230" spans="1:13" x14ac:dyDescent="0.25">
      <c r="A230" s="130">
        <f>Données!A230</f>
        <v>5792</v>
      </c>
      <c r="B230" s="27" t="str">
        <f>Données!B230</f>
        <v>Montpreveyres</v>
      </c>
      <c r="C230" s="285">
        <f>VPI!R230</f>
        <v>19503.116799999996</v>
      </c>
      <c r="D230" s="27">
        <f>Données!Z230</f>
        <v>632</v>
      </c>
      <c r="E230" s="88">
        <f t="shared" si="29"/>
        <v>30.85936202531645</v>
      </c>
      <c r="F230" s="145">
        <f t="shared" si="30"/>
        <v>0.6239341230920149</v>
      </c>
      <c r="G230" s="376">
        <f t="shared" si="31"/>
        <v>0</v>
      </c>
      <c r="H230" s="376">
        <f t="shared" si="32"/>
        <v>0</v>
      </c>
      <c r="I230" s="376">
        <f t="shared" si="33"/>
        <v>0</v>
      </c>
      <c r="J230" s="376">
        <f t="shared" si="34"/>
        <v>0</v>
      </c>
      <c r="K230" s="376">
        <f t="shared" si="35"/>
        <v>0</v>
      </c>
      <c r="L230" s="378">
        <f t="shared" si="36"/>
        <v>0</v>
      </c>
      <c r="M230" s="244">
        <f>L230*D230*VPI!Q230</f>
        <v>0</v>
      </c>
    </row>
    <row r="231" spans="1:13" x14ac:dyDescent="0.25">
      <c r="A231" s="130">
        <f>Données!A231</f>
        <v>5798</v>
      </c>
      <c r="B231" s="27" t="str">
        <f>Données!B231</f>
        <v>Ropraz</v>
      </c>
      <c r="C231" s="285">
        <f>VPI!R231</f>
        <v>16096.874193548387</v>
      </c>
      <c r="D231" s="27">
        <f>Données!Z231</f>
        <v>535</v>
      </c>
      <c r="E231" s="88">
        <f t="shared" si="29"/>
        <v>30.087615315043713</v>
      </c>
      <c r="F231" s="145">
        <f t="shared" si="30"/>
        <v>0.60833045939578756</v>
      </c>
      <c r="G231" s="376">
        <f t="shared" si="31"/>
        <v>0</v>
      </c>
      <c r="H231" s="376">
        <f t="shared" si="32"/>
        <v>0</v>
      </c>
      <c r="I231" s="376">
        <f t="shared" si="33"/>
        <v>0</v>
      </c>
      <c r="J231" s="376">
        <f t="shared" si="34"/>
        <v>0</v>
      </c>
      <c r="K231" s="376">
        <f t="shared" si="35"/>
        <v>0</v>
      </c>
      <c r="L231" s="378">
        <f t="shared" si="36"/>
        <v>0</v>
      </c>
      <c r="M231" s="244">
        <f>L231*D231*VPI!Q231</f>
        <v>0</v>
      </c>
    </row>
    <row r="232" spans="1:13" x14ac:dyDescent="0.25">
      <c r="A232" s="130">
        <f>Données!A232</f>
        <v>5799</v>
      </c>
      <c r="B232" s="27" t="str">
        <f>Données!B232</f>
        <v>Servion</v>
      </c>
      <c r="C232" s="285">
        <f>VPI!R232</f>
        <v>78403.185652173925</v>
      </c>
      <c r="D232" s="27">
        <f>Données!Z232</f>
        <v>2172</v>
      </c>
      <c r="E232" s="88">
        <f t="shared" si="29"/>
        <v>36.097230963247661</v>
      </c>
      <c r="F232" s="145">
        <f t="shared" si="30"/>
        <v>0.72983667415505815</v>
      </c>
      <c r="G232" s="376">
        <f t="shared" si="31"/>
        <v>0</v>
      </c>
      <c r="H232" s="376">
        <f t="shared" si="32"/>
        <v>0</v>
      </c>
      <c r="I232" s="376">
        <f t="shared" si="33"/>
        <v>0</v>
      </c>
      <c r="J232" s="376">
        <f t="shared" si="34"/>
        <v>0</v>
      </c>
      <c r="K232" s="376">
        <f t="shared" si="35"/>
        <v>0</v>
      </c>
      <c r="L232" s="378">
        <f t="shared" si="36"/>
        <v>0</v>
      </c>
      <c r="M232" s="244">
        <f>L232*D232*VPI!Q232</f>
        <v>0</v>
      </c>
    </row>
    <row r="233" spans="1:13" x14ac:dyDescent="0.25">
      <c r="A233" s="130">
        <f>Données!A233</f>
        <v>5803</v>
      </c>
      <c r="B233" s="27" t="str">
        <f>Données!B233</f>
        <v>Vulliens</v>
      </c>
      <c r="C233" s="285">
        <f>VPI!R233</f>
        <v>18504.850945945949</v>
      </c>
      <c r="D233" s="27">
        <f>Données!Z233</f>
        <v>646</v>
      </c>
      <c r="E233" s="88">
        <f t="shared" si="29"/>
        <v>28.645280102083511</v>
      </c>
      <c r="F233" s="145">
        <f t="shared" si="30"/>
        <v>0.57916841270263886</v>
      </c>
      <c r="G233" s="376">
        <f t="shared" si="31"/>
        <v>0</v>
      </c>
      <c r="H233" s="376">
        <f t="shared" si="32"/>
        <v>0</v>
      </c>
      <c r="I233" s="376">
        <f t="shared" si="33"/>
        <v>0</v>
      </c>
      <c r="J233" s="376">
        <f t="shared" si="34"/>
        <v>0</v>
      </c>
      <c r="K233" s="376">
        <f t="shared" si="35"/>
        <v>0</v>
      </c>
      <c r="L233" s="378">
        <f t="shared" si="36"/>
        <v>0</v>
      </c>
      <c r="M233" s="244">
        <f>L233*D233*VPI!Q233</f>
        <v>0</v>
      </c>
    </row>
    <row r="234" spans="1:13" x14ac:dyDescent="0.25">
      <c r="A234" s="130">
        <f>Données!A234</f>
        <v>5804</v>
      </c>
      <c r="B234" s="27" t="str">
        <f>Données!B234</f>
        <v>Jorat-Menthue</v>
      </c>
      <c r="C234" s="285">
        <f>VPI!R234</f>
        <v>49008.353617021276</v>
      </c>
      <c r="D234" s="27">
        <f>Données!Z234</f>
        <v>1557</v>
      </c>
      <c r="E234" s="88">
        <f t="shared" si="29"/>
        <v>31.476142335916041</v>
      </c>
      <c r="F234" s="145">
        <f t="shared" si="30"/>
        <v>0.63640457798731276</v>
      </c>
      <c r="G234" s="376">
        <f t="shared" si="31"/>
        <v>0</v>
      </c>
      <c r="H234" s="376">
        <f t="shared" si="32"/>
        <v>0</v>
      </c>
      <c r="I234" s="376">
        <f t="shared" si="33"/>
        <v>0</v>
      </c>
      <c r="J234" s="376">
        <f t="shared" si="34"/>
        <v>0</v>
      </c>
      <c r="K234" s="376">
        <f t="shared" si="35"/>
        <v>0</v>
      </c>
      <c r="L234" s="378">
        <f t="shared" si="36"/>
        <v>0</v>
      </c>
      <c r="M234" s="244">
        <f>L234*D234*VPI!Q234</f>
        <v>0</v>
      </c>
    </row>
    <row r="235" spans="1:13" x14ac:dyDescent="0.25">
      <c r="A235" s="130">
        <f>Données!A235</f>
        <v>5805</v>
      </c>
      <c r="B235" s="27" t="str">
        <f>Données!B235</f>
        <v>Oron</v>
      </c>
      <c r="C235" s="285">
        <f>VPI!R235</f>
        <v>177337.10588932806</v>
      </c>
      <c r="D235" s="27">
        <f>Données!Z235</f>
        <v>6173</v>
      </c>
      <c r="E235" s="88">
        <f t="shared" si="29"/>
        <v>28.727864229601174</v>
      </c>
      <c r="F235" s="145">
        <f t="shared" si="30"/>
        <v>0.58083815088911794</v>
      </c>
      <c r="G235" s="376">
        <f t="shared" si="31"/>
        <v>0</v>
      </c>
      <c r="H235" s="376">
        <f t="shared" si="32"/>
        <v>0</v>
      </c>
      <c r="I235" s="376">
        <f t="shared" si="33"/>
        <v>0</v>
      </c>
      <c r="J235" s="376">
        <f t="shared" si="34"/>
        <v>0</v>
      </c>
      <c r="K235" s="376">
        <f t="shared" si="35"/>
        <v>0</v>
      </c>
      <c r="L235" s="378">
        <f t="shared" si="36"/>
        <v>0</v>
      </c>
      <c r="M235" s="244">
        <f>L235*D235*VPI!Q235</f>
        <v>0</v>
      </c>
    </row>
    <row r="236" spans="1:13" x14ac:dyDescent="0.25">
      <c r="A236" s="130">
        <f>Données!A236</f>
        <v>5806</v>
      </c>
      <c r="B236" s="27" t="str">
        <f>Données!B236</f>
        <v>Jorat-Mézières</v>
      </c>
      <c r="C236" s="285">
        <f>VPI!R236</f>
        <v>98520.834794520561</v>
      </c>
      <c r="D236" s="27">
        <f>Données!Z236</f>
        <v>3177</v>
      </c>
      <c r="E236" s="88">
        <f t="shared" si="29"/>
        <v>31.01064991958469</v>
      </c>
      <c r="F236" s="145">
        <f t="shared" si="30"/>
        <v>0.62699295754125772</v>
      </c>
      <c r="G236" s="376">
        <f t="shared" si="31"/>
        <v>0</v>
      </c>
      <c r="H236" s="376">
        <f t="shared" si="32"/>
        <v>0</v>
      </c>
      <c r="I236" s="376">
        <f t="shared" si="33"/>
        <v>0</v>
      </c>
      <c r="J236" s="376">
        <f t="shared" si="34"/>
        <v>0</v>
      </c>
      <c r="K236" s="376">
        <f t="shared" si="35"/>
        <v>0</v>
      </c>
      <c r="L236" s="378">
        <f t="shared" si="36"/>
        <v>0</v>
      </c>
      <c r="M236" s="244">
        <f>L236*D236*VPI!Q236</f>
        <v>0</v>
      </c>
    </row>
    <row r="237" spans="1:13" x14ac:dyDescent="0.25">
      <c r="A237" s="130">
        <f>Données!A237</f>
        <v>5812</v>
      </c>
      <c r="B237" s="27" t="str">
        <f>Données!B237</f>
        <v>Champtauroz</v>
      </c>
      <c r="C237" s="285">
        <f>VPI!R237</f>
        <v>3559.4911688311695</v>
      </c>
      <c r="D237" s="27">
        <f>Données!Z237</f>
        <v>188</v>
      </c>
      <c r="E237" s="88">
        <f t="shared" si="29"/>
        <v>18.933463663995582</v>
      </c>
      <c r="F237" s="145">
        <f t="shared" si="30"/>
        <v>0.38280875795806318</v>
      </c>
      <c r="G237" s="376">
        <f t="shared" si="31"/>
        <v>0</v>
      </c>
      <c r="H237" s="376">
        <f t="shared" si="32"/>
        <v>0</v>
      </c>
      <c r="I237" s="376">
        <f t="shared" si="33"/>
        <v>0</v>
      </c>
      <c r="J237" s="376">
        <f t="shared" si="34"/>
        <v>0</v>
      </c>
      <c r="K237" s="376">
        <f t="shared" si="35"/>
        <v>0</v>
      </c>
      <c r="L237" s="378">
        <f t="shared" si="36"/>
        <v>0</v>
      </c>
      <c r="M237" s="244">
        <f>L237*D237*VPI!Q237</f>
        <v>0</v>
      </c>
    </row>
    <row r="238" spans="1:13" x14ac:dyDescent="0.25">
      <c r="A238" s="130">
        <f>Données!A238</f>
        <v>5813</v>
      </c>
      <c r="B238" s="27" t="str">
        <f>Données!B238</f>
        <v>Chevroux</v>
      </c>
      <c r="C238" s="285">
        <f>VPI!R238</f>
        <v>19217.847664233581</v>
      </c>
      <c r="D238" s="27">
        <f>Données!Z238</f>
        <v>524</v>
      </c>
      <c r="E238" s="88">
        <f t="shared" si="29"/>
        <v>36.675281801972481</v>
      </c>
      <c r="F238" s="145">
        <f t="shared" si="30"/>
        <v>0.74152407206258752</v>
      </c>
      <c r="G238" s="376">
        <f t="shared" si="31"/>
        <v>0</v>
      </c>
      <c r="H238" s="376">
        <f t="shared" si="32"/>
        <v>0</v>
      </c>
      <c r="I238" s="376">
        <f t="shared" si="33"/>
        <v>0</v>
      </c>
      <c r="J238" s="376">
        <f t="shared" si="34"/>
        <v>0</v>
      </c>
      <c r="K238" s="376">
        <f t="shared" si="35"/>
        <v>0</v>
      </c>
      <c r="L238" s="378">
        <f t="shared" si="36"/>
        <v>0</v>
      </c>
      <c r="M238" s="244">
        <f>L238*D238*VPI!Q238</f>
        <v>0</v>
      </c>
    </row>
    <row r="239" spans="1:13" x14ac:dyDescent="0.25">
      <c r="A239" s="130">
        <f>Données!A239</f>
        <v>5816</v>
      </c>
      <c r="B239" s="27" t="str">
        <f>Données!B239</f>
        <v>Corcelles-près-Payerne</v>
      </c>
      <c r="C239" s="285">
        <f>VPI!R239</f>
        <v>70362.963604395612</v>
      </c>
      <c r="D239" s="27">
        <f>Données!Z239</f>
        <v>2915</v>
      </c>
      <c r="E239" s="88">
        <f t="shared" si="29"/>
        <v>24.138237943188891</v>
      </c>
      <c r="F239" s="145">
        <f t="shared" si="30"/>
        <v>0.48804218025357965</v>
      </c>
      <c r="G239" s="376">
        <f t="shared" si="31"/>
        <v>0</v>
      </c>
      <c r="H239" s="376">
        <f t="shared" si="32"/>
        <v>0</v>
      </c>
      <c r="I239" s="376">
        <f t="shared" si="33"/>
        <v>0</v>
      </c>
      <c r="J239" s="376">
        <f t="shared" si="34"/>
        <v>0</v>
      </c>
      <c r="K239" s="376">
        <f t="shared" si="35"/>
        <v>0</v>
      </c>
      <c r="L239" s="378">
        <f t="shared" si="36"/>
        <v>0</v>
      </c>
      <c r="M239" s="244">
        <f>L239*D239*VPI!Q239</f>
        <v>0</v>
      </c>
    </row>
    <row r="240" spans="1:13" x14ac:dyDescent="0.25">
      <c r="A240" s="130">
        <f>Données!A240</f>
        <v>5817</v>
      </c>
      <c r="B240" s="27" t="str">
        <f>Données!B240</f>
        <v>Grandcour</v>
      </c>
      <c r="C240" s="285">
        <f>VPI!R240</f>
        <v>25032.364353741497</v>
      </c>
      <c r="D240" s="27">
        <f>Données!Z240</f>
        <v>1006</v>
      </c>
      <c r="E240" s="88">
        <f t="shared" si="29"/>
        <v>24.883065957993537</v>
      </c>
      <c r="F240" s="145">
        <f t="shared" si="30"/>
        <v>0.50310158471859268</v>
      </c>
      <c r="G240" s="376">
        <f t="shared" si="31"/>
        <v>0</v>
      </c>
      <c r="H240" s="376">
        <f t="shared" si="32"/>
        <v>0</v>
      </c>
      <c r="I240" s="376">
        <f t="shared" si="33"/>
        <v>0</v>
      </c>
      <c r="J240" s="376">
        <f t="shared" si="34"/>
        <v>0</v>
      </c>
      <c r="K240" s="376">
        <f t="shared" si="35"/>
        <v>0</v>
      </c>
      <c r="L240" s="378">
        <f t="shared" si="36"/>
        <v>0</v>
      </c>
      <c r="M240" s="244">
        <f>L240*D240*VPI!Q240</f>
        <v>0</v>
      </c>
    </row>
    <row r="241" spans="1:13" x14ac:dyDescent="0.25">
      <c r="A241" s="130">
        <f>Données!A241</f>
        <v>5819</v>
      </c>
      <c r="B241" s="27" t="str">
        <f>Données!B241</f>
        <v>Henniez</v>
      </c>
      <c r="C241" s="285">
        <f>VPI!R241</f>
        <v>17871.328115942026</v>
      </c>
      <c r="D241" s="27">
        <f>Données!Z241</f>
        <v>454</v>
      </c>
      <c r="E241" s="88">
        <f t="shared" si="29"/>
        <v>39.364158845687278</v>
      </c>
      <c r="F241" s="145">
        <f t="shared" si="30"/>
        <v>0.79588949086146299</v>
      </c>
      <c r="G241" s="376">
        <f t="shared" si="31"/>
        <v>0</v>
      </c>
      <c r="H241" s="376">
        <f t="shared" si="32"/>
        <v>0</v>
      </c>
      <c r="I241" s="376">
        <f t="shared" si="33"/>
        <v>0</v>
      </c>
      <c r="J241" s="376">
        <f t="shared" si="34"/>
        <v>0</v>
      </c>
      <c r="K241" s="376">
        <f t="shared" si="35"/>
        <v>0</v>
      </c>
      <c r="L241" s="378">
        <f t="shared" si="36"/>
        <v>0</v>
      </c>
      <c r="M241" s="244">
        <f>L241*D241*VPI!Q241</f>
        <v>0</v>
      </c>
    </row>
    <row r="242" spans="1:13" x14ac:dyDescent="0.25">
      <c r="A242" s="130">
        <f>Données!A242</f>
        <v>5821</v>
      </c>
      <c r="B242" s="27" t="str">
        <f>Données!B242</f>
        <v>Missy</v>
      </c>
      <c r="C242" s="285">
        <f>VPI!R242</f>
        <v>8690.2762499999972</v>
      </c>
      <c r="D242" s="27">
        <f>Données!Z242</f>
        <v>377</v>
      </c>
      <c r="E242" s="88">
        <f t="shared" si="29"/>
        <v>23.051130636604768</v>
      </c>
      <c r="F242" s="145">
        <f t="shared" si="30"/>
        <v>0.46606235631930532</v>
      </c>
      <c r="G242" s="376">
        <f t="shared" si="31"/>
        <v>0</v>
      </c>
      <c r="H242" s="376">
        <f t="shared" si="32"/>
        <v>0</v>
      </c>
      <c r="I242" s="376">
        <f t="shared" si="33"/>
        <v>0</v>
      </c>
      <c r="J242" s="376">
        <f t="shared" si="34"/>
        <v>0</v>
      </c>
      <c r="K242" s="376">
        <f t="shared" si="35"/>
        <v>0</v>
      </c>
      <c r="L242" s="378">
        <f t="shared" si="36"/>
        <v>0</v>
      </c>
      <c r="M242" s="244">
        <f>L242*D242*VPI!Q242</f>
        <v>0</v>
      </c>
    </row>
    <row r="243" spans="1:13" x14ac:dyDescent="0.25">
      <c r="A243" s="130">
        <f>Données!A243</f>
        <v>5822</v>
      </c>
      <c r="B243" s="27" t="str">
        <f>Données!B243</f>
        <v>Payerne</v>
      </c>
      <c r="C243" s="285">
        <f>VPI!R243</f>
        <v>264097.39385714289</v>
      </c>
      <c r="D243" s="27">
        <f>Données!Z243</f>
        <v>10577</v>
      </c>
      <c r="E243" s="88">
        <f t="shared" si="29"/>
        <v>24.969026553573119</v>
      </c>
      <c r="F243" s="145">
        <f t="shared" si="30"/>
        <v>0.50483959047449312</v>
      </c>
      <c r="G243" s="376">
        <f t="shared" si="31"/>
        <v>0</v>
      </c>
      <c r="H243" s="376">
        <f t="shared" si="32"/>
        <v>0</v>
      </c>
      <c r="I243" s="376">
        <f t="shared" si="33"/>
        <v>0</v>
      </c>
      <c r="J243" s="376">
        <f t="shared" si="34"/>
        <v>0</v>
      </c>
      <c r="K243" s="376">
        <f t="shared" si="35"/>
        <v>0</v>
      </c>
      <c r="L243" s="378">
        <f t="shared" si="36"/>
        <v>0</v>
      </c>
      <c r="M243" s="244">
        <f>L243*D243*VPI!Q243</f>
        <v>0</v>
      </c>
    </row>
    <row r="244" spans="1:13" x14ac:dyDescent="0.25">
      <c r="A244" s="130">
        <f>Données!A244</f>
        <v>5827</v>
      </c>
      <c r="B244" s="27" t="str">
        <f>Données!B244</f>
        <v>Trey</v>
      </c>
      <c r="C244" s="285">
        <f>VPI!R244</f>
        <v>7673.6615384615379</v>
      </c>
      <c r="D244" s="27">
        <f>Données!Z244</f>
        <v>315</v>
      </c>
      <c r="E244" s="88">
        <f t="shared" si="29"/>
        <v>24.360830280830278</v>
      </c>
      <c r="F244" s="145">
        <f t="shared" si="30"/>
        <v>0.49254269309241749</v>
      </c>
      <c r="G244" s="376">
        <f t="shared" si="31"/>
        <v>0</v>
      </c>
      <c r="H244" s="376">
        <f t="shared" si="32"/>
        <v>0</v>
      </c>
      <c r="I244" s="376">
        <f t="shared" si="33"/>
        <v>0</v>
      </c>
      <c r="J244" s="376">
        <f t="shared" si="34"/>
        <v>0</v>
      </c>
      <c r="K244" s="376">
        <f t="shared" si="35"/>
        <v>0</v>
      </c>
      <c r="L244" s="378">
        <f t="shared" si="36"/>
        <v>0</v>
      </c>
      <c r="M244" s="244">
        <f>L244*D244*VPI!Q244</f>
        <v>0</v>
      </c>
    </row>
    <row r="245" spans="1:13" x14ac:dyDescent="0.25">
      <c r="A245" s="130">
        <f>Données!A245</f>
        <v>5828</v>
      </c>
      <c r="B245" s="27" t="str">
        <f>Données!B245</f>
        <v>Treytorrens (Payerne)</v>
      </c>
      <c r="C245" s="285">
        <f>VPI!R245</f>
        <v>2724.637709611452</v>
      </c>
      <c r="D245" s="27">
        <f>Données!Z245</f>
        <v>109</v>
      </c>
      <c r="E245" s="88">
        <f t="shared" si="29"/>
        <v>24.996676234967449</v>
      </c>
      <c r="F245" s="145">
        <f t="shared" si="30"/>
        <v>0.50539862924206036</v>
      </c>
      <c r="G245" s="376">
        <f t="shared" si="31"/>
        <v>0</v>
      </c>
      <c r="H245" s="376">
        <f t="shared" si="32"/>
        <v>0</v>
      </c>
      <c r="I245" s="376">
        <f t="shared" si="33"/>
        <v>0</v>
      </c>
      <c r="J245" s="376">
        <f t="shared" si="34"/>
        <v>0</v>
      </c>
      <c r="K245" s="376">
        <f t="shared" si="35"/>
        <v>0</v>
      </c>
      <c r="L245" s="378">
        <f t="shared" si="36"/>
        <v>0</v>
      </c>
      <c r="M245" s="244">
        <f>L245*D245*VPI!Q245</f>
        <v>0</v>
      </c>
    </row>
    <row r="246" spans="1:13" x14ac:dyDescent="0.25">
      <c r="A246" s="130">
        <f>Données!A246</f>
        <v>5830</v>
      </c>
      <c r="B246" s="27" t="str">
        <f>Données!B246</f>
        <v>Villarzel</v>
      </c>
      <c r="C246" s="285">
        <f>VPI!R246</f>
        <v>12684.394533333332</v>
      </c>
      <c r="D246" s="27">
        <f>Données!Z246</f>
        <v>525</v>
      </c>
      <c r="E246" s="88">
        <f t="shared" si="29"/>
        <v>24.16075149206349</v>
      </c>
      <c r="F246" s="145">
        <f t="shared" si="30"/>
        <v>0.48849737344141153</v>
      </c>
      <c r="G246" s="376">
        <f t="shared" si="31"/>
        <v>0</v>
      </c>
      <c r="H246" s="376">
        <f t="shared" si="32"/>
        <v>0</v>
      </c>
      <c r="I246" s="376">
        <f t="shared" si="33"/>
        <v>0</v>
      </c>
      <c r="J246" s="376">
        <f t="shared" si="34"/>
        <v>0</v>
      </c>
      <c r="K246" s="376">
        <f t="shared" si="35"/>
        <v>0</v>
      </c>
      <c r="L246" s="378">
        <f t="shared" si="36"/>
        <v>0</v>
      </c>
      <c r="M246" s="244">
        <f>L246*D246*VPI!Q246</f>
        <v>0</v>
      </c>
    </row>
    <row r="247" spans="1:13" x14ac:dyDescent="0.25">
      <c r="A247" s="130">
        <f>Données!A247</f>
        <v>5831</v>
      </c>
      <c r="B247" s="27" t="str">
        <f>Données!B247</f>
        <v>Valbroye</v>
      </c>
      <c r="C247" s="285">
        <f>VPI!R247</f>
        <v>90997.957399527193</v>
      </c>
      <c r="D247" s="27">
        <f>Données!Z247</f>
        <v>3406</v>
      </c>
      <c r="E247" s="88">
        <f t="shared" si="29"/>
        <v>26.716957545369112</v>
      </c>
      <c r="F247" s="145">
        <f t="shared" si="30"/>
        <v>0.54018036614240494</v>
      </c>
      <c r="G247" s="376">
        <f t="shared" si="31"/>
        <v>0</v>
      </c>
      <c r="H247" s="376">
        <f t="shared" si="32"/>
        <v>0</v>
      </c>
      <c r="I247" s="376">
        <f t="shared" si="33"/>
        <v>0</v>
      </c>
      <c r="J247" s="376">
        <f t="shared" si="34"/>
        <v>0</v>
      </c>
      <c r="K247" s="376">
        <f t="shared" si="35"/>
        <v>0</v>
      </c>
      <c r="L247" s="378">
        <f t="shared" si="36"/>
        <v>0</v>
      </c>
      <c r="M247" s="244">
        <f>L247*D247*VPI!Q247</f>
        <v>0</v>
      </c>
    </row>
    <row r="248" spans="1:13" x14ac:dyDescent="0.25">
      <c r="A248" s="130">
        <f>Données!A248</f>
        <v>5841</v>
      </c>
      <c r="B248" s="27" t="str">
        <f>Données!B248</f>
        <v>Château-d'Oex</v>
      </c>
      <c r="C248" s="285">
        <f>VPI!R248</f>
        <v>131854.94253578733</v>
      </c>
      <c r="D248" s="27">
        <f>Données!Z248</f>
        <v>3625</v>
      </c>
      <c r="E248" s="88">
        <f t="shared" si="29"/>
        <v>36.373777251251674</v>
      </c>
      <c r="F248" s="145">
        <f t="shared" si="30"/>
        <v>0.73542806212861966</v>
      </c>
      <c r="G248" s="376">
        <f t="shared" si="31"/>
        <v>0</v>
      </c>
      <c r="H248" s="376">
        <f t="shared" si="32"/>
        <v>0</v>
      </c>
      <c r="I248" s="376">
        <f t="shared" si="33"/>
        <v>0</v>
      </c>
      <c r="J248" s="376">
        <f t="shared" si="34"/>
        <v>0</v>
      </c>
      <c r="K248" s="376">
        <f t="shared" si="35"/>
        <v>0</v>
      </c>
      <c r="L248" s="378">
        <f t="shared" si="36"/>
        <v>0</v>
      </c>
      <c r="M248" s="244">
        <f>L248*D248*VPI!Q248</f>
        <v>0</v>
      </c>
    </row>
    <row r="249" spans="1:13" x14ac:dyDescent="0.25">
      <c r="A249" s="130">
        <f>Données!A249</f>
        <v>5842</v>
      </c>
      <c r="B249" s="27" t="str">
        <f>Données!B249</f>
        <v>Rossinière</v>
      </c>
      <c r="C249" s="285">
        <f>VPI!R249</f>
        <v>19719.391028806585</v>
      </c>
      <c r="D249" s="27">
        <f>Données!Z249</f>
        <v>529</v>
      </c>
      <c r="E249" s="88">
        <f t="shared" si="29"/>
        <v>37.276731623452903</v>
      </c>
      <c r="F249" s="145">
        <f t="shared" si="30"/>
        <v>0.75368456542085516</v>
      </c>
      <c r="G249" s="376">
        <f t="shared" si="31"/>
        <v>0</v>
      </c>
      <c r="H249" s="376">
        <f t="shared" si="32"/>
        <v>0</v>
      </c>
      <c r="I249" s="376">
        <f t="shared" si="33"/>
        <v>0</v>
      </c>
      <c r="J249" s="376">
        <f t="shared" si="34"/>
        <v>0</v>
      </c>
      <c r="K249" s="376">
        <f t="shared" si="35"/>
        <v>0</v>
      </c>
      <c r="L249" s="378">
        <f t="shared" si="36"/>
        <v>0</v>
      </c>
      <c r="M249" s="244">
        <f>L249*D249*VPI!Q249</f>
        <v>0</v>
      </c>
    </row>
    <row r="250" spans="1:13" x14ac:dyDescent="0.25">
      <c r="A250" s="130">
        <f>Données!A250</f>
        <v>5843</v>
      </c>
      <c r="B250" s="27" t="str">
        <f>Données!B250</f>
        <v>Rougemont</v>
      </c>
      <c r="C250" s="285">
        <f>VPI!R250</f>
        <v>88722.552616033761</v>
      </c>
      <c r="D250" s="27">
        <f>Données!Z250</f>
        <v>796</v>
      </c>
      <c r="E250" s="88">
        <f t="shared" si="29"/>
        <v>111.46049323622331</v>
      </c>
      <c r="F250" s="145">
        <f t="shared" si="30"/>
        <v>2.2535788345103778</v>
      </c>
      <c r="G250" s="376">
        <f t="shared" si="31"/>
        <v>62.001165907903022</v>
      </c>
      <c r="H250" s="376">
        <f t="shared" si="32"/>
        <v>52.109300442238968</v>
      </c>
      <c r="I250" s="376">
        <f t="shared" si="33"/>
        <v>37.271502243742873</v>
      </c>
      <c r="J250" s="376">
        <f t="shared" si="34"/>
        <v>12.541838579582731</v>
      </c>
      <c r="K250" s="376">
        <f t="shared" si="35"/>
        <v>0</v>
      </c>
      <c r="L250" s="378">
        <f t="shared" si="36"/>
        <v>22.592497308137062</v>
      </c>
      <c r="M250" s="244">
        <f>L250*D250*VPI!Q250</f>
        <v>1420706.6007248911</v>
      </c>
    </row>
    <row r="251" spans="1:13" x14ac:dyDescent="0.25">
      <c r="A251" s="130">
        <f>Données!A251</f>
        <v>5851</v>
      </c>
      <c r="B251" s="27" t="str">
        <f>Données!B251</f>
        <v>Allaman</v>
      </c>
      <c r="C251" s="285">
        <f>VPI!R251</f>
        <v>22070.113025641029</v>
      </c>
      <c r="D251" s="27">
        <f>Données!Z251</f>
        <v>431</v>
      </c>
      <c r="E251" s="88">
        <f t="shared" si="29"/>
        <v>51.206758760188002</v>
      </c>
      <c r="F251" s="145">
        <f t="shared" si="30"/>
        <v>1.035330675248936</v>
      </c>
      <c r="G251" s="376">
        <f t="shared" si="31"/>
        <v>1.7474314318677102</v>
      </c>
      <c r="H251" s="376">
        <f t="shared" si="32"/>
        <v>0</v>
      </c>
      <c r="I251" s="376">
        <f t="shared" si="33"/>
        <v>0</v>
      </c>
      <c r="J251" s="376">
        <f t="shared" si="34"/>
        <v>0</v>
      </c>
      <c r="K251" s="376">
        <f t="shared" si="35"/>
        <v>0</v>
      </c>
      <c r="L251" s="378">
        <f t="shared" si="36"/>
        <v>0.34948628637354207</v>
      </c>
      <c r="M251" s="244">
        <f>L251*D251*VPI!Q251</f>
        <v>9790.8583127547809</v>
      </c>
    </row>
    <row r="252" spans="1:13" x14ac:dyDescent="0.25">
      <c r="A252" s="130">
        <f>Données!A252</f>
        <v>5852</v>
      </c>
      <c r="B252" s="27" t="str">
        <f>Données!B252</f>
        <v>Bursinel</v>
      </c>
      <c r="C252" s="285">
        <f>VPI!R252</f>
        <v>36549.131935483871</v>
      </c>
      <c r="D252" s="27">
        <f>Données!Z252</f>
        <v>521</v>
      </c>
      <c r="E252" s="88">
        <f t="shared" si="29"/>
        <v>70.151884713020863</v>
      </c>
      <c r="F252" s="145">
        <f t="shared" si="30"/>
        <v>1.4183752287478455</v>
      </c>
      <c r="G252" s="376">
        <f t="shared" si="31"/>
        <v>20.692557384700571</v>
      </c>
      <c r="H252" s="376">
        <f t="shared" si="32"/>
        <v>10.800691919036517</v>
      </c>
      <c r="I252" s="376">
        <f t="shared" si="33"/>
        <v>0</v>
      </c>
      <c r="J252" s="376">
        <f t="shared" si="34"/>
        <v>0</v>
      </c>
      <c r="K252" s="376">
        <f t="shared" si="35"/>
        <v>0</v>
      </c>
      <c r="L252" s="378">
        <f t="shared" si="36"/>
        <v>5.2185806688437655</v>
      </c>
      <c r="M252" s="244">
        <f>L252*D252*VPI!Q252</f>
        <v>168570.59276499131</v>
      </c>
    </row>
    <row r="253" spans="1:13" x14ac:dyDescent="0.25">
      <c r="A253" s="130">
        <f>Données!A253</f>
        <v>5853</v>
      </c>
      <c r="B253" s="27" t="str">
        <f>Données!B253</f>
        <v>Bursins</v>
      </c>
      <c r="C253" s="285">
        <f>VPI!R253</f>
        <v>43710.813239436618</v>
      </c>
      <c r="D253" s="27">
        <f>Données!Z253</f>
        <v>796</v>
      </c>
      <c r="E253" s="88">
        <f t="shared" si="29"/>
        <v>54.91308195909123</v>
      </c>
      <c r="F253" s="145">
        <f t="shared" si="30"/>
        <v>1.1102674647103041</v>
      </c>
      <c r="G253" s="376">
        <f t="shared" si="31"/>
        <v>5.4537546307709377</v>
      </c>
      <c r="H253" s="376">
        <f t="shared" si="32"/>
        <v>0</v>
      </c>
      <c r="I253" s="376">
        <f t="shared" si="33"/>
        <v>0</v>
      </c>
      <c r="J253" s="376">
        <f t="shared" si="34"/>
        <v>0</v>
      </c>
      <c r="K253" s="376">
        <f t="shared" si="35"/>
        <v>0</v>
      </c>
      <c r="L253" s="378">
        <f t="shared" si="36"/>
        <v>1.0907509261541877</v>
      </c>
      <c r="M253" s="244">
        <f>L253*D253*VPI!Q253</f>
        <v>61644.879342530068</v>
      </c>
    </row>
    <row r="254" spans="1:13" x14ac:dyDescent="0.25">
      <c r="A254" s="130">
        <f>Données!A254</f>
        <v>5854</v>
      </c>
      <c r="B254" s="27" t="str">
        <f>Données!B254</f>
        <v>Burtigny</v>
      </c>
      <c r="C254" s="285">
        <f>VPI!R254</f>
        <v>16984.704925690025</v>
      </c>
      <c r="D254" s="27">
        <f>Données!Z254</f>
        <v>412</v>
      </c>
      <c r="E254" s="88">
        <f t="shared" si="29"/>
        <v>41.225011955558315</v>
      </c>
      <c r="F254" s="145">
        <f t="shared" si="30"/>
        <v>0.83351339742044916</v>
      </c>
      <c r="G254" s="376">
        <f t="shared" si="31"/>
        <v>0</v>
      </c>
      <c r="H254" s="376">
        <f t="shared" si="32"/>
        <v>0</v>
      </c>
      <c r="I254" s="376">
        <f t="shared" si="33"/>
        <v>0</v>
      </c>
      <c r="J254" s="376">
        <f t="shared" si="34"/>
        <v>0</v>
      </c>
      <c r="K254" s="376">
        <f t="shared" si="35"/>
        <v>0</v>
      </c>
      <c r="L254" s="378">
        <f t="shared" si="36"/>
        <v>0</v>
      </c>
      <c r="M254" s="244">
        <f>L254*D254*VPI!Q254</f>
        <v>0</v>
      </c>
    </row>
    <row r="255" spans="1:13" x14ac:dyDescent="0.25">
      <c r="A255" s="130">
        <f>Données!A255</f>
        <v>5855</v>
      </c>
      <c r="B255" s="27" t="str">
        <f>Données!B255</f>
        <v>Dully</v>
      </c>
      <c r="C255" s="285">
        <f>VPI!R255</f>
        <v>80639.677735849051</v>
      </c>
      <c r="D255" s="27">
        <f>Données!Z255</f>
        <v>632</v>
      </c>
      <c r="E255" s="88">
        <f t="shared" si="29"/>
        <v>127.59442679722952</v>
      </c>
      <c r="F255" s="145">
        <f t="shared" si="30"/>
        <v>2.5797849200461984</v>
      </c>
      <c r="G255" s="376">
        <f t="shared" si="31"/>
        <v>78.135099468909232</v>
      </c>
      <c r="H255" s="376">
        <f t="shared" si="32"/>
        <v>68.243234003245163</v>
      </c>
      <c r="I255" s="376">
        <f t="shared" si="33"/>
        <v>53.405435804749075</v>
      </c>
      <c r="J255" s="376">
        <f t="shared" si="34"/>
        <v>28.675772140588933</v>
      </c>
      <c r="K255" s="376">
        <f t="shared" si="35"/>
        <v>0</v>
      </c>
      <c r="L255" s="378">
        <f t="shared" si="36"/>
        <v>30.659464088640163</v>
      </c>
      <c r="M255" s="244">
        <f>L255*D255*VPI!Q255</f>
        <v>1026969.409113091</v>
      </c>
    </row>
    <row r="256" spans="1:13" x14ac:dyDescent="0.25">
      <c r="A256" s="130">
        <f>Données!A256</f>
        <v>5856</v>
      </c>
      <c r="B256" s="27" t="str">
        <f>Données!B256</f>
        <v>Essertines-sur-Rolle</v>
      </c>
      <c r="C256" s="285">
        <f>VPI!R256</f>
        <v>40086.564661654142</v>
      </c>
      <c r="D256" s="27">
        <f>Données!Z256</f>
        <v>768</v>
      </c>
      <c r="E256" s="88">
        <f t="shared" si="29"/>
        <v>52.196047736528833</v>
      </c>
      <c r="F256" s="145">
        <f t="shared" si="30"/>
        <v>1.055332746238979</v>
      </c>
      <c r="G256" s="376">
        <f t="shared" si="31"/>
        <v>2.7367204082085408</v>
      </c>
      <c r="H256" s="376">
        <f t="shared" si="32"/>
        <v>0</v>
      </c>
      <c r="I256" s="376">
        <f t="shared" si="33"/>
        <v>0</v>
      </c>
      <c r="J256" s="376">
        <f t="shared" si="34"/>
        <v>0</v>
      </c>
      <c r="K256" s="376">
        <f t="shared" si="35"/>
        <v>0</v>
      </c>
      <c r="L256" s="378">
        <f t="shared" si="36"/>
        <v>0.54734408164170822</v>
      </c>
      <c r="M256" s="244">
        <f>L256*D256*VPI!Q256</f>
        <v>27953.956937605322</v>
      </c>
    </row>
    <row r="257" spans="1:13" x14ac:dyDescent="0.25">
      <c r="A257" s="130">
        <f>Données!A257</f>
        <v>5857</v>
      </c>
      <c r="B257" s="27" t="str">
        <f>Données!B257</f>
        <v>Gilly</v>
      </c>
      <c r="C257" s="285">
        <f>VPI!R257</f>
        <v>92966.463565891449</v>
      </c>
      <c r="D257" s="27">
        <f>Données!Z257</f>
        <v>1475</v>
      </c>
      <c r="E257" s="88">
        <f t="shared" si="29"/>
        <v>63.028110892129796</v>
      </c>
      <c r="F257" s="145">
        <f t="shared" si="30"/>
        <v>1.2743422585134927</v>
      </c>
      <c r="G257" s="376">
        <f t="shared" si="31"/>
        <v>13.568783563809504</v>
      </c>
      <c r="H257" s="376">
        <f t="shared" si="32"/>
        <v>3.6769180981454497</v>
      </c>
      <c r="I257" s="376">
        <f t="shared" si="33"/>
        <v>0</v>
      </c>
      <c r="J257" s="376">
        <f t="shared" si="34"/>
        <v>0</v>
      </c>
      <c r="K257" s="376">
        <f t="shared" si="35"/>
        <v>0</v>
      </c>
      <c r="L257" s="378">
        <f t="shared" si="36"/>
        <v>3.0814485225764461</v>
      </c>
      <c r="M257" s="244">
        <f>L257*D257*VPI!Q257</f>
        <v>293161.3088166166</v>
      </c>
    </row>
    <row r="258" spans="1:13" x14ac:dyDescent="0.25">
      <c r="A258" s="130">
        <f>Données!A258</f>
        <v>5858</v>
      </c>
      <c r="B258" s="27" t="str">
        <f>Données!B258</f>
        <v>Luins</v>
      </c>
      <c r="C258" s="285">
        <f>VPI!R258</f>
        <v>34472.230883190881</v>
      </c>
      <c r="D258" s="27">
        <f>Données!Z258</f>
        <v>629</v>
      </c>
      <c r="E258" s="88">
        <f t="shared" si="29"/>
        <v>54.804818574230339</v>
      </c>
      <c r="F258" s="145">
        <f t="shared" si="30"/>
        <v>1.1080785270374922</v>
      </c>
      <c r="G258" s="376">
        <f t="shared" si="31"/>
        <v>5.345491245910047</v>
      </c>
      <c r="H258" s="376">
        <f t="shared" si="32"/>
        <v>0</v>
      </c>
      <c r="I258" s="376">
        <f t="shared" si="33"/>
        <v>0</v>
      </c>
      <c r="J258" s="376">
        <f t="shared" si="34"/>
        <v>0</v>
      </c>
      <c r="K258" s="376">
        <f t="shared" si="35"/>
        <v>0</v>
      </c>
      <c r="L258" s="378">
        <f t="shared" si="36"/>
        <v>1.0690982491820094</v>
      </c>
      <c r="M258" s="244">
        <f>L258*D258*VPI!Q258</f>
        <v>39339.073726025803</v>
      </c>
    </row>
    <row r="259" spans="1:13" x14ac:dyDescent="0.25">
      <c r="A259" s="130">
        <f>Données!A259</f>
        <v>5859</v>
      </c>
      <c r="B259" s="27" t="str">
        <f>Données!B259</f>
        <v>Mont-sur-Rolle</v>
      </c>
      <c r="C259" s="285">
        <f>VPI!R259</f>
        <v>184009.52141732289</v>
      </c>
      <c r="D259" s="27">
        <f>Données!Z259</f>
        <v>2784</v>
      </c>
      <c r="E259" s="88">
        <f t="shared" si="29"/>
        <v>66.095374072314257</v>
      </c>
      <c r="F259" s="145">
        <f t="shared" si="30"/>
        <v>1.3363581278322036</v>
      </c>
      <c r="G259" s="376">
        <f t="shared" si="31"/>
        <v>16.636046743993965</v>
      </c>
      <c r="H259" s="376">
        <f t="shared" si="32"/>
        <v>6.7441812783299113</v>
      </c>
      <c r="I259" s="376">
        <f t="shared" si="33"/>
        <v>0</v>
      </c>
      <c r="J259" s="376">
        <f t="shared" si="34"/>
        <v>0</v>
      </c>
      <c r="K259" s="376">
        <f t="shared" si="35"/>
        <v>0</v>
      </c>
      <c r="L259" s="378">
        <f t="shared" si="36"/>
        <v>4.0016274766317839</v>
      </c>
      <c r="M259" s="244">
        <f>L259*D259*VPI!Q259</f>
        <v>707423.71182887326</v>
      </c>
    </row>
    <row r="260" spans="1:13" x14ac:dyDescent="0.25">
      <c r="A260" s="130">
        <f>Données!A260</f>
        <v>5860</v>
      </c>
      <c r="B260" s="27" t="str">
        <f>Données!B260</f>
        <v>Perroy</v>
      </c>
      <c r="C260" s="285">
        <f>VPI!R260</f>
        <v>115014.47146614069</v>
      </c>
      <c r="D260" s="27">
        <f>Données!Z260</f>
        <v>1600</v>
      </c>
      <c r="E260" s="88">
        <f t="shared" si="29"/>
        <v>71.884044666337928</v>
      </c>
      <c r="F260" s="145">
        <f t="shared" si="30"/>
        <v>1.4533971355727942</v>
      </c>
      <c r="G260" s="376">
        <f t="shared" si="31"/>
        <v>22.424717338017636</v>
      </c>
      <c r="H260" s="376">
        <f t="shared" si="32"/>
        <v>12.532851872353582</v>
      </c>
      <c r="I260" s="376">
        <f t="shared" si="33"/>
        <v>0</v>
      </c>
      <c r="J260" s="376">
        <f t="shared" si="34"/>
        <v>0</v>
      </c>
      <c r="K260" s="376">
        <f t="shared" si="35"/>
        <v>0</v>
      </c>
      <c r="L260" s="378">
        <f t="shared" si="36"/>
        <v>5.7382286548388857</v>
      </c>
      <c r="M260" s="244">
        <f>L260*D260*VPI!Q260</f>
        <v>537098.20209291973</v>
      </c>
    </row>
    <row r="261" spans="1:13" x14ac:dyDescent="0.25">
      <c r="A261" s="130">
        <f>Données!A261</f>
        <v>5861</v>
      </c>
      <c r="B261" s="27" t="str">
        <f>Données!B261</f>
        <v>Rolle</v>
      </c>
      <c r="C261" s="285">
        <f>VPI!R261</f>
        <v>1018783.8085714284</v>
      </c>
      <c r="D261" s="27">
        <f>Données!Z261</f>
        <v>6453</v>
      </c>
      <c r="E261" s="88">
        <f t="shared" si="29"/>
        <v>157.87754665604035</v>
      </c>
      <c r="F261" s="145">
        <f t="shared" si="30"/>
        <v>3.192068214110952</v>
      </c>
      <c r="G261" s="376">
        <f t="shared" si="31"/>
        <v>108.41821932772007</v>
      </c>
      <c r="H261" s="376">
        <f t="shared" si="32"/>
        <v>98.526353862055998</v>
      </c>
      <c r="I261" s="376">
        <f t="shared" si="33"/>
        <v>83.68855566355991</v>
      </c>
      <c r="J261" s="376">
        <f t="shared" si="34"/>
        <v>58.958891999399768</v>
      </c>
      <c r="K261" s="376">
        <f t="shared" si="35"/>
        <v>9.4995646710794688</v>
      </c>
      <c r="L261" s="378">
        <f t="shared" si="36"/>
        <v>46.750980485153526</v>
      </c>
      <c r="M261" s="244">
        <f>L261*D261*VPI!Q261</f>
        <v>17950202.585706394</v>
      </c>
    </row>
    <row r="262" spans="1:13" x14ac:dyDescent="0.25">
      <c r="A262" s="130">
        <f>Données!A262</f>
        <v>5862</v>
      </c>
      <c r="B262" s="27" t="str">
        <f>Données!B262</f>
        <v>Tartegnin</v>
      </c>
      <c r="C262" s="285">
        <f>VPI!R262</f>
        <v>11391.445316455696</v>
      </c>
      <c r="D262" s="27">
        <f>Données!Z262</f>
        <v>250</v>
      </c>
      <c r="E262" s="88">
        <f t="shared" si="29"/>
        <v>45.565781265822785</v>
      </c>
      <c r="F262" s="145">
        <f t="shared" si="30"/>
        <v>0.92127782012376724</v>
      </c>
      <c r="G262" s="376">
        <f t="shared" si="31"/>
        <v>0</v>
      </c>
      <c r="H262" s="376">
        <f t="shared" si="32"/>
        <v>0</v>
      </c>
      <c r="I262" s="376">
        <f t="shared" si="33"/>
        <v>0</v>
      </c>
      <c r="J262" s="376">
        <f t="shared" si="34"/>
        <v>0</v>
      </c>
      <c r="K262" s="376">
        <f t="shared" si="35"/>
        <v>0</v>
      </c>
      <c r="L262" s="378">
        <f t="shared" si="36"/>
        <v>0</v>
      </c>
      <c r="M262" s="244">
        <f>L262*D262*VPI!Q262</f>
        <v>0</v>
      </c>
    </row>
    <row r="263" spans="1:13" x14ac:dyDescent="0.25">
      <c r="A263" s="130">
        <f>Données!A263</f>
        <v>5863</v>
      </c>
      <c r="B263" s="27" t="str">
        <f>Données!B263</f>
        <v>Vinzel</v>
      </c>
      <c r="C263" s="285">
        <f>VPI!R263</f>
        <v>22595.272461538461</v>
      </c>
      <c r="D263" s="27">
        <f>Données!Z263</f>
        <v>381</v>
      </c>
      <c r="E263" s="88">
        <f t="shared" ref="E263:E305" si="37">C263/D263</f>
        <v>59.305177064405413</v>
      </c>
      <c r="F263" s="145">
        <f t="shared" ref="F263:F305" si="38">E263/$E$306</f>
        <v>1.1990696248399524</v>
      </c>
      <c r="G263" s="376">
        <f t="shared" ref="G263:G305" si="39">IF(E263-$G$3&lt;0,0,E263-$G$3)</f>
        <v>9.8458497360851212</v>
      </c>
      <c r="H263" s="376">
        <f t="shared" ref="H263:H305" si="40">IF(E263-$H$3&lt;0,0,E263-$H$3)</f>
        <v>0</v>
      </c>
      <c r="I263" s="376">
        <f t="shared" ref="I263:I305" si="41">IF(E263-$I$3&lt;0,0,E263-$I$3)</f>
        <v>0</v>
      </c>
      <c r="J263" s="376">
        <f t="shared" ref="J263:J305" si="42">IF(E263-$J$3&lt;0,0,E263-$J$3)</f>
        <v>0</v>
      </c>
      <c r="K263" s="376">
        <f t="shared" ref="K263:K305" si="43">IF(E263-$K$3&lt;0,0,E263-$K$3)</f>
        <v>0</v>
      </c>
      <c r="L263" s="378">
        <f t="shared" ref="L263:L305" si="44">(G263-H263)*$G$4+(H263-I263)*$H$4+(I263-J263)*$I$4+(J263-K263)*$J$4+(K263*$K$4)</f>
        <v>1.9691699472170243</v>
      </c>
      <c r="M263" s="244">
        <f>L263*D263*VPI!Q263</f>
        <v>48766.493742829603</v>
      </c>
    </row>
    <row r="264" spans="1:13" x14ac:dyDescent="0.25">
      <c r="A264" s="130">
        <f>Données!A264</f>
        <v>5871</v>
      </c>
      <c r="B264" s="27" t="str">
        <f>Données!B264</f>
        <v>L'Abbaye</v>
      </c>
      <c r="C264" s="285">
        <f>VPI!R264</f>
        <v>50382.809788942126</v>
      </c>
      <c r="D264" s="27">
        <f>Données!Z264</f>
        <v>1534</v>
      </c>
      <c r="E264" s="88">
        <f t="shared" si="37"/>
        <v>32.844074177928377</v>
      </c>
      <c r="F264" s="145">
        <f t="shared" si="38"/>
        <v>0.66406229021076757</v>
      </c>
      <c r="G264" s="376">
        <f t="shared" si="39"/>
        <v>0</v>
      </c>
      <c r="H264" s="376">
        <f t="shared" si="40"/>
        <v>0</v>
      </c>
      <c r="I264" s="376">
        <f t="shared" si="41"/>
        <v>0</v>
      </c>
      <c r="J264" s="376">
        <f t="shared" si="42"/>
        <v>0</v>
      </c>
      <c r="K264" s="376">
        <f t="shared" si="43"/>
        <v>0</v>
      </c>
      <c r="L264" s="378">
        <f t="shared" si="44"/>
        <v>0</v>
      </c>
      <c r="M264" s="244">
        <f>L264*D264*VPI!Q264</f>
        <v>0</v>
      </c>
    </row>
    <row r="265" spans="1:13" x14ac:dyDescent="0.25">
      <c r="A265" s="130">
        <f>Données!A265</f>
        <v>5872</v>
      </c>
      <c r="B265" s="27" t="str">
        <f>Données!B265</f>
        <v>Le Chenit</v>
      </c>
      <c r="C265" s="285">
        <f>VPI!R265</f>
        <v>317388.40065632458</v>
      </c>
      <c r="D265" s="27">
        <f>Données!Z265</f>
        <v>4712</v>
      </c>
      <c r="E265" s="88">
        <f t="shared" si="37"/>
        <v>67.357470427912688</v>
      </c>
      <c r="F265" s="145">
        <f t="shared" si="38"/>
        <v>1.3618759911711125</v>
      </c>
      <c r="G265" s="376">
        <f t="shared" si="39"/>
        <v>17.898143099592396</v>
      </c>
      <c r="H265" s="376">
        <f t="shared" si="40"/>
        <v>8.0062776339283417</v>
      </c>
      <c r="I265" s="376">
        <f t="shared" si="41"/>
        <v>0</v>
      </c>
      <c r="J265" s="376">
        <f t="shared" si="42"/>
        <v>0</v>
      </c>
      <c r="K265" s="376">
        <f t="shared" si="43"/>
        <v>0</v>
      </c>
      <c r="L265" s="378">
        <f t="shared" si="44"/>
        <v>4.3802563833113135</v>
      </c>
      <c r="M265" s="244">
        <f>L265*D265*VPI!Q265</f>
        <v>1383690.0519600415</v>
      </c>
    </row>
    <row r="266" spans="1:13" x14ac:dyDescent="0.25">
      <c r="A266" s="130">
        <f>Données!A266</f>
        <v>5873</v>
      </c>
      <c r="B266" s="27" t="str">
        <f>Données!B266</f>
        <v>Le Lieu</v>
      </c>
      <c r="C266" s="285">
        <f>VPI!R266</f>
        <v>32064.674107142859</v>
      </c>
      <c r="D266" s="27">
        <f>Données!Z266</f>
        <v>910</v>
      </c>
      <c r="E266" s="88">
        <f t="shared" si="37"/>
        <v>35.235905612244899</v>
      </c>
      <c r="F266" s="145">
        <f t="shared" si="38"/>
        <v>0.71242185277495484</v>
      </c>
      <c r="G266" s="376">
        <f t="shared" si="39"/>
        <v>0</v>
      </c>
      <c r="H266" s="376">
        <f t="shared" si="40"/>
        <v>0</v>
      </c>
      <c r="I266" s="376">
        <f t="shared" si="41"/>
        <v>0</v>
      </c>
      <c r="J266" s="376">
        <f t="shared" si="42"/>
        <v>0</v>
      </c>
      <c r="K266" s="376">
        <f t="shared" si="43"/>
        <v>0</v>
      </c>
      <c r="L266" s="378">
        <f t="shared" si="44"/>
        <v>0</v>
      </c>
      <c r="M266" s="244">
        <f>L266*D266*VPI!Q266</f>
        <v>0</v>
      </c>
    </row>
    <row r="267" spans="1:13" x14ac:dyDescent="0.25">
      <c r="A267" s="130">
        <f>Données!A267</f>
        <v>5882</v>
      </c>
      <c r="B267" s="27" t="str">
        <f>Données!B267</f>
        <v>Chardonne</v>
      </c>
      <c r="C267" s="285">
        <f>VPI!R267</f>
        <v>191105.75352941177</v>
      </c>
      <c r="D267" s="27">
        <f>Données!Z267</f>
        <v>3243</v>
      </c>
      <c r="E267" s="88">
        <f t="shared" si="37"/>
        <v>58.928693656926235</v>
      </c>
      <c r="F267" s="145">
        <f t="shared" si="38"/>
        <v>1.1914576448997478</v>
      </c>
      <c r="G267" s="376">
        <f t="shared" si="39"/>
        <v>9.4693663286059433</v>
      </c>
      <c r="H267" s="376">
        <f t="shared" si="40"/>
        <v>0</v>
      </c>
      <c r="I267" s="376">
        <f t="shared" si="41"/>
        <v>0</v>
      </c>
      <c r="J267" s="376">
        <f t="shared" si="42"/>
        <v>0</v>
      </c>
      <c r="K267" s="376">
        <f t="shared" si="43"/>
        <v>0</v>
      </c>
      <c r="L267" s="378">
        <f t="shared" si="44"/>
        <v>1.8938732657211887</v>
      </c>
      <c r="M267" s="244">
        <f>L267*D267*VPI!Q267</f>
        <v>417644.50804989942</v>
      </c>
    </row>
    <row r="268" spans="1:13" x14ac:dyDescent="0.25">
      <c r="A268" s="130">
        <f>Données!A268</f>
        <v>5883</v>
      </c>
      <c r="B268" s="27" t="str">
        <f>Données!B268</f>
        <v>Corseaux</v>
      </c>
      <c r="C268" s="285">
        <f>VPI!R268</f>
        <v>170880.8057777778</v>
      </c>
      <c r="D268" s="27">
        <f>Données!Z268</f>
        <v>2339</v>
      </c>
      <c r="E268" s="88">
        <f t="shared" si="37"/>
        <v>73.057206403496281</v>
      </c>
      <c r="F268" s="145">
        <f t="shared" si="38"/>
        <v>1.4771168624783115</v>
      </c>
      <c r="G268" s="376">
        <f t="shared" si="39"/>
        <v>23.597879075175989</v>
      </c>
      <c r="H268" s="376">
        <f t="shared" si="40"/>
        <v>13.706013609511935</v>
      </c>
      <c r="I268" s="376">
        <f t="shared" si="41"/>
        <v>0</v>
      </c>
      <c r="J268" s="376">
        <f t="shared" si="42"/>
        <v>0</v>
      </c>
      <c r="K268" s="376">
        <f t="shared" si="43"/>
        <v>0</v>
      </c>
      <c r="L268" s="378">
        <f t="shared" si="44"/>
        <v>6.0901771759863914</v>
      </c>
      <c r="M268" s="244">
        <f>L268*D268*VPI!Q268</f>
        <v>961532.39798767143</v>
      </c>
    </row>
    <row r="269" spans="1:13" x14ac:dyDescent="0.25">
      <c r="A269" s="130">
        <f>Données!A269</f>
        <v>5884</v>
      </c>
      <c r="B269" s="27" t="str">
        <f>Données!B269</f>
        <v>Corsier-sur-Vevey</v>
      </c>
      <c r="C269" s="285">
        <f>VPI!R269</f>
        <v>147926.61447028426</v>
      </c>
      <c r="D269" s="27">
        <f>Données!Z269</f>
        <v>3429</v>
      </c>
      <c r="E269" s="88">
        <f t="shared" si="37"/>
        <v>43.139870070074146</v>
      </c>
      <c r="F269" s="145">
        <f t="shared" si="38"/>
        <v>0.87222921136196607</v>
      </c>
      <c r="G269" s="376">
        <f t="shared" si="39"/>
        <v>0</v>
      </c>
      <c r="H269" s="376">
        <f t="shared" si="40"/>
        <v>0</v>
      </c>
      <c r="I269" s="376">
        <f t="shared" si="41"/>
        <v>0</v>
      </c>
      <c r="J269" s="376">
        <f t="shared" si="42"/>
        <v>0</v>
      </c>
      <c r="K269" s="376">
        <f t="shared" si="43"/>
        <v>0</v>
      </c>
      <c r="L269" s="378">
        <f t="shared" si="44"/>
        <v>0</v>
      </c>
      <c r="M269" s="244">
        <f>L269*D269*VPI!Q269</f>
        <v>0</v>
      </c>
    </row>
    <row r="270" spans="1:13" x14ac:dyDescent="0.25">
      <c r="A270" s="130">
        <f>Données!A270</f>
        <v>5885</v>
      </c>
      <c r="B270" s="27" t="str">
        <f>Données!B270</f>
        <v>Jongny</v>
      </c>
      <c r="C270" s="285">
        <f>VPI!R270</f>
        <v>97976.001630695435</v>
      </c>
      <c r="D270" s="27">
        <f>Données!Z270</f>
        <v>1918</v>
      </c>
      <c r="E270" s="88">
        <f t="shared" si="37"/>
        <v>51.082378326744234</v>
      </c>
      <c r="F270" s="145">
        <f t="shared" si="38"/>
        <v>1.0328158728817687</v>
      </c>
      <c r="G270" s="376">
        <f t="shared" si="39"/>
        <v>1.6230509984239418</v>
      </c>
      <c r="H270" s="376">
        <f t="shared" si="40"/>
        <v>0</v>
      </c>
      <c r="I270" s="376">
        <f t="shared" si="41"/>
        <v>0</v>
      </c>
      <c r="J270" s="376">
        <f t="shared" si="42"/>
        <v>0</v>
      </c>
      <c r="K270" s="376">
        <f t="shared" si="43"/>
        <v>0</v>
      </c>
      <c r="L270" s="378">
        <f t="shared" si="44"/>
        <v>0.32461019968478838</v>
      </c>
      <c r="M270" s="244">
        <f>L270*D270*VPI!Q270</f>
        <v>43270.86422818197</v>
      </c>
    </row>
    <row r="271" spans="1:13" x14ac:dyDescent="0.25">
      <c r="A271" s="130">
        <f>Données!A271</f>
        <v>5886</v>
      </c>
      <c r="B271" s="27" t="str">
        <f>Données!B271</f>
        <v>Montreux</v>
      </c>
      <c r="C271" s="285">
        <f>VPI!R271</f>
        <v>1169621.0326666667</v>
      </c>
      <c r="D271" s="27">
        <f>Données!Z271</f>
        <v>26837</v>
      </c>
      <c r="E271" s="88">
        <f t="shared" si="37"/>
        <v>43.58240610599794</v>
      </c>
      <c r="F271" s="145">
        <f t="shared" si="38"/>
        <v>0.88117668517183323</v>
      </c>
      <c r="G271" s="376">
        <f t="shared" si="39"/>
        <v>0</v>
      </c>
      <c r="H271" s="376">
        <f t="shared" si="40"/>
        <v>0</v>
      </c>
      <c r="I271" s="376">
        <f t="shared" si="41"/>
        <v>0</v>
      </c>
      <c r="J271" s="376">
        <f t="shared" si="42"/>
        <v>0</v>
      </c>
      <c r="K271" s="376">
        <f t="shared" si="43"/>
        <v>0</v>
      </c>
      <c r="L271" s="378">
        <f t="shared" si="44"/>
        <v>0</v>
      </c>
      <c r="M271" s="244">
        <f>L271*D271*VPI!Q271</f>
        <v>0</v>
      </c>
    </row>
    <row r="272" spans="1:13" x14ac:dyDescent="0.25">
      <c r="A272" s="130">
        <f>Données!A272</f>
        <v>5889</v>
      </c>
      <c r="B272" s="27" t="str">
        <f>Données!B272</f>
        <v>La Tour-de-Peilz</v>
      </c>
      <c r="C272" s="285">
        <f>VPI!R272</f>
        <v>779203.88627604162</v>
      </c>
      <c r="D272" s="27">
        <f>Données!Z272</f>
        <v>12605</v>
      </c>
      <c r="E272" s="88">
        <f t="shared" si="37"/>
        <v>61.817047701391637</v>
      </c>
      <c r="F272" s="145">
        <f t="shared" si="38"/>
        <v>1.2498562160184363</v>
      </c>
      <c r="G272" s="376">
        <f t="shared" si="39"/>
        <v>12.357720373071345</v>
      </c>
      <c r="H272" s="376">
        <f t="shared" si="40"/>
        <v>2.4658549074072909</v>
      </c>
      <c r="I272" s="376">
        <f t="shared" si="41"/>
        <v>0</v>
      </c>
      <c r="J272" s="376">
        <f t="shared" si="42"/>
        <v>0</v>
      </c>
      <c r="K272" s="376">
        <f t="shared" si="43"/>
        <v>0</v>
      </c>
      <c r="L272" s="378">
        <f t="shared" si="44"/>
        <v>2.7181295653549982</v>
      </c>
      <c r="M272" s="244">
        <f>L272*D272*VPI!Q272</f>
        <v>2192769.4829631839</v>
      </c>
    </row>
    <row r="273" spans="1:13" x14ac:dyDescent="0.25">
      <c r="A273" s="130">
        <f>Données!A273</f>
        <v>5890</v>
      </c>
      <c r="B273" s="27" t="str">
        <f>Données!B273</f>
        <v>Vevey</v>
      </c>
      <c r="C273" s="285">
        <f>VPI!R273</f>
        <v>1034326.0486800894</v>
      </c>
      <c r="D273" s="27">
        <f>Données!Z273</f>
        <v>20155</v>
      </c>
      <c r="E273" s="88">
        <f t="shared" si="37"/>
        <v>51.318583412557153</v>
      </c>
      <c r="F273" s="145">
        <f t="shared" si="38"/>
        <v>1.0375916168833994</v>
      </c>
      <c r="G273" s="376">
        <f t="shared" si="39"/>
        <v>1.8592560842368613</v>
      </c>
      <c r="H273" s="376">
        <f t="shared" si="40"/>
        <v>0</v>
      </c>
      <c r="I273" s="376">
        <f t="shared" si="41"/>
        <v>0</v>
      </c>
      <c r="J273" s="376">
        <f t="shared" si="42"/>
        <v>0</v>
      </c>
      <c r="K273" s="376">
        <f t="shared" si="43"/>
        <v>0</v>
      </c>
      <c r="L273" s="378">
        <f t="shared" si="44"/>
        <v>0.37185121684737227</v>
      </c>
      <c r="M273" s="244">
        <f>L273*D273*VPI!Q273</f>
        <v>558352.26502912969</v>
      </c>
    </row>
    <row r="274" spans="1:13" x14ac:dyDescent="0.25">
      <c r="A274" s="130">
        <f>Données!A274</f>
        <v>5891</v>
      </c>
      <c r="B274" s="27" t="str">
        <f>Données!B274</f>
        <v>Veytaux</v>
      </c>
      <c r="C274" s="285">
        <f>VPI!R274</f>
        <v>45647.230320987655</v>
      </c>
      <c r="D274" s="27">
        <f>Données!Z274</f>
        <v>997</v>
      </c>
      <c r="E274" s="88">
        <f t="shared" si="37"/>
        <v>45.784584073207277</v>
      </c>
      <c r="F274" s="145">
        <f t="shared" si="38"/>
        <v>0.92570171384015432</v>
      </c>
      <c r="G274" s="376">
        <f t="shared" si="39"/>
        <v>0</v>
      </c>
      <c r="H274" s="376">
        <f t="shared" si="40"/>
        <v>0</v>
      </c>
      <c r="I274" s="376">
        <f t="shared" si="41"/>
        <v>0</v>
      </c>
      <c r="J274" s="376">
        <f t="shared" si="42"/>
        <v>0</v>
      </c>
      <c r="K274" s="376">
        <f t="shared" si="43"/>
        <v>0</v>
      </c>
      <c r="L274" s="378">
        <f t="shared" si="44"/>
        <v>0</v>
      </c>
      <c r="M274" s="244">
        <f>L274*D274*VPI!Q274</f>
        <v>0</v>
      </c>
    </row>
    <row r="275" spans="1:13" x14ac:dyDescent="0.25">
      <c r="A275" s="130">
        <f>Données!A275</f>
        <v>5892</v>
      </c>
      <c r="B275" s="27" t="str">
        <f>Données!B275</f>
        <v>Blonay - Saint-Légier</v>
      </c>
      <c r="C275" s="285">
        <f>VPI!R275</f>
        <v>720090.13459854003</v>
      </c>
      <c r="D275" s="27">
        <f>Données!Z275</f>
        <v>12340</v>
      </c>
      <c r="E275" s="88">
        <f t="shared" si="37"/>
        <v>58.354143808633715</v>
      </c>
      <c r="F275" s="145">
        <f t="shared" si="38"/>
        <v>1.179841032233778</v>
      </c>
      <c r="G275" s="376">
        <f t="shared" si="39"/>
        <v>8.8948164803134233</v>
      </c>
      <c r="H275" s="376">
        <f t="shared" si="40"/>
        <v>0</v>
      </c>
      <c r="I275" s="376">
        <f t="shared" si="41"/>
        <v>0</v>
      </c>
      <c r="J275" s="376">
        <f t="shared" si="42"/>
        <v>0</v>
      </c>
      <c r="K275" s="376">
        <f t="shared" si="43"/>
        <v>0</v>
      </c>
      <c r="L275" s="378">
        <f t="shared" si="44"/>
        <v>1.7789632960626847</v>
      </c>
      <c r="M275" s="244">
        <f>L275*D275*VPI!Q275</f>
        <v>1503739.8845288267</v>
      </c>
    </row>
    <row r="276" spans="1:13" x14ac:dyDescent="0.25">
      <c r="A276" s="130">
        <f>Données!A276</f>
        <v>5902</v>
      </c>
      <c r="B276" s="27" t="str">
        <f>Données!B276</f>
        <v>Belmont-sur-Yverdon</v>
      </c>
      <c r="C276" s="285">
        <f>VPI!R276</f>
        <v>13428.751285714286</v>
      </c>
      <c r="D276" s="27">
        <f>Données!Z276</f>
        <v>443</v>
      </c>
      <c r="E276" s="88">
        <f t="shared" si="37"/>
        <v>30.313208319896809</v>
      </c>
      <c r="F276" s="145">
        <f t="shared" si="38"/>
        <v>0.61289164162448162</v>
      </c>
      <c r="G276" s="376">
        <f t="shared" si="39"/>
        <v>0</v>
      </c>
      <c r="H276" s="376">
        <f t="shared" si="40"/>
        <v>0</v>
      </c>
      <c r="I276" s="376">
        <f t="shared" si="41"/>
        <v>0</v>
      </c>
      <c r="J276" s="376">
        <f t="shared" si="42"/>
        <v>0</v>
      </c>
      <c r="K276" s="376">
        <f t="shared" si="43"/>
        <v>0</v>
      </c>
      <c r="L276" s="378">
        <f t="shared" si="44"/>
        <v>0</v>
      </c>
      <c r="M276" s="244">
        <f>L276*D276*VPI!Q276</f>
        <v>0</v>
      </c>
    </row>
    <row r="277" spans="1:13" x14ac:dyDescent="0.25">
      <c r="A277" s="130">
        <f>Données!A277</f>
        <v>5903</v>
      </c>
      <c r="B277" s="27" t="str">
        <f>Données!B277</f>
        <v>Bioley-Magnoux</v>
      </c>
      <c r="C277" s="285">
        <f>VPI!R277</f>
        <v>6278.7138690476195</v>
      </c>
      <c r="D277" s="27">
        <f>Données!Z277</f>
        <v>253</v>
      </c>
      <c r="E277" s="88">
        <f t="shared" si="37"/>
        <v>24.817050865800869</v>
      </c>
      <c r="F277" s="145">
        <f t="shared" si="38"/>
        <v>0.50176684978064157</v>
      </c>
      <c r="G277" s="376">
        <f t="shared" si="39"/>
        <v>0</v>
      </c>
      <c r="H277" s="376">
        <f t="shared" si="40"/>
        <v>0</v>
      </c>
      <c r="I277" s="376">
        <f t="shared" si="41"/>
        <v>0</v>
      </c>
      <c r="J277" s="376">
        <f t="shared" si="42"/>
        <v>0</v>
      </c>
      <c r="K277" s="376">
        <f t="shared" si="43"/>
        <v>0</v>
      </c>
      <c r="L277" s="378">
        <f t="shared" si="44"/>
        <v>0</v>
      </c>
      <c r="M277" s="244">
        <f>L277*D277*VPI!Q277</f>
        <v>0</v>
      </c>
    </row>
    <row r="278" spans="1:13" x14ac:dyDescent="0.25">
      <c r="A278" s="130">
        <f>Données!A278</f>
        <v>5904</v>
      </c>
      <c r="B278" s="27" t="str">
        <f>Données!B278</f>
        <v>Chamblon</v>
      </c>
      <c r="C278" s="285">
        <f>VPI!R278</f>
        <v>18164.59121212121</v>
      </c>
      <c r="D278" s="27">
        <f>Données!Z278</f>
        <v>561</v>
      </c>
      <c r="E278" s="88">
        <f t="shared" si="37"/>
        <v>32.378950467239235</v>
      </c>
      <c r="F278" s="145">
        <f t="shared" si="38"/>
        <v>0.65465812448886918</v>
      </c>
      <c r="G278" s="376">
        <f t="shared" si="39"/>
        <v>0</v>
      </c>
      <c r="H278" s="376">
        <f t="shared" si="40"/>
        <v>0</v>
      </c>
      <c r="I278" s="376">
        <f t="shared" si="41"/>
        <v>0</v>
      </c>
      <c r="J278" s="376">
        <f t="shared" si="42"/>
        <v>0</v>
      </c>
      <c r="K278" s="376">
        <f t="shared" si="43"/>
        <v>0</v>
      </c>
      <c r="L278" s="378">
        <f t="shared" si="44"/>
        <v>0</v>
      </c>
      <c r="M278" s="244">
        <f>L278*D278*VPI!Q278</f>
        <v>0</v>
      </c>
    </row>
    <row r="279" spans="1:13" x14ac:dyDescent="0.25">
      <c r="A279" s="130">
        <f>Données!A279</f>
        <v>5905</v>
      </c>
      <c r="B279" s="27" t="str">
        <f>Données!B279</f>
        <v>Champvent</v>
      </c>
      <c r="C279" s="285">
        <f>VPI!R279</f>
        <v>22259.587285714286</v>
      </c>
      <c r="D279" s="27">
        <f>Données!Z279</f>
        <v>731</v>
      </c>
      <c r="E279" s="88">
        <f t="shared" si="37"/>
        <v>30.450871799882744</v>
      </c>
      <c r="F279" s="145">
        <f t="shared" si="38"/>
        <v>0.61567500903811623</v>
      </c>
      <c r="G279" s="376">
        <f t="shared" si="39"/>
        <v>0</v>
      </c>
      <c r="H279" s="376">
        <f t="shared" si="40"/>
        <v>0</v>
      </c>
      <c r="I279" s="376">
        <f t="shared" si="41"/>
        <v>0</v>
      </c>
      <c r="J279" s="376">
        <f t="shared" si="42"/>
        <v>0</v>
      </c>
      <c r="K279" s="376">
        <f t="shared" si="43"/>
        <v>0</v>
      </c>
      <c r="L279" s="378">
        <f t="shared" si="44"/>
        <v>0</v>
      </c>
      <c r="M279" s="244">
        <f>L279*D279*VPI!Q279</f>
        <v>0</v>
      </c>
    </row>
    <row r="280" spans="1:13" x14ac:dyDescent="0.25">
      <c r="A280" s="130">
        <f>Données!A280</f>
        <v>5907</v>
      </c>
      <c r="B280" s="27" t="str">
        <f>Données!B280</f>
        <v>Chavannes-le-Chêne</v>
      </c>
      <c r="C280" s="285">
        <f>VPI!R280</f>
        <v>8797.9254666666657</v>
      </c>
      <c r="D280" s="27">
        <f>Données!Z280</f>
        <v>317</v>
      </c>
      <c r="E280" s="88">
        <f t="shared" si="37"/>
        <v>27.753708096740269</v>
      </c>
      <c r="F280" s="145">
        <f t="shared" si="38"/>
        <v>0.5611420453114121</v>
      </c>
      <c r="G280" s="376">
        <f t="shared" si="39"/>
        <v>0</v>
      </c>
      <c r="H280" s="376">
        <f t="shared" si="40"/>
        <v>0</v>
      </c>
      <c r="I280" s="376">
        <f t="shared" si="41"/>
        <v>0</v>
      </c>
      <c r="J280" s="376">
        <f t="shared" si="42"/>
        <v>0</v>
      </c>
      <c r="K280" s="376">
        <f t="shared" si="43"/>
        <v>0</v>
      </c>
      <c r="L280" s="378">
        <f t="shared" si="44"/>
        <v>0</v>
      </c>
      <c r="M280" s="244">
        <f>L280*D280*VPI!Q280</f>
        <v>0</v>
      </c>
    </row>
    <row r="281" spans="1:13" x14ac:dyDescent="0.25">
      <c r="A281" s="130">
        <f>Données!A281</f>
        <v>5908</v>
      </c>
      <c r="B281" s="27" t="str">
        <f>Données!B281</f>
        <v>Chêne-Pâquier</v>
      </c>
      <c r="C281" s="285">
        <f>VPI!R281</f>
        <v>5848.7089333333342</v>
      </c>
      <c r="D281" s="27">
        <f>Données!Z281</f>
        <v>175</v>
      </c>
      <c r="E281" s="88">
        <f t="shared" si="37"/>
        <v>33.421193904761907</v>
      </c>
      <c r="F281" s="145">
        <f t="shared" si="38"/>
        <v>0.67573086230845303</v>
      </c>
      <c r="G281" s="376">
        <f t="shared" si="39"/>
        <v>0</v>
      </c>
      <c r="H281" s="376">
        <f t="shared" si="40"/>
        <v>0</v>
      </c>
      <c r="I281" s="376">
        <f t="shared" si="41"/>
        <v>0</v>
      </c>
      <c r="J281" s="376">
        <f t="shared" si="42"/>
        <v>0</v>
      </c>
      <c r="K281" s="376">
        <f t="shared" si="43"/>
        <v>0</v>
      </c>
      <c r="L281" s="378">
        <f t="shared" si="44"/>
        <v>0</v>
      </c>
      <c r="M281" s="244">
        <f>L281*D281*VPI!Q281</f>
        <v>0</v>
      </c>
    </row>
    <row r="282" spans="1:13" x14ac:dyDescent="0.25">
      <c r="A282" s="130">
        <f>Données!A282</f>
        <v>5909</v>
      </c>
      <c r="B282" s="27" t="str">
        <f>Données!B282</f>
        <v>Cheseaux-Noréaz</v>
      </c>
      <c r="C282" s="285">
        <f>VPI!R282</f>
        <v>38683.585223880604</v>
      </c>
      <c r="D282" s="27">
        <f>Données!Z282</f>
        <v>739</v>
      </c>
      <c r="E282" s="88">
        <f t="shared" si="37"/>
        <v>52.345852806333703</v>
      </c>
      <c r="F282" s="145">
        <f t="shared" si="38"/>
        <v>1.058361600004224</v>
      </c>
      <c r="G282" s="376">
        <f t="shared" si="39"/>
        <v>2.8865254780134109</v>
      </c>
      <c r="H282" s="376">
        <f t="shared" si="40"/>
        <v>0</v>
      </c>
      <c r="I282" s="376">
        <f t="shared" si="41"/>
        <v>0</v>
      </c>
      <c r="J282" s="376">
        <f t="shared" si="42"/>
        <v>0</v>
      </c>
      <c r="K282" s="376">
        <f t="shared" si="43"/>
        <v>0</v>
      </c>
      <c r="L282" s="378">
        <f t="shared" si="44"/>
        <v>0.57730509560268217</v>
      </c>
      <c r="M282" s="244">
        <f>L282*D282*VPI!Q282</f>
        <v>28584.107198575603</v>
      </c>
    </row>
    <row r="283" spans="1:13" x14ac:dyDescent="0.25">
      <c r="A283" s="130">
        <f>Données!A283</f>
        <v>5910</v>
      </c>
      <c r="B283" s="27" t="str">
        <f>Données!B283</f>
        <v>Cronay</v>
      </c>
      <c r="C283" s="285">
        <f>VPI!R283</f>
        <v>12977.456233766234</v>
      </c>
      <c r="D283" s="27">
        <f>Données!Z283</f>
        <v>422</v>
      </c>
      <c r="E283" s="88">
        <f t="shared" si="37"/>
        <v>30.752265956792023</v>
      </c>
      <c r="F283" s="145">
        <f t="shared" si="38"/>
        <v>0.62176878696009574</v>
      </c>
      <c r="G283" s="376">
        <f t="shared" si="39"/>
        <v>0</v>
      </c>
      <c r="H283" s="376">
        <f t="shared" si="40"/>
        <v>0</v>
      </c>
      <c r="I283" s="376">
        <f t="shared" si="41"/>
        <v>0</v>
      </c>
      <c r="J283" s="376">
        <f t="shared" si="42"/>
        <v>0</v>
      </c>
      <c r="K283" s="376">
        <f t="shared" si="43"/>
        <v>0</v>
      </c>
      <c r="L283" s="378">
        <f t="shared" si="44"/>
        <v>0</v>
      </c>
      <c r="M283" s="244">
        <f>L283*D283*VPI!Q283</f>
        <v>0</v>
      </c>
    </row>
    <row r="284" spans="1:13" x14ac:dyDescent="0.25">
      <c r="A284" s="130">
        <f>Données!A284</f>
        <v>5911</v>
      </c>
      <c r="B284" s="27" t="str">
        <f>Données!B284</f>
        <v>Cuarny</v>
      </c>
      <c r="C284" s="285">
        <f>VPI!R284</f>
        <v>7819.0719480519483</v>
      </c>
      <c r="D284" s="27">
        <f>Données!Z284</f>
        <v>242</v>
      </c>
      <c r="E284" s="88">
        <f t="shared" si="37"/>
        <v>32.310214661371688</v>
      </c>
      <c r="F284" s="145">
        <f t="shared" si="38"/>
        <v>0.65326838043894986</v>
      </c>
      <c r="G284" s="376">
        <f t="shared" si="39"/>
        <v>0</v>
      </c>
      <c r="H284" s="376">
        <f t="shared" si="40"/>
        <v>0</v>
      </c>
      <c r="I284" s="376">
        <f t="shared" si="41"/>
        <v>0</v>
      </c>
      <c r="J284" s="376">
        <f t="shared" si="42"/>
        <v>0</v>
      </c>
      <c r="K284" s="376">
        <f t="shared" si="43"/>
        <v>0</v>
      </c>
      <c r="L284" s="378">
        <f t="shared" si="44"/>
        <v>0</v>
      </c>
      <c r="M284" s="244">
        <f>L284*D284*VPI!Q284</f>
        <v>0</v>
      </c>
    </row>
    <row r="285" spans="1:13" x14ac:dyDescent="0.25">
      <c r="A285" s="130">
        <f>Données!A285</f>
        <v>5912</v>
      </c>
      <c r="B285" s="27" t="str">
        <f>Données!B285</f>
        <v>Démoret</v>
      </c>
      <c r="C285" s="285">
        <f>VPI!R285</f>
        <v>3810.8220512820521</v>
      </c>
      <c r="D285" s="27">
        <f>Données!Z285</f>
        <v>160</v>
      </c>
      <c r="E285" s="88">
        <f t="shared" si="37"/>
        <v>23.817637820512825</v>
      </c>
      <c r="F285" s="145">
        <f t="shared" si="38"/>
        <v>0.48156008395356609</v>
      </c>
      <c r="G285" s="376">
        <f t="shared" si="39"/>
        <v>0</v>
      </c>
      <c r="H285" s="376">
        <f t="shared" si="40"/>
        <v>0</v>
      </c>
      <c r="I285" s="376">
        <f t="shared" si="41"/>
        <v>0</v>
      </c>
      <c r="J285" s="376">
        <f t="shared" si="42"/>
        <v>0</v>
      </c>
      <c r="K285" s="376">
        <f t="shared" si="43"/>
        <v>0</v>
      </c>
      <c r="L285" s="378">
        <f t="shared" si="44"/>
        <v>0</v>
      </c>
      <c r="M285" s="244">
        <f>L285*D285*VPI!Q285</f>
        <v>0</v>
      </c>
    </row>
    <row r="286" spans="1:13" x14ac:dyDescent="0.25">
      <c r="A286" s="130">
        <f>Données!A286</f>
        <v>5913</v>
      </c>
      <c r="B286" s="27" t="str">
        <f>Données!B286</f>
        <v>Donneloye</v>
      </c>
      <c r="C286" s="285">
        <f>VPI!R286</f>
        <v>21287.768493150685</v>
      </c>
      <c r="D286" s="27">
        <f>Données!Z286</f>
        <v>919</v>
      </c>
      <c r="E286" s="88">
        <f t="shared" si="37"/>
        <v>23.164057119859287</v>
      </c>
      <c r="F286" s="145">
        <f t="shared" si="38"/>
        <v>0.46834557546834249</v>
      </c>
      <c r="G286" s="376">
        <f t="shared" si="39"/>
        <v>0</v>
      </c>
      <c r="H286" s="376">
        <f t="shared" si="40"/>
        <v>0</v>
      </c>
      <c r="I286" s="376">
        <f t="shared" si="41"/>
        <v>0</v>
      </c>
      <c r="J286" s="376">
        <f t="shared" si="42"/>
        <v>0</v>
      </c>
      <c r="K286" s="376">
        <f t="shared" si="43"/>
        <v>0</v>
      </c>
      <c r="L286" s="378">
        <f t="shared" si="44"/>
        <v>0</v>
      </c>
      <c r="M286" s="244">
        <f>L286*D286*VPI!Q286</f>
        <v>0</v>
      </c>
    </row>
    <row r="287" spans="1:13" x14ac:dyDescent="0.25">
      <c r="A287" s="130">
        <f>Données!A287</f>
        <v>5914</v>
      </c>
      <c r="B287" s="27" t="str">
        <f>Données!B287</f>
        <v>Ependes</v>
      </c>
      <c r="C287" s="285">
        <f>VPI!R287</f>
        <v>11289.461224489796</v>
      </c>
      <c r="D287" s="27">
        <f>Données!Z287</f>
        <v>388</v>
      </c>
      <c r="E287" s="88">
        <f t="shared" si="37"/>
        <v>29.096549547654114</v>
      </c>
      <c r="F287" s="145">
        <f t="shared" si="38"/>
        <v>0.58829246411916924</v>
      </c>
      <c r="G287" s="376">
        <f t="shared" si="39"/>
        <v>0</v>
      </c>
      <c r="H287" s="376">
        <f t="shared" si="40"/>
        <v>0</v>
      </c>
      <c r="I287" s="376">
        <f t="shared" si="41"/>
        <v>0</v>
      </c>
      <c r="J287" s="376">
        <f t="shared" si="42"/>
        <v>0</v>
      </c>
      <c r="K287" s="376">
        <f t="shared" si="43"/>
        <v>0</v>
      </c>
      <c r="L287" s="378">
        <f t="shared" si="44"/>
        <v>0</v>
      </c>
      <c r="M287" s="244">
        <f>L287*D287*VPI!Q287</f>
        <v>0</v>
      </c>
    </row>
    <row r="288" spans="1:13" x14ac:dyDescent="0.25">
      <c r="A288" s="130">
        <f>Données!A288</f>
        <v>5919</v>
      </c>
      <c r="B288" s="27" t="str">
        <f>Données!B288</f>
        <v>Mathod</v>
      </c>
      <c r="C288" s="285">
        <f>VPI!R288</f>
        <v>20397.872569444444</v>
      </c>
      <c r="D288" s="27">
        <f>Données!Z288</f>
        <v>709</v>
      </c>
      <c r="E288" s="88">
        <f t="shared" si="37"/>
        <v>28.769918997805984</v>
      </c>
      <c r="F288" s="145">
        <f t="shared" si="38"/>
        <v>0.58168844082382809</v>
      </c>
      <c r="G288" s="376">
        <f t="shared" si="39"/>
        <v>0</v>
      </c>
      <c r="H288" s="376">
        <f t="shared" si="40"/>
        <v>0</v>
      </c>
      <c r="I288" s="376">
        <f t="shared" si="41"/>
        <v>0</v>
      </c>
      <c r="J288" s="376">
        <f t="shared" si="42"/>
        <v>0</v>
      </c>
      <c r="K288" s="376">
        <f t="shared" si="43"/>
        <v>0</v>
      </c>
      <c r="L288" s="378">
        <f t="shared" si="44"/>
        <v>0</v>
      </c>
      <c r="M288" s="244">
        <f>L288*D288*VPI!Q288</f>
        <v>0</v>
      </c>
    </row>
    <row r="289" spans="1:18" s="156" customFormat="1" x14ac:dyDescent="0.25">
      <c r="A289" s="130">
        <f>Données!A289</f>
        <v>5921</v>
      </c>
      <c r="B289" s="27" t="str">
        <f>Données!B289</f>
        <v>Molondin</v>
      </c>
      <c r="C289" s="285">
        <f>VPI!R289</f>
        <v>5454.6739506172835</v>
      </c>
      <c r="D289" s="27">
        <f>Données!Z289</f>
        <v>282</v>
      </c>
      <c r="E289" s="88">
        <f t="shared" si="37"/>
        <v>19.342815427720865</v>
      </c>
      <c r="F289" s="145">
        <f t="shared" si="38"/>
        <v>0.39108529113870932</v>
      </c>
      <c r="G289" s="376">
        <f t="shared" si="39"/>
        <v>0</v>
      </c>
      <c r="H289" s="376">
        <f t="shared" si="40"/>
        <v>0</v>
      </c>
      <c r="I289" s="376">
        <f t="shared" si="41"/>
        <v>0</v>
      </c>
      <c r="J289" s="376">
        <f t="shared" si="42"/>
        <v>0</v>
      </c>
      <c r="K289" s="376">
        <f t="shared" si="43"/>
        <v>0</v>
      </c>
      <c r="L289" s="378">
        <f t="shared" si="44"/>
        <v>0</v>
      </c>
      <c r="M289" s="244">
        <f>L289*D289*VPI!Q289</f>
        <v>0</v>
      </c>
      <c r="N289" s="172"/>
      <c r="O289" s="172"/>
      <c r="P289" s="172"/>
      <c r="Q289" s="172"/>
      <c r="R289" s="172"/>
    </row>
    <row r="290" spans="1:18" s="156" customFormat="1" x14ac:dyDescent="0.25">
      <c r="A290" s="130">
        <f>Données!A290</f>
        <v>5922</v>
      </c>
      <c r="B290" s="27" t="str">
        <f>Données!B290</f>
        <v>Montagny-près-Yverdon</v>
      </c>
      <c r="C290" s="285">
        <f>VPI!R290</f>
        <v>39914.464612403099</v>
      </c>
      <c r="D290" s="27">
        <f>Données!Z290</f>
        <v>777</v>
      </c>
      <c r="E290" s="88">
        <f t="shared" si="37"/>
        <v>51.369967326130116</v>
      </c>
      <c r="F290" s="145">
        <f t="shared" si="38"/>
        <v>1.0386305293868361</v>
      </c>
      <c r="G290" s="376">
        <f t="shared" si="39"/>
        <v>1.9106399978098239</v>
      </c>
      <c r="H290" s="376">
        <f t="shared" si="40"/>
        <v>0</v>
      </c>
      <c r="I290" s="376">
        <f t="shared" si="41"/>
        <v>0</v>
      </c>
      <c r="J290" s="376">
        <f t="shared" si="42"/>
        <v>0</v>
      </c>
      <c r="K290" s="376">
        <f t="shared" si="43"/>
        <v>0</v>
      </c>
      <c r="L290" s="378">
        <f t="shared" si="44"/>
        <v>0.3821279995619648</v>
      </c>
      <c r="M290" s="244">
        <f>L290*D290*VPI!Q290</f>
        <v>19150.917890047211</v>
      </c>
      <c r="N290" s="172"/>
      <c r="O290" s="172"/>
      <c r="P290" s="172"/>
      <c r="Q290" s="172"/>
      <c r="R290" s="172"/>
    </row>
    <row r="291" spans="1:18" s="156" customFormat="1" x14ac:dyDescent="0.25">
      <c r="A291" s="130">
        <f>Données!A291</f>
        <v>5923</v>
      </c>
      <c r="B291" s="27" t="str">
        <f>Données!B291</f>
        <v>Oppens</v>
      </c>
      <c r="C291" s="285">
        <f>VPI!R291</f>
        <v>6126.7193827160499</v>
      </c>
      <c r="D291" s="27">
        <f>Données!Z291</f>
        <v>202</v>
      </c>
      <c r="E291" s="88">
        <f t="shared" si="37"/>
        <v>30.330293973841833</v>
      </c>
      <c r="F291" s="145">
        <f t="shared" si="38"/>
        <v>0.61323709019541761</v>
      </c>
      <c r="G291" s="376">
        <f t="shared" si="39"/>
        <v>0</v>
      </c>
      <c r="H291" s="376">
        <f t="shared" si="40"/>
        <v>0</v>
      </c>
      <c r="I291" s="376">
        <f t="shared" si="41"/>
        <v>0</v>
      </c>
      <c r="J291" s="376">
        <f t="shared" si="42"/>
        <v>0</v>
      </c>
      <c r="K291" s="376">
        <f t="shared" si="43"/>
        <v>0</v>
      </c>
      <c r="L291" s="378">
        <f t="shared" si="44"/>
        <v>0</v>
      </c>
      <c r="M291" s="244">
        <f>L291*D291*VPI!Q291</f>
        <v>0</v>
      </c>
      <c r="N291" s="172"/>
      <c r="O291" s="172"/>
      <c r="P291" s="172"/>
      <c r="Q291" s="172"/>
      <c r="R291" s="172"/>
    </row>
    <row r="292" spans="1:18" s="156" customFormat="1" x14ac:dyDescent="0.25">
      <c r="A292" s="130">
        <f>Données!A292</f>
        <v>5924</v>
      </c>
      <c r="B292" s="27" t="str">
        <f>Données!B292</f>
        <v>Orges</v>
      </c>
      <c r="C292" s="285">
        <f>VPI!R292</f>
        <v>12401.843648648648</v>
      </c>
      <c r="D292" s="27">
        <f>Données!Z292</f>
        <v>416</v>
      </c>
      <c r="E292" s="88">
        <f t="shared" si="37"/>
        <v>29.812124155405403</v>
      </c>
      <c r="F292" s="145">
        <f t="shared" si="38"/>
        <v>0.60276040467568293</v>
      </c>
      <c r="G292" s="376">
        <f t="shared" si="39"/>
        <v>0</v>
      </c>
      <c r="H292" s="376">
        <f t="shared" si="40"/>
        <v>0</v>
      </c>
      <c r="I292" s="376">
        <f t="shared" si="41"/>
        <v>0</v>
      </c>
      <c r="J292" s="376">
        <f t="shared" si="42"/>
        <v>0</v>
      </c>
      <c r="K292" s="376">
        <f t="shared" si="43"/>
        <v>0</v>
      </c>
      <c r="L292" s="378">
        <f t="shared" si="44"/>
        <v>0</v>
      </c>
      <c r="M292" s="244">
        <f>L292*D292*VPI!Q292</f>
        <v>0</v>
      </c>
      <c r="N292" s="172"/>
      <c r="O292" s="172"/>
      <c r="P292" s="172"/>
      <c r="Q292" s="172"/>
      <c r="R292" s="172"/>
    </row>
    <row r="293" spans="1:18" s="156" customFormat="1" x14ac:dyDescent="0.25">
      <c r="A293" s="130">
        <f>Données!A293</f>
        <v>5925</v>
      </c>
      <c r="B293" s="27" t="str">
        <f>Données!B293</f>
        <v>Orzens</v>
      </c>
      <c r="C293" s="285">
        <f>VPI!R293</f>
        <v>5858.6327848101273</v>
      </c>
      <c r="D293" s="27">
        <f>Données!Z293</f>
        <v>214</v>
      </c>
      <c r="E293" s="88">
        <f t="shared" si="37"/>
        <v>27.376788714066016</v>
      </c>
      <c r="F293" s="145">
        <f t="shared" si="38"/>
        <v>0.55352125054863277</v>
      </c>
      <c r="G293" s="376">
        <f t="shared" si="39"/>
        <v>0</v>
      </c>
      <c r="H293" s="376">
        <f t="shared" si="40"/>
        <v>0</v>
      </c>
      <c r="I293" s="376">
        <f t="shared" si="41"/>
        <v>0</v>
      </c>
      <c r="J293" s="376">
        <f t="shared" si="42"/>
        <v>0</v>
      </c>
      <c r="K293" s="376">
        <f t="shared" si="43"/>
        <v>0</v>
      </c>
      <c r="L293" s="378">
        <f t="shared" si="44"/>
        <v>0</v>
      </c>
      <c r="M293" s="244">
        <f>L293*D293*VPI!Q293</f>
        <v>0</v>
      </c>
      <c r="N293" s="172"/>
      <c r="O293" s="172"/>
      <c r="P293" s="172"/>
      <c r="Q293" s="172"/>
      <c r="R293" s="172"/>
    </row>
    <row r="294" spans="1:18" s="156" customFormat="1" x14ac:dyDescent="0.25">
      <c r="A294" s="130">
        <f>Données!A294</f>
        <v>5926</v>
      </c>
      <c r="B294" s="27" t="str">
        <f>Données!B294</f>
        <v>Pomy</v>
      </c>
      <c r="C294" s="285">
        <f>VPI!R294</f>
        <v>27254.567042253519</v>
      </c>
      <c r="D294" s="27">
        <f>Données!Z294</f>
        <v>875</v>
      </c>
      <c r="E294" s="88">
        <f t="shared" si="37"/>
        <v>31.148076619718307</v>
      </c>
      <c r="F294" s="145">
        <f t="shared" si="38"/>
        <v>0.62977153758989746</v>
      </c>
      <c r="G294" s="376">
        <f t="shared" si="39"/>
        <v>0</v>
      </c>
      <c r="H294" s="376">
        <f t="shared" si="40"/>
        <v>0</v>
      </c>
      <c r="I294" s="376">
        <f t="shared" si="41"/>
        <v>0</v>
      </c>
      <c r="J294" s="376">
        <f t="shared" si="42"/>
        <v>0</v>
      </c>
      <c r="K294" s="376">
        <f t="shared" si="43"/>
        <v>0</v>
      </c>
      <c r="L294" s="378">
        <f t="shared" si="44"/>
        <v>0</v>
      </c>
      <c r="M294" s="244">
        <f>L294*D294*VPI!Q294</f>
        <v>0</v>
      </c>
      <c r="N294" s="172"/>
      <c r="O294" s="172"/>
      <c r="P294" s="172"/>
      <c r="Q294" s="172"/>
      <c r="R294" s="172"/>
    </row>
    <row r="295" spans="1:18" s="156" customFormat="1" x14ac:dyDescent="0.25">
      <c r="A295" s="130">
        <f>Données!A295</f>
        <v>5928</v>
      </c>
      <c r="B295" s="27" t="str">
        <f>Données!B295</f>
        <v>Rovray</v>
      </c>
      <c r="C295" s="285">
        <f>VPI!R295</f>
        <v>5477.1420547945208</v>
      </c>
      <c r="D295" s="27">
        <f>Données!Z295</f>
        <v>199</v>
      </c>
      <c r="E295" s="88">
        <f t="shared" si="37"/>
        <v>27.52332690851518</v>
      </c>
      <c r="F295" s="145">
        <f t="shared" si="38"/>
        <v>0.5564840525591902</v>
      </c>
      <c r="G295" s="376">
        <f t="shared" si="39"/>
        <v>0</v>
      </c>
      <c r="H295" s="376">
        <f t="shared" si="40"/>
        <v>0</v>
      </c>
      <c r="I295" s="376">
        <f t="shared" si="41"/>
        <v>0</v>
      </c>
      <c r="J295" s="376">
        <f t="shared" si="42"/>
        <v>0</v>
      </c>
      <c r="K295" s="376">
        <f t="shared" si="43"/>
        <v>0</v>
      </c>
      <c r="L295" s="378">
        <f t="shared" si="44"/>
        <v>0</v>
      </c>
      <c r="M295" s="244">
        <f>L295*D295*VPI!Q295</f>
        <v>0</v>
      </c>
      <c r="N295" s="172"/>
      <c r="O295" s="172"/>
      <c r="P295" s="172"/>
      <c r="Q295" s="172"/>
      <c r="R295" s="172"/>
    </row>
    <row r="296" spans="1:18" s="156" customFormat="1" x14ac:dyDescent="0.25">
      <c r="A296" s="130">
        <f>Données!A296</f>
        <v>5929</v>
      </c>
      <c r="B296" s="27" t="str">
        <f>Données!B296</f>
        <v>Suchy</v>
      </c>
      <c r="C296" s="285">
        <f>VPI!R296</f>
        <v>22233.767642857143</v>
      </c>
      <c r="D296" s="27">
        <f>Données!Z296</f>
        <v>665</v>
      </c>
      <c r="E296" s="88">
        <f t="shared" si="37"/>
        <v>33.434237056928033</v>
      </c>
      <c r="F296" s="145">
        <f t="shared" si="38"/>
        <v>0.67599457701851251</v>
      </c>
      <c r="G296" s="376">
        <f t="shared" si="39"/>
        <v>0</v>
      </c>
      <c r="H296" s="376">
        <f t="shared" si="40"/>
        <v>0</v>
      </c>
      <c r="I296" s="376">
        <f t="shared" si="41"/>
        <v>0</v>
      </c>
      <c r="J296" s="376">
        <f t="shared" si="42"/>
        <v>0</v>
      </c>
      <c r="K296" s="376">
        <f t="shared" si="43"/>
        <v>0</v>
      </c>
      <c r="L296" s="378">
        <f t="shared" si="44"/>
        <v>0</v>
      </c>
      <c r="M296" s="244">
        <f>L296*D296*VPI!Q296</f>
        <v>0</v>
      </c>
      <c r="N296" s="172"/>
      <c r="O296" s="172"/>
      <c r="P296" s="172"/>
      <c r="Q296" s="172"/>
      <c r="R296" s="172"/>
    </row>
    <row r="297" spans="1:18" x14ac:dyDescent="0.25">
      <c r="A297" s="130">
        <f>Données!A297</f>
        <v>5930</v>
      </c>
      <c r="B297" s="27" t="str">
        <f>Données!B297</f>
        <v>Suscévaz</v>
      </c>
      <c r="C297" s="285">
        <f>VPI!R297</f>
        <v>6011.7318055555552</v>
      </c>
      <c r="D297" s="27">
        <f>Données!Z297</f>
        <v>217</v>
      </c>
      <c r="E297" s="88">
        <f t="shared" si="37"/>
        <v>27.703833205325139</v>
      </c>
      <c r="F297" s="145">
        <f t="shared" si="38"/>
        <v>0.56013364317354941</v>
      </c>
      <c r="G297" s="376">
        <f t="shared" si="39"/>
        <v>0</v>
      </c>
      <c r="H297" s="376">
        <f t="shared" si="40"/>
        <v>0</v>
      </c>
      <c r="I297" s="376">
        <f t="shared" si="41"/>
        <v>0</v>
      </c>
      <c r="J297" s="376">
        <f t="shared" si="42"/>
        <v>0</v>
      </c>
      <c r="K297" s="376">
        <f t="shared" si="43"/>
        <v>0</v>
      </c>
      <c r="L297" s="378">
        <f t="shared" si="44"/>
        <v>0</v>
      </c>
      <c r="M297" s="244">
        <f>L297*D297*VPI!Q297</f>
        <v>0</v>
      </c>
    </row>
    <row r="298" spans="1:18" x14ac:dyDescent="0.25">
      <c r="A298" s="130">
        <f>Données!A298</f>
        <v>5931</v>
      </c>
      <c r="B298" s="27" t="str">
        <f>Données!B298</f>
        <v>Treycovagnes</v>
      </c>
      <c r="C298" s="285">
        <f>VPI!R298</f>
        <v>16173.396575342462</v>
      </c>
      <c r="D298" s="27">
        <f>Données!Z298</f>
        <v>522</v>
      </c>
      <c r="E298" s="88">
        <f t="shared" si="37"/>
        <v>30.983518343567933</v>
      </c>
      <c r="F298" s="145">
        <f t="shared" si="38"/>
        <v>0.62644439415630393</v>
      </c>
      <c r="G298" s="376">
        <f t="shared" si="39"/>
        <v>0</v>
      </c>
      <c r="H298" s="376">
        <f t="shared" si="40"/>
        <v>0</v>
      </c>
      <c r="I298" s="376">
        <f t="shared" si="41"/>
        <v>0</v>
      </c>
      <c r="J298" s="376">
        <f t="shared" si="42"/>
        <v>0</v>
      </c>
      <c r="K298" s="376">
        <f t="shared" si="43"/>
        <v>0</v>
      </c>
      <c r="L298" s="378">
        <f t="shared" si="44"/>
        <v>0</v>
      </c>
      <c r="M298" s="244">
        <f>L298*D298*VPI!Q298</f>
        <v>0</v>
      </c>
    </row>
    <row r="299" spans="1:18" x14ac:dyDescent="0.25">
      <c r="A299" s="130">
        <f>Données!A299</f>
        <v>5932</v>
      </c>
      <c r="B299" s="27" t="str">
        <f>Données!B299</f>
        <v>Ursins</v>
      </c>
      <c r="C299" s="285">
        <f>VPI!R299</f>
        <v>8679.1289333333334</v>
      </c>
      <c r="D299" s="27">
        <f>Données!Z299</f>
        <v>234</v>
      </c>
      <c r="E299" s="88">
        <f t="shared" si="37"/>
        <v>37.090294586894586</v>
      </c>
      <c r="F299" s="145">
        <f t="shared" si="38"/>
        <v>0.74991506335462776</v>
      </c>
      <c r="G299" s="376">
        <f t="shared" si="39"/>
        <v>0</v>
      </c>
      <c r="H299" s="376">
        <f t="shared" si="40"/>
        <v>0</v>
      </c>
      <c r="I299" s="376">
        <f t="shared" si="41"/>
        <v>0</v>
      </c>
      <c r="J299" s="376">
        <f t="shared" si="42"/>
        <v>0</v>
      </c>
      <c r="K299" s="376">
        <f t="shared" si="43"/>
        <v>0</v>
      </c>
      <c r="L299" s="378">
        <f t="shared" si="44"/>
        <v>0</v>
      </c>
      <c r="M299" s="244">
        <f>L299*D299*VPI!Q299</f>
        <v>0</v>
      </c>
    </row>
    <row r="300" spans="1:18" x14ac:dyDescent="0.25">
      <c r="A300" s="130">
        <f>Données!A300</f>
        <v>5933</v>
      </c>
      <c r="B300" s="27" t="str">
        <f>Données!B300</f>
        <v>Valeyres-sous-Montagny</v>
      </c>
      <c r="C300" s="285">
        <f>VPI!R300</f>
        <v>22762.97602836879</v>
      </c>
      <c r="D300" s="27">
        <f>Données!Z300</f>
        <v>703</v>
      </c>
      <c r="E300" s="88">
        <f t="shared" si="37"/>
        <v>32.379766754436403</v>
      </c>
      <c r="F300" s="145">
        <f t="shared" si="38"/>
        <v>0.65467462870033466</v>
      </c>
      <c r="G300" s="376">
        <f t="shared" si="39"/>
        <v>0</v>
      </c>
      <c r="H300" s="376">
        <f t="shared" si="40"/>
        <v>0</v>
      </c>
      <c r="I300" s="376">
        <f t="shared" si="41"/>
        <v>0</v>
      </c>
      <c r="J300" s="376">
        <f t="shared" si="42"/>
        <v>0</v>
      </c>
      <c r="K300" s="376">
        <f t="shared" si="43"/>
        <v>0</v>
      </c>
      <c r="L300" s="378">
        <f t="shared" si="44"/>
        <v>0</v>
      </c>
      <c r="M300" s="244">
        <f>L300*D300*VPI!Q300</f>
        <v>0</v>
      </c>
    </row>
    <row r="301" spans="1:18" x14ac:dyDescent="0.25">
      <c r="A301" s="130">
        <f>Données!A301</f>
        <v>5934</v>
      </c>
      <c r="B301" s="27" t="str">
        <f>Données!B301</f>
        <v>Valeyres-sous-Ursins</v>
      </c>
      <c r="C301" s="285">
        <f>VPI!R301</f>
        <v>7483.0151948051935</v>
      </c>
      <c r="D301" s="27">
        <f>Données!Z301</f>
        <v>237</v>
      </c>
      <c r="E301" s="88">
        <f t="shared" si="37"/>
        <v>31.57390377554934</v>
      </c>
      <c r="F301" s="145">
        <f t="shared" si="38"/>
        <v>0.63838118068116545</v>
      </c>
      <c r="G301" s="376">
        <f t="shared" si="39"/>
        <v>0</v>
      </c>
      <c r="H301" s="376">
        <f t="shared" si="40"/>
        <v>0</v>
      </c>
      <c r="I301" s="376">
        <f t="shared" si="41"/>
        <v>0</v>
      </c>
      <c r="J301" s="376">
        <f t="shared" si="42"/>
        <v>0</v>
      </c>
      <c r="K301" s="376">
        <f t="shared" si="43"/>
        <v>0</v>
      </c>
      <c r="L301" s="378">
        <f t="shared" si="44"/>
        <v>0</v>
      </c>
      <c r="M301" s="244">
        <f>L301*D301*VPI!Q301</f>
        <v>0</v>
      </c>
    </row>
    <row r="302" spans="1:18" x14ac:dyDescent="0.25">
      <c r="A302" s="130">
        <f>Données!A302</f>
        <v>5935</v>
      </c>
      <c r="B302" s="27" t="str">
        <f>Données!B302</f>
        <v>Villars-Epeney</v>
      </c>
      <c r="C302" s="285">
        <f>VPI!R302</f>
        <v>4091.4220588235289</v>
      </c>
      <c r="D302" s="27">
        <f>Données!Z302</f>
        <v>101</v>
      </c>
      <c r="E302" s="88">
        <f t="shared" si="37"/>
        <v>40.509129295282463</v>
      </c>
      <c r="F302" s="145">
        <f t="shared" si="38"/>
        <v>0.81903922846291999</v>
      </c>
      <c r="G302" s="376">
        <f t="shared" si="39"/>
        <v>0</v>
      </c>
      <c r="H302" s="376">
        <f t="shared" si="40"/>
        <v>0</v>
      </c>
      <c r="I302" s="376">
        <f t="shared" si="41"/>
        <v>0</v>
      </c>
      <c r="J302" s="376">
        <f t="shared" si="42"/>
        <v>0</v>
      </c>
      <c r="K302" s="376">
        <f t="shared" si="43"/>
        <v>0</v>
      </c>
      <c r="L302" s="378">
        <f t="shared" si="44"/>
        <v>0</v>
      </c>
      <c r="M302" s="244">
        <f>L302*D302*VPI!Q302</f>
        <v>0</v>
      </c>
    </row>
    <row r="303" spans="1:18" x14ac:dyDescent="0.25">
      <c r="A303" s="130">
        <f>Données!A303</f>
        <v>5937</v>
      </c>
      <c r="B303" s="27" t="str">
        <f>Données!B303</f>
        <v>Vugelles-La Mothe</v>
      </c>
      <c r="C303" s="285">
        <f>VPI!R303</f>
        <v>3794.0157959183671</v>
      </c>
      <c r="D303" s="27">
        <f>Données!Z303</f>
        <v>151</v>
      </c>
      <c r="E303" s="88">
        <f t="shared" si="37"/>
        <v>25.125932423300444</v>
      </c>
      <c r="F303" s="145">
        <f t="shared" si="38"/>
        <v>0.50801201270914564</v>
      </c>
      <c r="G303" s="376">
        <f t="shared" si="39"/>
        <v>0</v>
      </c>
      <c r="H303" s="376">
        <f t="shared" si="40"/>
        <v>0</v>
      </c>
      <c r="I303" s="376">
        <f t="shared" si="41"/>
        <v>0</v>
      </c>
      <c r="J303" s="376">
        <f t="shared" si="42"/>
        <v>0</v>
      </c>
      <c r="K303" s="376">
        <f t="shared" si="43"/>
        <v>0</v>
      </c>
      <c r="L303" s="378">
        <f t="shared" si="44"/>
        <v>0</v>
      </c>
      <c r="M303" s="244">
        <f>L303*D303*VPI!Q303</f>
        <v>0</v>
      </c>
    </row>
    <row r="304" spans="1:18" x14ac:dyDescent="0.25">
      <c r="A304" s="130">
        <f>Données!A304</f>
        <v>5938</v>
      </c>
      <c r="B304" s="27" t="str">
        <f>Données!B304</f>
        <v>Yverdon-les-Bains</v>
      </c>
      <c r="C304" s="285">
        <f>VPI!R304</f>
        <v>793682.36159999971</v>
      </c>
      <c r="D304" s="27">
        <f>Données!Z304</f>
        <v>30221</v>
      </c>
      <c r="E304" s="88">
        <f t="shared" si="37"/>
        <v>26.262610820290519</v>
      </c>
      <c r="F304" s="145">
        <f t="shared" si="38"/>
        <v>0.53099409634009742</v>
      </c>
      <c r="G304" s="376">
        <f t="shared" si="39"/>
        <v>0</v>
      </c>
      <c r="H304" s="376">
        <f t="shared" si="40"/>
        <v>0</v>
      </c>
      <c r="I304" s="376">
        <f t="shared" si="41"/>
        <v>0</v>
      </c>
      <c r="J304" s="376">
        <f t="shared" si="42"/>
        <v>0</v>
      </c>
      <c r="K304" s="376">
        <f t="shared" si="43"/>
        <v>0</v>
      </c>
      <c r="L304" s="378">
        <f t="shared" si="44"/>
        <v>0</v>
      </c>
      <c r="M304" s="244">
        <f>L304*D304*VPI!Q304</f>
        <v>0</v>
      </c>
    </row>
    <row r="305" spans="1:13" x14ac:dyDescent="0.25">
      <c r="A305" s="130">
        <f>Données!A305</f>
        <v>5939</v>
      </c>
      <c r="B305" s="27" t="str">
        <f>Données!B305</f>
        <v>Yvonand</v>
      </c>
      <c r="C305" s="285">
        <f>VPI!R305</f>
        <v>96283.364335664344</v>
      </c>
      <c r="D305" s="27">
        <f>Données!Z305</f>
        <v>3536</v>
      </c>
      <c r="E305" s="88">
        <f t="shared" si="37"/>
        <v>27.229458239724078</v>
      </c>
      <c r="F305" s="145">
        <f t="shared" si="38"/>
        <v>0.5505424297214927</v>
      </c>
      <c r="G305" s="376">
        <f t="shared" si="39"/>
        <v>0</v>
      </c>
      <c r="H305" s="376">
        <f t="shared" si="40"/>
        <v>0</v>
      </c>
      <c r="I305" s="376">
        <f t="shared" si="41"/>
        <v>0</v>
      </c>
      <c r="J305" s="376">
        <f t="shared" si="42"/>
        <v>0</v>
      </c>
      <c r="K305" s="376">
        <f t="shared" si="43"/>
        <v>0</v>
      </c>
      <c r="L305" s="379">
        <f t="shared" si="44"/>
        <v>0</v>
      </c>
      <c r="M305" s="244">
        <f>L305*D305*VPI!Q305</f>
        <v>0</v>
      </c>
    </row>
    <row r="306" spans="1:13" x14ac:dyDescent="0.25">
      <c r="A306" s="6"/>
      <c r="B306" s="73">
        <f>COUNTA(B6:B305)</f>
        <v>300</v>
      </c>
      <c r="C306" s="286">
        <f>SUM(C6:C305)</f>
        <v>41857577.09593945</v>
      </c>
      <c r="D306" s="120">
        <f>SUM(D6:D305)</f>
        <v>846303</v>
      </c>
      <c r="E306" s="46">
        <f>C306/D306</f>
        <v>49.459327328320292</v>
      </c>
      <c r="F306" s="47">
        <v>1</v>
      </c>
      <c r="G306" s="747"/>
      <c r="H306" s="748"/>
      <c r="I306" s="748"/>
      <c r="J306" s="748"/>
      <c r="K306" s="748"/>
      <c r="L306" s="749"/>
      <c r="M306" s="245">
        <f>SUM(M6:M305)</f>
        <v>139692986.4381198</v>
      </c>
    </row>
    <row r="307" spans="1:13" x14ac:dyDescent="0.25">
      <c r="M307" s="5"/>
    </row>
    <row r="309" spans="1:13" x14ac:dyDescent="0.25">
      <c r="F309" s="13"/>
    </row>
    <row r="310" spans="1:13" x14ac:dyDescent="0.25">
      <c r="F310" s="13"/>
    </row>
    <row r="311" spans="1:13" x14ac:dyDescent="0.25">
      <c r="F311" s="13"/>
      <c r="G311" s="15"/>
      <c r="H311" s="15"/>
    </row>
    <row r="312" spans="1:13" x14ac:dyDescent="0.25">
      <c r="E312" s="23"/>
    </row>
  </sheetData>
  <sheetProtection sheet="1" objects="1" scenarios="1"/>
  <mergeCells count="7">
    <mergeCell ref="G306:L306"/>
    <mergeCell ref="M4:M5"/>
    <mergeCell ref="L4:L5"/>
    <mergeCell ref="A4:A5"/>
    <mergeCell ref="B4:B5"/>
    <mergeCell ref="F4:F5"/>
    <mergeCell ref="C4:E4"/>
  </mergeCells>
  <phoneticPr fontId="21" type="noConversion"/>
  <hyperlinks>
    <hyperlink ref="C1" location="PCS!A1" display="← Précédent" xr:uid="{901F770C-9D71-4B9C-BD74-2BF5F01B4728}"/>
    <hyperlink ref="E1" location="'Péréquation directe'!A1" display="Suivant →" xr:uid="{8E8E8AD3-F212-48FB-86E5-C0AB3A686AFA}"/>
    <hyperlink ref="D1" location="'Table des matières'!A1" display="'Table des matières'!A1" xr:uid="{202983C2-6A43-4285-A91A-F524C826C944}"/>
  </hyperlinks>
  <pageMargins left="0.78740157499999996" right="0.78740157499999996" top="0.984251969" bottom="0.984251969" header="0.4921259845" footer="0.4921259845"/>
  <pageSetup paperSize="9" orientation="landscape" horizontalDpi="4294967292" verticalDpi="4294967292"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tabColor rgb="FF00B050"/>
  </sheetPr>
  <dimension ref="A1:K331"/>
  <sheetViews>
    <sheetView zoomScaleNormal="100" workbookViewId="0">
      <pane ySplit="11" topLeftCell="A12" activePane="bottomLeft" state="frozen"/>
      <selection pane="bottomLeft"/>
    </sheetView>
  </sheetViews>
  <sheetFormatPr baseColWidth="10" defaultColWidth="11" defaultRowHeight="15" x14ac:dyDescent="0.25"/>
  <cols>
    <col min="1" max="1" width="7.125" style="11" customWidth="1"/>
    <col min="2" max="2" width="23.125" style="11" customWidth="1"/>
    <col min="3" max="3" width="16.125" style="11" customWidth="1"/>
    <col min="4" max="4" width="11" style="11" customWidth="1"/>
    <col min="5" max="6" width="12.75" style="11" customWidth="1"/>
    <col min="7" max="7" width="12.875" style="11" customWidth="1"/>
    <col min="8" max="8" width="12.75" style="156" customWidth="1"/>
    <col min="9" max="9" width="12.75" style="11" customWidth="1"/>
    <col min="10" max="10" width="12.75" style="156" customWidth="1"/>
    <col min="11" max="11" width="12.5" style="11" customWidth="1"/>
    <col min="12" max="16384" width="11" style="11"/>
  </cols>
  <sheetData>
    <row r="1" spans="1:11" s="210" customFormat="1" ht="26.25" x14ac:dyDescent="0.4">
      <c r="A1" s="203" t="s">
        <v>277</v>
      </c>
      <c r="B1" s="208"/>
      <c r="C1" s="308" t="s">
        <v>402</v>
      </c>
      <c r="D1" s="224" t="s">
        <v>394</v>
      </c>
      <c r="E1" s="372" t="s">
        <v>403</v>
      </c>
      <c r="H1" s="229"/>
    </row>
    <row r="2" spans="1:11" s="156" customFormat="1" ht="15.75" x14ac:dyDescent="0.25">
      <c r="A2" s="272" t="str">
        <f>Paramètres!B4</f>
        <v>Décompte 2023</v>
      </c>
      <c r="B2" s="32"/>
      <c r="C2" s="158"/>
      <c r="D2" s="158"/>
      <c r="E2" s="158"/>
      <c r="F2" s="158"/>
      <c r="G2" s="158"/>
      <c r="H2" s="158"/>
      <c r="I2" s="158"/>
      <c r="J2" s="158"/>
    </row>
    <row r="4" spans="1:11" x14ac:dyDescent="0.25">
      <c r="A4" s="75" t="s">
        <v>501</v>
      </c>
      <c r="B4" s="76"/>
      <c r="C4" s="77" t="s">
        <v>356</v>
      </c>
      <c r="D4" s="77" t="s">
        <v>334</v>
      </c>
      <c r="E4" s="49"/>
      <c r="F4" s="49"/>
      <c r="G4" s="49"/>
      <c r="H4" s="158"/>
      <c r="I4" s="49"/>
      <c r="J4" s="158"/>
    </row>
    <row r="5" spans="1:11" x14ac:dyDescent="0.25">
      <c r="A5" s="756" t="s">
        <v>502</v>
      </c>
      <c r="B5" s="757"/>
      <c r="C5" s="16">
        <f>ABS(E312+F312+G312)</f>
        <v>815970292.20666039</v>
      </c>
      <c r="D5" s="62">
        <f>C5/$C$312</f>
        <v>19.493968567182467</v>
      </c>
      <c r="E5" s="49"/>
      <c r="F5" s="49"/>
      <c r="G5" s="49"/>
      <c r="H5" s="158"/>
      <c r="I5" s="49"/>
      <c r="J5" s="158"/>
    </row>
    <row r="6" spans="1:11" x14ac:dyDescent="0.25">
      <c r="A6" s="758" t="s">
        <v>546</v>
      </c>
      <c r="B6" s="759"/>
      <c r="C6" s="8">
        <f>-Paramètres!B50</f>
        <v>-8272281.2544975141</v>
      </c>
      <c r="D6" s="62">
        <f>C6/$C$312</f>
        <v>-0.19762924250338412</v>
      </c>
      <c r="E6" s="49"/>
      <c r="F6" s="49"/>
      <c r="G6" s="49"/>
      <c r="H6" s="158"/>
      <c r="I6" s="49"/>
      <c r="J6" s="158"/>
    </row>
    <row r="7" spans="1:11" x14ac:dyDescent="0.25">
      <c r="A7" s="756" t="s">
        <v>509</v>
      </c>
      <c r="B7" s="757"/>
      <c r="C7" s="9">
        <f>Paramètres!B51</f>
        <v>450000</v>
      </c>
      <c r="D7" s="62">
        <f>C7/$C$312</f>
        <v>1.0750741710839588E-2</v>
      </c>
      <c r="E7" s="49"/>
      <c r="F7" s="49"/>
      <c r="G7" s="49"/>
      <c r="H7" s="158"/>
      <c r="I7" s="49"/>
      <c r="J7" s="158"/>
    </row>
    <row r="8" spans="1:11" x14ac:dyDescent="0.25">
      <c r="A8" s="262" t="s">
        <v>482</v>
      </c>
      <c r="B8" s="263"/>
      <c r="C8" s="250">
        <f>SUM(C5:C7)</f>
        <v>808148010.95216286</v>
      </c>
      <c r="D8" s="409">
        <f>SUM(D5:D7)</f>
        <v>19.307090066389922</v>
      </c>
      <c r="E8" s="49"/>
      <c r="F8" s="49"/>
      <c r="G8" s="49"/>
      <c r="H8" s="158"/>
      <c r="I8" s="49"/>
      <c r="J8" s="158"/>
    </row>
    <row r="10" spans="1:11" ht="60" customHeight="1" x14ac:dyDescent="0.25">
      <c r="A10" s="760" t="s">
        <v>44</v>
      </c>
      <c r="B10" s="760" t="s">
        <v>84</v>
      </c>
      <c r="C10" s="755" t="s">
        <v>409</v>
      </c>
      <c r="D10" s="755" t="s">
        <v>257</v>
      </c>
      <c r="E10" s="48" t="s">
        <v>498</v>
      </c>
      <c r="F10" s="48" t="s">
        <v>499</v>
      </c>
      <c r="G10" s="228" t="s">
        <v>542</v>
      </c>
      <c r="H10" s="228" t="s">
        <v>503</v>
      </c>
      <c r="I10" s="48" t="s">
        <v>507</v>
      </c>
      <c r="J10" s="276" t="s">
        <v>508</v>
      </c>
      <c r="K10" s="755" t="s">
        <v>504</v>
      </c>
    </row>
    <row r="11" spans="1:11" x14ac:dyDescent="0.25">
      <c r="A11" s="761"/>
      <c r="B11" s="761"/>
      <c r="C11" s="755"/>
      <c r="D11" s="755"/>
      <c r="E11" s="295">
        <f>E312/$C$312</f>
        <v>-11.470792165754734</v>
      </c>
      <c r="F11" s="151">
        <f t="shared" ref="F11:G11" si="0">F312/$C$312</f>
        <v>-3.5231764014277327</v>
      </c>
      <c r="G11" s="295">
        <f t="shared" si="0"/>
        <v>-4.5</v>
      </c>
      <c r="H11" s="151">
        <f>H312/C312</f>
        <v>0.197590495758007</v>
      </c>
      <c r="I11" s="295">
        <f>I312/C312</f>
        <v>-19.29637807142446</v>
      </c>
      <c r="J11" s="151">
        <f>ABS(D8)</f>
        <v>19.307090066389922</v>
      </c>
      <c r="K11" s="755"/>
    </row>
    <row r="12" spans="1:11" x14ac:dyDescent="0.25">
      <c r="A12" s="36">
        <f>Données!A6</f>
        <v>5401</v>
      </c>
      <c r="B12" s="131" t="str">
        <f>Données!B6</f>
        <v>Aigle</v>
      </c>
      <c r="C12" s="26">
        <f>Ecrêtage!C6</f>
        <v>293879.84888888896</v>
      </c>
      <c r="D12" s="12">
        <f>Données!Z6</f>
        <v>11437</v>
      </c>
      <c r="E12" s="41">
        <f>Population!K9</f>
        <v>-6606838.3802816886</v>
      </c>
      <c r="F12" s="171">
        <f>Solidarité!I6</f>
        <v>-4728513.0613530707</v>
      </c>
      <c r="G12" s="41"/>
      <c r="H12" s="171">
        <f>Effort!K6+Aide!I6+Taux!K6</f>
        <v>0</v>
      </c>
      <c r="I12" s="249">
        <f>SUM(E12:H12)</f>
        <v>-11335351.441634759</v>
      </c>
      <c r="J12" s="294">
        <f>C12*$J$11</f>
        <v>5673964.7111948393</v>
      </c>
      <c r="K12" s="388">
        <f>I12+J12</f>
        <v>-5661386.73043992</v>
      </c>
    </row>
    <row r="13" spans="1:11" s="156" customFormat="1" x14ac:dyDescent="0.25">
      <c r="A13" s="38">
        <f>Données!A7</f>
        <v>5402</v>
      </c>
      <c r="B13" s="27" t="str">
        <f>Données!B7</f>
        <v>Bex</v>
      </c>
      <c r="C13" s="152">
        <f>Ecrêtage!C7</f>
        <v>202698.13549295775</v>
      </c>
      <c r="D13" s="171">
        <f>Données!Z7</f>
        <v>8508</v>
      </c>
      <c r="E13" s="8">
        <f>Population!K10</f>
        <v>-4123522.5352112669</v>
      </c>
      <c r="F13" s="171">
        <f>Solidarité!I7</f>
        <v>-4391216.6697776085</v>
      </c>
      <c r="G13" s="8"/>
      <c r="H13" s="171">
        <f>Effort!K7+Aide!I7+Taux!K7</f>
        <v>0</v>
      </c>
      <c r="I13" s="234">
        <f t="shared" ref="I13:I76" si="1">SUM(E13:H13)</f>
        <v>-8514739.2049888745</v>
      </c>
      <c r="J13" s="294">
        <f t="shared" ref="J13:J76" si="2">C13*$J$11</f>
        <v>3913511.1582518429</v>
      </c>
      <c r="K13" s="389">
        <f t="shared" ref="K13:K76" si="3">I13+J13</f>
        <v>-4601228.046737032</v>
      </c>
    </row>
    <row r="14" spans="1:11" s="156" customFormat="1" x14ac:dyDescent="0.25">
      <c r="A14" s="38">
        <f>Données!A8</f>
        <v>5403</v>
      </c>
      <c r="B14" s="27" t="str">
        <f>Données!B8</f>
        <v>Chessel</v>
      </c>
      <c r="C14" s="152">
        <f>Ecrêtage!C8</f>
        <v>13180.672769230767</v>
      </c>
      <c r="D14" s="171">
        <f>Données!Z8</f>
        <v>519</v>
      </c>
      <c r="E14" s="8">
        <f>Population!K11</f>
        <v>-68073.063380281674</v>
      </c>
      <c r="F14" s="171">
        <f>Solidarité!I8</f>
        <v>-210743.14307953996</v>
      </c>
      <c r="G14" s="8"/>
      <c r="H14" s="171">
        <f>Effort!K8+Aide!I8+Taux!K8</f>
        <v>0</v>
      </c>
      <c r="I14" s="234">
        <f t="shared" si="1"/>
        <v>-278816.20645982167</v>
      </c>
      <c r="J14" s="294">
        <f t="shared" si="2"/>
        <v>254480.43629115148</v>
      </c>
      <c r="K14" s="389">
        <f t="shared" si="3"/>
        <v>-24335.770168670191</v>
      </c>
    </row>
    <row r="15" spans="1:11" s="156" customFormat="1" x14ac:dyDescent="0.25">
      <c r="A15" s="38">
        <f>Données!A9</f>
        <v>5404</v>
      </c>
      <c r="B15" s="27" t="str">
        <f>Données!B9</f>
        <v>Corbeyrier</v>
      </c>
      <c r="C15" s="152">
        <f>Ecrêtage!C9</f>
        <v>10656.798108108109</v>
      </c>
      <c r="D15" s="171">
        <f>Données!Z9</f>
        <v>464</v>
      </c>
      <c r="E15" s="8">
        <f>Population!K12</f>
        <v>-60859.154929577453</v>
      </c>
      <c r="F15" s="171">
        <f>Solidarité!I9</f>
        <v>-268847.81966813578</v>
      </c>
      <c r="G15" s="8"/>
      <c r="H15" s="171">
        <f>Effort!K9+Aide!I9+Taux!K9</f>
        <v>0</v>
      </c>
      <c r="I15" s="234">
        <f t="shared" si="1"/>
        <v>-329706.97459771321</v>
      </c>
      <c r="J15" s="294">
        <f t="shared" si="2"/>
        <v>205751.76089257697</v>
      </c>
      <c r="K15" s="389">
        <f t="shared" si="3"/>
        <v>-123955.21370513624</v>
      </c>
    </row>
    <row r="16" spans="1:11" x14ac:dyDescent="0.25">
      <c r="A16" s="38">
        <f>Données!A10</f>
        <v>5405</v>
      </c>
      <c r="B16" s="27" t="str">
        <f>Données!B10</f>
        <v>Gryon</v>
      </c>
      <c r="C16" s="26">
        <f>Ecrêtage!C10</f>
        <v>79200.140770975064</v>
      </c>
      <c r="D16" s="12">
        <f>Données!Z10</f>
        <v>1520</v>
      </c>
      <c r="E16" s="8">
        <f>Population!K13</f>
        <v>-322133.80281690136</v>
      </c>
      <c r="F16" s="171">
        <f>Solidarité!I10</f>
        <v>0</v>
      </c>
      <c r="G16" s="8"/>
      <c r="H16" s="171">
        <f>Effort!K10+Aide!I10+Taux!K10</f>
        <v>0</v>
      </c>
      <c r="I16" s="234">
        <f t="shared" si="1"/>
        <v>-322133.80281690136</v>
      </c>
      <c r="J16" s="294">
        <f t="shared" si="2"/>
        <v>1529124.2511359761</v>
      </c>
      <c r="K16" s="389">
        <f t="shared" si="3"/>
        <v>1206990.4483190747</v>
      </c>
    </row>
    <row r="17" spans="1:11" x14ac:dyDescent="0.25">
      <c r="A17" s="38">
        <f>Données!A11</f>
        <v>5406</v>
      </c>
      <c r="B17" s="27" t="str">
        <f>Données!B11</f>
        <v>Lavey-Morcles</v>
      </c>
      <c r="C17" s="26">
        <f>Ecrêtage!C11</f>
        <v>24174.314276492736</v>
      </c>
      <c r="D17" s="12">
        <f>Données!Z11</f>
        <v>1022</v>
      </c>
      <c r="E17" s="8">
        <f>Population!K14</f>
        <v>-139241.54929577463</v>
      </c>
      <c r="F17" s="171">
        <f>Solidarité!I11</f>
        <v>-538495.95106586348</v>
      </c>
      <c r="G17" s="8"/>
      <c r="H17" s="171">
        <f>Effort!K11+Aide!I11+Taux!K11</f>
        <v>0</v>
      </c>
      <c r="I17" s="234">
        <f t="shared" si="1"/>
        <v>-677737.50036163814</v>
      </c>
      <c r="J17" s="294">
        <f t="shared" si="2"/>
        <v>466735.66302946099</v>
      </c>
      <c r="K17" s="389">
        <f t="shared" si="3"/>
        <v>-211001.83733217715</v>
      </c>
    </row>
    <row r="18" spans="1:11" x14ac:dyDescent="0.25">
      <c r="A18" s="38">
        <f>Données!A12</f>
        <v>5407</v>
      </c>
      <c r="B18" s="27" t="str">
        <f>Données!B12</f>
        <v>Leysin</v>
      </c>
      <c r="C18" s="26">
        <f>Ecrêtage!C12</f>
        <v>97593.933333333334</v>
      </c>
      <c r="D18" s="12">
        <f>Données!Z12</f>
        <v>3729</v>
      </c>
      <c r="E18" s="8">
        <f>Population!K15</f>
        <v>-1248137.3239436618</v>
      </c>
      <c r="F18" s="171">
        <f>Solidarité!I12</f>
        <v>-2110169.7254366935</v>
      </c>
      <c r="G18" s="8"/>
      <c r="H18" s="171">
        <f>Effort!K12+Aide!I12+Taux!K12</f>
        <v>0</v>
      </c>
      <c r="I18" s="234">
        <f t="shared" si="1"/>
        <v>-3358307.0493803555</v>
      </c>
      <c r="J18" s="294">
        <f t="shared" si="2"/>
        <v>1884254.8607999203</v>
      </c>
      <c r="K18" s="389">
        <f t="shared" si="3"/>
        <v>-1474052.1885804352</v>
      </c>
    </row>
    <row r="19" spans="1:11" x14ac:dyDescent="0.25">
      <c r="A19" s="38">
        <f>Données!A13</f>
        <v>5408</v>
      </c>
      <c r="B19" s="27" t="str">
        <f>Données!B13</f>
        <v>Noville</v>
      </c>
      <c r="C19" s="26">
        <f>Ecrêtage!C13</f>
        <v>40176.989288888893</v>
      </c>
      <c r="D19" s="12">
        <f>Données!Z13</f>
        <v>1180</v>
      </c>
      <c r="E19" s="8">
        <f>Population!K16</f>
        <v>-197267.60563380277</v>
      </c>
      <c r="F19" s="171">
        <f>Solidarité!I13</f>
        <v>-408549.90484766877</v>
      </c>
      <c r="G19" s="8"/>
      <c r="H19" s="171">
        <f>Effort!K13+Aide!I13+Taux!K13</f>
        <v>0</v>
      </c>
      <c r="I19" s="234">
        <f t="shared" si="1"/>
        <v>-605817.51048147155</v>
      </c>
      <c r="J19" s="294">
        <f t="shared" si="2"/>
        <v>775700.75079696102</v>
      </c>
      <c r="K19" s="389">
        <f t="shared" si="3"/>
        <v>169883.24031548947</v>
      </c>
    </row>
    <row r="20" spans="1:11" x14ac:dyDescent="0.25">
      <c r="A20" s="38">
        <f>Données!A14</f>
        <v>5409</v>
      </c>
      <c r="B20" s="27" t="str">
        <f>Données!B14</f>
        <v>Ollon</v>
      </c>
      <c r="C20" s="26">
        <f>Ecrêtage!C14</f>
        <v>421727.92700226256</v>
      </c>
      <c r="D20" s="12">
        <f>Données!Z14</f>
        <v>8137</v>
      </c>
      <c r="E20" s="8">
        <f>Population!K17</f>
        <v>-3889949.295774647</v>
      </c>
      <c r="F20" s="171">
        <f>Solidarité!I14</f>
        <v>0</v>
      </c>
      <c r="G20" s="8"/>
      <c r="H20" s="171">
        <f>Effort!K14+Aide!I14+Taux!K14</f>
        <v>0</v>
      </c>
      <c r="I20" s="234">
        <f t="shared" si="1"/>
        <v>-3889949.295774647</v>
      </c>
      <c r="J20" s="294">
        <f t="shared" si="2"/>
        <v>8142339.0701445974</v>
      </c>
      <c r="K20" s="389">
        <f t="shared" si="3"/>
        <v>4252389.7743699504</v>
      </c>
    </row>
    <row r="21" spans="1:11" x14ac:dyDescent="0.25">
      <c r="A21" s="38">
        <f>Données!A15</f>
        <v>5410</v>
      </c>
      <c r="B21" s="27" t="str">
        <f>Données!B15</f>
        <v>Ormont-Dessous</v>
      </c>
      <c r="C21" s="26">
        <f>Ecrêtage!C15</f>
        <v>36756.557662337655</v>
      </c>
      <c r="D21" s="12">
        <f>Données!Z15</f>
        <v>1211</v>
      </c>
      <c r="E21" s="8">
        <f>Population!K18</f>
        <v>-208652.46478873235</v>
      </c>
      <c r="F21" s="171">
        <f>Solidarité!I15</f>
        <v>-547935.01206737489</v>
      </c>
      <c r="G21" s="8"/>
      <c r="H21" s="171">
        <f>Effort!K15+Aide!I15+Taux!K15</f>
        <v>0</v>
      </c>
      <c r="I21" s="234">
        <f t="shared" si="1"/>
        <v>-756587.47685610724</v>
      </c>
      <c r="J21" s="294">
        <f t="shared" si="2"/>
        <v>709662.16931720765</v>
      </c>
      <c r="K21" s="389">
        <f t="shared" si="3"/>
        <v>-46925.307538899593</v>
      </c>
    </row>
    <row r="22" spans="1:11" x14ac:dyDescent="0.25">
      <c r="A22" s="38">
        <f>Données!A16</f>
        <v>5411</v>
      </c>
      <c r="B22" s="27" t="str">
        <f>Données!B16</f>
        <v>Ormont-Dessus</v>
      </c>
      <c r="C22" s="26">
        <f>Ecrêtage!C16</f>
        <v>79198.134342105259</v>
      </c>
      <c r="D22" s="12">
        <f>Données!Z16</f>
        <v>1427</v>
      </c>
      <c r="E22" s="8">
        <f>Population!K19</f>
        <v>-287979.22535211267</v>
      </c>
      <c r="F22" s="171">
        <f>Solidarité!I16</f>
        <v>0</v>
      </c>
      <c r="G22" s="8"/>
      <c r="H22" s="171">
        <f>Effort!K16+Aide!I16+Taux!K16</f>
        <v>0</v>
      </c>
      <c r="I22" s="234">
        <f t="shared" si="1"/>
        <v>-287979.22535211267</v>
      </c>
      <c r="J22" s="294">
        <f t="shared" si="2"/>
        <v>1529085.5128330749</v>
      </c>
      <c r="K22" s="389">
        <f t="shared" si="3"/>
        <v>1241106.2874809622</v>
      </c>
    </row>
    <row r="23" spans="1:11" x14ac:dyDescent="0.25">
      <c r="A23" s="38">
        <f>Données!A17</f>
        <v>5412</v>
      </c>
      <c r="B23" s="27" t="str">
        <f>Données!B17</f>
        <v>Rennaz</v>
      </c>
      <c r="C23" s="26">
        <f>Ecrêtage!C17</f>
        <v>29024.824057971011</v>
      </c>
      <c r="D23" s="12">
        <f>Données!Z17</f>
        <v>928</v>
      </c>
      <c r="E23" s="8">
        <f>Population!K20</f>
        <v>-121718.30985915491</v>
      </c>
      <c r="F23" s="171">
        <f>Solidarité!I17</f>
        <v>-320856.22973643529</v>
      </c>
      <c r="G23" s="8"/>
      <c r="H23" s="171">
        <f>Effort!K17+Aide!I17+Taux!K17</f>
        <v>0</v>
      </c>
      <c r="I23" s="234">
        <f t="shared" si="1"/>
        <v>-442574.53959559021</v>
      </c>
      <c r="J23" s="294">
        <f t="shared" si="2"/>
        <v>560384.89224836731</v>
      </c>
      <c r="K23" s="389">
        <f t="shared" si="3"/>
        <v>117810.3526527771</v>
      </c>
    </row>
    <row r="24" spans="1:11" x14ac:dyDescent="0.25">
      <c r="A24" s="38">
        <f>Données!A18</f>
        <v>5413</v>
      </c>
      <c r="B24" s="27" t="str">
        <f>Données!B18</f>
        <v>Roche</v>
      </c>
      <c r="C24" s="26">
        <f>Ecrêtage!C18</f>
        <v>41219.946789215683</v>
      </c>
      <c r="D24" s="12">
        <f>Données!Z18</f>
        <v>1958</v>
      </c>
      <c r="E24" s="8">
        <f>Population!K21</f>
        <v>-482990.84507042251</v>
      </c>
      <c r="F24" s="171">
        <f>Solidarité!I18</f>
        <v>-1027232.4819935074</v>
      </c>
      <c r="G24" s="8"/>
      <c r="H24" s="171">
        <f>Effort!K18+Aide!I18+Taux!K18</f>
        <v>0</v>
      </c>
      <c r="I24" s="234">
        <f t="shared" si="1"/>
        <v>-1510223.3270639298</v>
      </c>
      <c r="J24" s="294">
        <f t="shared" si="2"/>
        <v>795837.22519118723</v>
      </c>
      <c r="K24" s="389">
        <f t="shared" si="3"/>
        <v>-714386.10187274253</v>
      </c>
    </row>
    <row r="25" spans="1:11" x14ac:dyDescent="0.25">
      <c r="A25" s="38">
        <f>Données!A19</f>
        <v>5414</v>
      </c>
      <c r="B25" s="27" t="str">
        <f>Données!B19</f>
        <v>Villeneuve</v>
      </c>
      <c r="C25" s="26">
        <f>Ecrêtage!C19</f>
        <v>190081.59585185186</v>
      </c>
      <c r="D25" s="12">
        <f>Données!Z19</f>
        <v>6057</v>
      </c>
      <c r="E25" s="8">
        <f>Population!K22</f>
        <v>-2580428.1690140842</v>
      </c>
      <c r="F25" s="171">
        <f>Solidarité!I19</f>
        <v>-1992530.4084081696</v>
      </c>
      <c r="G25" s="8"/>
      <c r="H25" s="171">
        <f>Effort!K19+Aide!I19+Taux!K19</f>
        <v>0</v>
      </c>
      <c r="I25" s="234">
        <f t="shared" si="1"/>
        <v>-4572958.5774222538</v>
      </c>
      <c r="J25" s="294">
        <f t="shared" si="2"/>
        <v>3669922.4910748326</v>
      </c>
      <c r="K25" s="389">
        <f t="shared" si="3"/>
        <v>-903036.08634742117</v>
      </c>
    </row>
    <row r="26" spans="1:11" x14ac:dyDescent="0.25">
      <c r="A26" s="38">
        <f>Données!A20</f>
        <v>5415</v>
      </c>
      <c r="B26" s="27" t="str">
        <f>Données!B20</f>
        <v>Yvorne</v>
      </c>
      <c r="C26" s="26">
        <f>Ecrêtage!C20</f>
        <v>36781.248065268061</v>
      </c>
      <c r="D26" s="12">
        <f>Données!Z20</f>
        <v>1108</v>
      </c>
      <c r="E26" s="8">
        <f>Population!K23</f>
        <v>-170825.35211267602</v>
      </c>
      <c r="F26" s="171">
        <f>Solidarité!I20</f>
        <v>-367932.53601202043</v>
      </c>
      <c r="G26" s="8"/>
      <c r="H26" s="171">
        <f>Effort!K20+Aide!I20+Taux!K20</f>
        <v>0</v>
      </c>
      <c r="I26" s="234">
        <f t="shared" si="1"/>
        <v>-538757.88812469644</v>
      </c>
      <c r="J26" s="294">
        <f t="shared" si="2"/>
        <v>710138.86915036046</v>
      </c>
      <c r="K26" s="389">
        <f t="shared" si="3"/>
        <v>171380.98102566402</v>
      </c>
    </row>
    <row r="27" spans="1:11" x14ac:dyDescent="0.25">
      <c r="A27" s="38">
        <f>Données!A21</f>
        <v>5422</v>
      </c>
      <c r="B27" s="27" t="str">
        <f>Données!B21</f>
        <v>Aubonne</v>
      </c>
      <c r="C27" s="26">
        <f>Ecrêtage!C21</f>
        <v>418335.07808823534</v>
      </c>
      <c r="D27" s="12">
        <f>Données!Z21</f>
        <v>3841</v>
      </c>
      <c r="E27" s="8">
        <f>Population!K24</f>
        <v>-1306897.8873239434</v>
      </c>
      <c r="F27" s="171">
        <f>Solidarité!I21</f>
        <v>0</v>
      </c>
      <c r="G27" s="8"/>
      <c r="H27" s="171">
        <f>Effort!K21+Aide!I21+Taux!K21</f>
        <v>0</v>
      </c>
      <c r="I27" s="234">
        <f t="shared" si="1"/>
        <v>-1306897.8873239434</v>
      </c>
      <c r="J27" s="294">
        <f t="shared" si="2"/>
        <v>8076833.0305798212</v>
      </c>
      <c r="K27" s="389">
        <f t="shared" si="3"/>
        <v>6769935.1432558782</v>
      </c>
    </row>
    <row r="28" spans="1:11" x14ac:dyDescent="0.25">
      <c r="A28" s="38">
        <f>Données!A22</f>
        <v>5423</v>
      </c>
      <c r="B28" s="27" t="str">
        <f>Données!B22</f>
        <v>Ballens</v>
      </c>
      <c r="C28" s="26">
        <f>Ecrêtage!C22</f>
        <v>17582.856164383564</v>
      </c>
      <c r="D28" s="12">
        <f>Données!Z22</f>
        <v>576</v>
      </c>
      <c r="E28" s="8">
        <f>Population!K25</f>
        <v>-75549.295774647879</v>
      </c>
      <c r="F28" s="171">
        <f>Solidarité!I22</f>
        <v>-232117.98702530802</v>
      </c>
      <c r="G28" s="8"/>
      <c r="H28" s="171">
        <f>Effort!K22+Aide!I22+Taux!K22</f>
        <v>0</v>
      </c>
      <c r="I28" s="234">
        <f t="shared" si="1"/>
        <v>-307667.28279995592</v>
      </c>
      <c r="J28" s="294">
        <f t="shared" si="2"/>
        <v>339473.78759013268</v>
      </c>
      <c r="K28" s="389">
        <f t="shared" si="3"/>
        <v>31806.504790176754</v>
      </c>
    </row>
    <row r="29" spans="1:11" x14ac:dyDescent="0.25">
      <c r="A29" s="38">
        <f>Données!A23</f>
        <v>5424</v>
      </c>
      <c r="B29" s="27" t="str">
        <f>Données!B23</f>
        <v>Berolle</v>
      </c>
      <c r="C29" s="26">
        <f>Ecrêtage!C23</f>
        <v>10091.658013245033</v>
      </c>
      <c r="D29" s="12">
        <f>Données!Z23</f>
        <v>304</v>
      </c>
      <c r="E29" s="8">
        <f>Population!K26</f>
        <v>-39873.239436619711</v>
      </c>
      <c r="F29" s="171">
        <f>Solidarité!I23</f>
        <v>-112558.75088804963</v>
      </c>
      <c r="G29" s="8"/>
      <c r="H29" s="171">
        <f>Effort!K23+Aide!I23+Taux!K23</f>
        <v>0</v>
      </c>
      <c r="I29" s="234">
        <f t="shared" si="1"/>
        <v>-152431.99032466934</v>
      </c>
      <c r="J29" s="294">
        <f t="shared" si="2"/>
        <v>194840.55018092741</v>
      </c>
      <c r="K29" s="389">
        <f t="shared" si="3"/>
        <v>42408.559856258071</v>
      </c>
    </row>
    <row r="30" spans="1:11" x14ac:dyDescent="0.25">
      <c r="A30" s="38">
        <f>Données!A24</f>
        <v>5425</v>
      </c>
      <c r="B30" s="27" t="str">
        <f>Données!B24</f>
        <v>Bière</v>
      </c>
      <c r="C30" s="26">
        <f>Ecrêtage!C24</f>
        <v>44820.475767116455</v>
      </c>
      <c r="D30" s="12">
        <f>Données!Z24</f>
        <v>1717</v>
      </c>
      <c r="E30" s="8">
        <f>Population!K27</f>
        <v>-394482.74647887319</v>
      </c>
      <c r="F30" s="171">
        <f>Solidarité!I24</f>
        <v>-762542.95031374367</v>
      </c>
      <c r="G30" s="8"/>
      <c r="H30" s="171">
        <f>Effort!K24+Aide!I24+Taux!K24</f>
        <v>0</v>
      </c>
      <c r="I30" s="234">
        <f t="shared" si="1"/>
        <v>-1157025.696792617</v>
      </c>
      <c r="J30" s="294">
        <f t="shared" si="2"/>
        <v>865352.96245416428</v>
      </c>
      <c r="K30" s="389">
        <f t="shared" si="3"/>
        <v>-291672.73433845269</v>
      </c>
    </row>
    <row r="31" spans="1:11" x14ac:dyDescent="0.25">
      <c r="A31" s="38">
        <f>Données!A25</f>
        <v>5426</v>
      </c>
      <c r="B31" s="27" t="str">
        <f>Données!B25</f>
        <v>Bougy-Villars</v>
      </c>
      <c r="C31" s="26">
        <f>Ecrêtage!C25</f>
        <v>70059.66664082685</v>
      </c>
      <c r="D31" s="12">
        <f>Données!Z25</f>
        <v>512</v>
      </c>
      <c r="E31" s="8">
        <f>Population!K28</f>
        <v>-67154.929577464776</v>
      </c>
      <c r="F31" s="171">
        <f>Solidarité!I25</f>
        <v>0</v>
      </c>
      <c r="G31" s="8"/>
      <c r="H31" s="171">
        <f>Effort!K25+Aide!I25+Taux!K25</f>
        <v>0</v>
      </c>
      <c r="I31" s="234">
        <f t="shared" si="1"/>
        <v>-67154.929577464776</v>
      </c>
      <c r="J31" s="294">
        <f t="shared" si="2"/>
        <v>1352648.2938556974</v>
      </c>
      <c r="K31" s="389">
        <f t="shared" si="3"/>
        <v>1285493.3642782327</v>
      </c>
    </row>
    <row r="32" spans="1:11" x14ac:dyDescent="0.25">
      <c r="A32" s="38">
        <f>Données!A26</f>
        <v>5427</v>
      </c>
      <c r="B32" s="27" t="str">
        <f>Données!B26</f>
        <v>Féchy</v>
      </c>
      <c r="C32" s="26">
        <f>Ecrêtage!C26</f>
        <v>87019.406153846168</v>
      </c>
      <c r="D32" s="12">
        <f>Données!Z26</f>
        <v>896</v>
      </c>
      <c r="E32" s="8">
        <f>Population!K29</f>
        <v>-117521.12676056336</v>
      </c>
      <c r="F32" s="171">
        <f>Solidarité!I26</f>
        <v>0</v>
      </c>
      <c r="G32" s="8"/>
      <c r="H32" s="171">
        <f>Effort!K26+Aide!I26+Taux!K26</f>
        <v>0</v>
      </c>
      <c r="I32" s="234">
        <f t="shared" si="1"/>
        <v>-117521.12676056336</v>
      </c>
      <c r="J32" s="294">
        <f t="shared" si="2"/>
        <v>1680091.5121360733</v>
      </c>
      <c r="K32" s="389">
        <f t="shared" si="3"/>
        <v>1562570.38537551</v>
      </c>
    </row>
    <row r="33" spans="1:11" x14ac:dyDescent="0.25">
      <c r="A33" s="38">
        <f>Données!A27</f>
        <v>5428</v>
      </c>
      <c r="B33" s="27" t="str">
        <f>Données!B27</f>
        <v>Gimel</v>
      </c>
      <c r="C33" s="26">
        <f>Ecrêtage!C27</f>
        <v>72073.620570776256</v>
      </c>
      <c r="D33" s="12">
        <f>Données!Z27</f>
        <v>2465</v>
      </c>
      <c r="E33" s="8">
        <f>Population!K30</f>
        <v>-669188.38028169004</v>
      </c>
      <c r="F33" s="171">
        <f>Solidarité!I27</f>
        <v>-1060874.9247683005</v>
      </c>
      <c r="G33" s="8"/>
      <c r="H33" s="171">
        <f>Effort!K27+Aide!I27+Taux!K27</f>
        <v>0</v>
      </c>
      <c r="I33" s="234">
        <f t="shared" si="1"/>
        <v>-1730063.3050499905</v>
      </c>
      <c r="J33" s="294">
        <f t="shared" si="2"/>
        <v>1391531.8837707906</v>
      </c>
      <c r="K33" s="389">
        <f t="shared" si="3"/>
        <v>-338531.42127919989</v>
      </c>
    </row>
    <row r="34" spans="1:11" x14ac:dyDescent="0.25">
      <c r="A34" s="38">
        <f>Données!A28</f>
        <v>5429</v>
      </c>
      <c r="B34" s="27" t="str">
        <f>Données!B28</f>
        <v>Longirod</v>
      </c>
      <c r="C34" s="26">
        <f>Ecrêtage!C28</f>
        <v>19283.044387096772</v>
      </c>
      <c r="D34" s="12">
        <f>Données!Z28</f>
        <v>555</v>
      </c>
      <c r="E34" s="8">
        <f>Population!K31</f>
        <v>-72794.894366197172</v>
      </c>
      <c r="F34" s="171">
        <f>Solidarité!I28</f>
        <v>-195915.40085496911</v>
      </c>
      <c r="G34" s="8"/>
      <c r="H34" s="171">
        <f>Effort!K28+Aide!I28+Taux!K28</f>
        <v>0</v>
      </c>
      <c r="I34" s="234">
        <f t="shared" si="1"/>
        <v>-268710.29522116628</v>
      </c>
      <c r="J34" s="294">
        <f t="shared" si="2"/>
        <v>372299.47473587201</v>
      </c>
      <c r="K34" s="389">
        <f t="shared" si="3"/>
        <v>103589.17951470573</v>
      </c>
    </row>
    <row r="35" spans="1:11" x14ac:dyDescent="0.25">
      <c r="A35" s="38">
        <f>Données!A29</f>
        <v>5430</v>
      </c>
      <c r="B35" s="27" t="str">
        <f>Données!B29</f>
        <v>Marchissy</v>
      </c>
      <c r="C35" s="26">
        <f>Ecrêtage!C29</f>
        <v>16181.195483870966</v>
      </c>
      <c r="D35" s="12">
        <f>Données!Z29</f>
        <v>508</v>
      </c>
      <c r="E35" s="8">
        <f>Population!K32</f>
        <v>-66630.281690140837</v>
      </c>
      <c r="F35" s="171">
        <f>Solidarité!I29</f>
        <v>-214561.10932551639</v>
      </c>
      <c r="G35" s="8"/>
      <c r="H35" s="171">
        <f>Effort!K29+Aide!I29+Taux!K29</f>
        <v>0</v>
      </c>
      <c r="I35" s="234">
        <f t="shared" si="1"/>
        <v>-281191.39101565722</v>
      </c>
      <c r="J35" s="294">
        <f t="shared" si="2"/>
        <v>312411.79858895857</v>
      </c>
      <c r="K35" s="389">
        <f t="shared" si="3"/>
        <v>31220.407573301345</v>
      </c>
    </row>
    <row r="36" spans="1:11" x14ac:dyDescent="0.25">
      <c r="A36" s="38">
        <f>Données!A30</f>
        <v>5431</v>
      </c>
      <c r="B36" s="27" t="str">
        <f>Données!B30</f>
        <v>Mollens</v>
      </c>
      <c r="C36" s="26">
        <f>Ecrêtage!C30</f>
        <v>9356.399324324324</v>
      </c>
      <c r="D36" s="12">
        <f>Données!Z30</f>
        <v>322</v>
      </c>
      <c r="E36" s="8">
        <f>Population!K33</f>
        <v>-42234.15492957746</v>
      </c>
      <c r="F36" s="171">
        <f>Solidarité!I30</f>
        <v>-143682.83959974282</v>
      </c>
      <c r="G36" s="8"/>
      <c r="H36" s="171">
        <f>Effort!K30+Aide!I30+Taux!K30</f>
        <v>0</v>
      </c>
      <c r="I36" s="234">
        <f t="shared" si="1"/>
        <v>-185916.99452932028</v>
      </c>
      <c r="J36" s="294">
        <f t="shared" si="2"/>
        <v>180644.84445183954</v>
      </c>
      <c r="K36" s="389">
        <f t="shared" si="3"/>
        <v>-5272.1500774807355</v>
      </c>
    </row>
    <row r="37" spans="1:11" x14ac:dyDescent="0.25">
      <c r="A37" s="38">
        <f>Données!A31</f>
        <v>5434</v>
      </c>
      <c r="B37" s="27" t="str">
        <f>Données!B31</f>
        <v>Saint-George</v>
      </c>
      <c r="C37" s="26">
        <f>Ecrêtage!C31</f>
        <v>46184.394316546764</v>
      </c>
      <c r="D37" s="12">
        <f>Données!Z31</f>
        <v>1061</v>
      </c>
      <c r="E37" s="8">
        <f>Population!K34</f>
        <v>-153564.43661971827</v>
      </c>
      <c r="F37" s="171">
        <f>Solidarité!I31</f>
        <v>-121384.68203949212</v>
      </c>
      <c r="G37" s="8"/>
      <c r="H37" s="171">
        <f>Effort!K31+Aide!I31+Taux!K31</f>
        <v>0</v>
      </c>
      <c r="I37" s="234">
        <f t="shared" si="1"/>
        <v>-274949.11865921039</v>
      </c>
      <c r="J37" s="294">
        <f t="shared" si="2"/>
        <v>891686.26073123515</v>
      </c>
      <c r="K37" s="389">
        <f t="shared" si="3"/>
        <v>616737.14207202476</v>
      </c>
    </row>
    <row r="38" spans="1:11" x14ac:dyDescent="0.25">
      <c r="A38" s="38">
        <f>Données!A32</f>
        <v>5435</v>
      </c>
      <c r="B38" s="27" t="str">
        <f>Données!B32</f>
        <v>Saint-Livres</v>
      </c>
      <c r="C38" s="26">
        <f>Ecrêtage!C32</f>
        <v>26399.909565217389</v>
      </c>
      <c r="D38" s="12">
        <f>Données!Z32</f>
        <v>697</v>
      </c>
      <c r="E38" s="8">
        <f>Population!K35</f>
        <v>-91419.894366197172</v>
      </c>
      <c r="F38" s="171">
        <f>Solidarité!I32</f>
        <v>-153516.48091451349</v>
      </c>
      <c r="G38" s="8"/>
      <c r="H38" s="171">
        <f>Effort!K32+Aide!I32+Taux!K32</f>
        <v>0</v>
      </c>
      <c r="I38" s="234">
        <f t="shared" si="1"/>
        <v>-244936.37528071066</v>
      </c>
      <c r="J38" s="294">
        <f t="shared" si="2"/>
        <v>509705.43172020093</v>
      </c>
      <c r="K38" s="389">
        <f t="shared" si="3"/>
        <v>264769.05643949029</v>
      </c>
    </row>
    <row r="39" spans="1:11" x14ac:dyDescent="0.25">
      <c r="A39" s="38">
        <f>Données!A33</f>
        <v>5436</v>
      </c>
      <c r="B39" s="27" t="str">
        <f>Données!B33</f>
        <v>Saint-Oyens</v>
      </c>
      <c r="C39" s="26">
        <f>Ecrêtage!C33</f>
        <v>15917.295474683544</v>
      </c>
      <c r="D39" s="12">
        <f>Données!Z33</f>
        <v>450</v>
      </c>
      <c r="E39" s="8">
        <f>Population!K36</f>
        <v>-59022.887323943651</v>
      </c>
      <c r="F39" s="171">
        <f>Solidarité!I33</f>
        <v>-158019.73876526664</v>
      </c>
      <c r="G39" s="8"/>
      <c r="H39" s="171">
        <f>Effort!K33+Aide!I33+Taux!K33</f>
        <v>0</v>
      </c>
      <c r="I39" s="234">
        <f t="shared" si="1"/>
        <v>-217042.62608921027</v>
      </c>
      <c r="J39" s="294">
        <f t="shared" si="2"/>
        <v>307316.65734305588</v>
      </c>
      <c r="K39" s="389">
        <f t="shared" si="3"/>
        <v>90274.031253845606</v>
      </c>
    </row>
    <row r="40" spans="1:11" x14ac:dyDescent="0.25">
      <c r="A40" s="38">
        <f>Données!A34</f>
        <v>5437</v>
      </c>
      <c r="B40" s="27" t="str">
        <f>Données!B34</f>
        <v>Saubraz</v>
      </c>
      <c r="C40" s="26">
        <f>Ecrêtage!C34</f>
        <v>16749.450625000005</v>
      </c>
      <c r="D40" s="12">
        <f>Données!Z34</f>
        <v>449</v>
      </c>
      <c r="E40" s="8">
        <f>Population!K37</f>
        <v>-58891.725352112662</v>
      </c>
      <c r="F40" s="171">
        <f>Solidarité!I34</f>
        <v>-139510.03912671946</v>
      </c>
      <c r="G40" s="8"/>
      <c r="H40" s="171">
        <f>Effort!K34+Aide!I34+Taux!K34</f>
        <v>0</v>
      </c>
      <c r="I40" s="234">
        <f t="shared" si="1"/>
        <v>-198401.76447883213</v>
      </c>
      <c r="J40" s="294">
        <f t="shared" si="2"/>
        <v>323383.15177942609</v>
      </c>
      <c r="K40" s="389">
        <f t="shared" si="3"/>
        <v>124981.38730059395</v>
      </c>
    </row>
    <row r="41" spans="1:11" x14ac:dyDescent="0.25">
      <c r="A41" s="38">
        <f>Données!A35</f>
        <v>5451</v>
      </c>
      <c r="B41" s="27" t="str">
        <f>Données!B35</f>
        <v>Avenches</v>
      </c>
      <c r="C41" s="26">
        <f>Ecrêtage!C35</f>
        <v>143864.88553846153</v>
      </c>
      <c r="D41" s="12">
        <f>Données!Z35</f>
        <v>4873</v>
      </c>
      <c r="E41" s="8">
        <f>Population!K38</f>
        <v>-1848334.5070422532</v>
      </c>
      <c r="F41" s="171">
        <f>Solidarité!I35</f>
        <v>-1639382.3564892297</v>
      </c>
      <c r="G41" s="8"/>
      <c r="H41" s="171">
        <f>Effort!K35+Aide!I35+Taux!K35</f>
        <v>0</v>
      </c>
      <c r="I41" s="234">
        <f t="shared" si="1"/>
        <v>-3487716.8635314829</v>
      </c>
      <c r="J41" s="294">
        <f t="shared" si="2"/>
        <v>2777612.3024819535</v>
      </c>
      <c r="K41" s="389">
        <f t="shared" si="3"/>
        <v>-710104.56104952935</v>
      </c>
    </row>
    <row r="42" spans="1:11" x14ac:dyDescent="0.25">
      <c r="A42" s="38">
        <f>Données!A36</f>
        <v>5456</v>
      </c>
      <c r="B42" s="27" t="str">
        <f>Données!B36</f>
        <v>Cudrefin</v>
      </c>
      <c r="C42" s="26">
        <f>Ecrêtage!C36</f>
        <v>70775.484519773992</v>
      </c>
      <c r="D42" s="12">
        <f>Données!Z36</f>
        <v>1878</v>
      </c>
      <c r="E42" s="8">
        <f>Population!K39</f>
        <v>-453610.56338028167</v>
      </c>
      <c r="F42" s="171">
        <f>Solidarité!I36</f>
        <v>-307386.36298897077</v>
      </c>
      <c r="G42" s="8"/>
      <c r="H42" s="171">
        <f>Effort!K36+Aide!I36+Taux!K36</f>
        <v>0</v>
      </c>
      <c r="I42" s="234">
        <f t="shared" si="1"/>
        <v>-760996.92636925238</v>
      </c>
      <c r="J42" s="294">
        <f t="shared" si="2"/>
        <v>1366468.6541156622</v>
      </c>
      <c r="K42" s="389">
        <f t="shared" si="3"/>
        <v>605471.72774640983</v>
      </c>
    </row>
    <row r="43" spans="1:11" x14ac:dyDescent="0.25">
      <c r="A43" s="38">
        <f>Données!A37</f>
        <v>5458</v>
      </c>
      <c r="B43" s="27" t="str">
        <f>Données!B37</f>
        <v>Faoug</v>
      </c>
      <c r="C43" s="26">
        <f>Ecrêtage!C37</f>
        <v>30258.802820512818</v>
      </c>
      <c r="D43" s="12">
        <f>Données!Z37</f>
        <v>906</v>
      </c>
      <c r="E43" s="8">
        <f>Population!K40</f>
        <v>-118832.74647887322</v>
      </c>
      <c r="F43" s="171">
        <f>Solidarité!I37</f>
        <v>-245549.36147288739</v>
      </c>
      <c r="G43" s="8"/>
      <c r="H43" s="171">
        <f>Effort!K37+Aide!I37+Taux!K37</f>
        <v>0</v>
      </c>
      <c r="I43" s="234">
        <f t="shared" si="1"/>
        <v>-364382.10795176064</v>
      </c>
      <c r="J43" s="294">
        <f t="shared" si="2"/>
        <v>584209.43135677441</v>
      </c>
      <c r="K43" s="389">
        <f t="shared" si="3"/>
        <v>219827.32340501377</v>
      </c>
    </row>
    <row r="44" spans="1:11" x14ac:dyDescent="0.25">
      <c r="A44" s="38">
        <f>Données!A38</f>
        <v>5464</v>
      </c>
      <c r="B44" s="27" t="str">
        <f>Données!B38</f>
        <v>Vully-les-Lacs</v>
      </c>
      <c r="C44" s="26">
        <f>Ecrêtage!C38</f>
        <v>128619.64756218906</v>
      </c>
      <c r="D44" s="12">
        <f>Données!Z38</f>
        <v>3614</v>
      </c>
      <c r="E44" s="8">
        <f>Population!K41</f>
        <v>-1187802.8169014081</v>
      </c>
      <c r="F44" s="171">
        <f>Solidarité!I38</f>
        <v>-898720.53048192139</v>
      </c>
      <c r="G44" s="8"/>
      <c r="H44" s="171">
        <f>Effort!K38+Aide!I38+Taux!K38</f>
        <v>0</v>
      </c>
      <c r="I44" s="234">
        <f t="shared" si="1"/>
        <v>-2086523.3473833296</v>
      </c>
      <c r="J44" s="294">
        <f t="shared" si="2"/>
        <v>2483271.1197905131</v>
      </c>
      <c r="K44" s="389">
        <f t="shared" si="3"/>
        <v>396747.77240718342</v>
      </c>
    </row>
    <row r="45" spans="1:11" x14ac:dyDescent="0.25">
      <c r="A45" s="38">
        <f>Données!A39</f>
        <v>5471</v>
      </c>
      <c r="B45" s="27" t="str">
        <f>Données!B39</f>
        <v>Bettens</v>
      </c>
      <c r="C45" s="26">
        <f>Ecrêtage!C39</f>
        <v>23731.223904761908</v>
      </c>
      <c r="D45" s="12">
        <f>Données!Z39</f>
        <v>644</v>
      </c>
      <c r="E45" s="8">
        <f>Population!K42</f>
        <v>-84468.309859154921</v>
      </c>
      <c r="F45" s="171">
        <f>Solidarité!I39</f>
        <v>-158924.97819440882</v>
      </c>
      <c r="G45" s="8"/>
      <c r="H45" s="171">
        <f>Effort!K39+Aide!I39+Taux!K39</f>
        <v>0</v>
      </c>
      <c r="I45" s="234">
        <f t="shared" si="1"/>
        <v>-243393.28805356374</v>
      </c>
      <c r="J45" s="294">
        <f t="shared" si="2"/>
        <v>458180.87731490366</v>
      </c>
      <c r="K45" s="389">
        <f t="shared" si="3"/>
        <v>214787.58926133992</v>
      </c>
    </row>
    <row r="46" spans="1:11" x14ac:dyDescent="0.25">
      <c r="A46" s="38">
        <f>Données!A40</f>
        <v>5472</v>
      </c>
      <c r="B46" s="27" t="str">
        <f>Données!B40</f>
        <v>Bournens</v>
      </c>
      <c r="C46" s="26">
        <f>Ecrêtage!C40</f>
        <v>20138.90088235294</v>
      </c>
      <c r="D46" s="12">
        <f>Données!Z40</f>
        <v>519</v>
      </c>
      <c r="E46" s="8">
        <f>Population!K43</f>
        <v>-68073.063380281674</v>
      </c>
      <c r="F46" s="171">
        <f>Solidarité!I40</f>
        <v>-102138.69704781733</v>
      </c>
      <c r="G46" s="8"/>
      <c r="H46" s="171">
        <f>Effort!K40+Aide!I40+Taux!K40</f>
        <v>0</v>
      </c>
      <c r="I46" s="234">
        <f t="shared" si="1"/>
        <v>-170211.76042809902</v>
      </c>
      <c r="J46" s="294">
        <f t="shared" si="2"/>
        <v>388823.57317368768</v>
      </c>
      <c r="K46" s="389">
        <f t="shared" si="3"/>
        <v>218611.81274558866</v>
      </c>
    </row>
    <row r="47" spans="1:11" x14ac:dyDescent="0.25">
      <c r="A47" s="38">
        <f>Données!A41</f>
        <v>5473</v>
      </c>
      <c r="B47" s="27" t="str">
        <f>Données!B41</f>
        <v>Boussens</v>
      </c>
      <c r="C47" s="26">
        <f>Ecrêtage!C41</f>
        <v>38661.720757575771</v>
      </c>
      <c r="D47" s="12">
        <f>Données!Z41</f>
        <v>1023</v>
      </c>
      <c r="E47" s="8">
        <f>Population!K44</f>
        <v>-139608.80281690139</v>
      </c>
      <c r="F47" s="171">
        <f>Solidarité!I41</f>
        <v>-207646.87373916528</v>
      </c>
      <c r="G47" s="8"/>
      <c r="H47" s="171">
        <f>Effort!K41+Aide!I41+Taux!K41</f>
        <v>0</v>
      </c>
      <c r="I47" s="234">
        <f t="shared" si="1"/>
        <v>-347255.67655606667</v>
      </c>
      <c r="J47" s="294">
        <f t="shared" si="2"/>
        <v>746445.32478813222</v>
      </c>
      <c r="K47" s="389">
        <f t="shared" si="3"/>
        <v>399189.64823206555</v>
      </c>
    </row>
    <row r="48" spans="1:11" x14ac:dyDescent="0.25">
      <c r="A48" s="38">
        <f>Données!A42</f>
        <v>5474</v>
      </c>
      <c r="B48" s="27" t="str">
        <f>Données!B42</f>
        <v>La Chaux (Cossonay)</v>
      </c>
      <c r="C48" s="26">
        <f>Ecrêtage!C42</f>
        <v>14789.202587719299</v>
      </c>
      <c r="D48" s="12">
        <f>Données!Z42</f>
        <v>433</v>
      </c>
      <c r="E48" s="8">
        <f>Population!K45</f>
        <v>-56793.13380281689</v>
      </c>
      <c r="F48" s="171">
        <f>Solidarité!I42</f>
        <v>-152873.58949548443</v>
      </c>
      <c r="G48" s="8"/>
      <c r="H48" s="171">
        <f>Effort!K42+Aide!I42+Taux!K42</f>
        <v>0</v>
      </c>
      <c r="I48" s="234">
        <f t="shared" si="1"/>
        <v>-209666.72329830131</v>
      </c>
      <c r="J48" s="294">
        <f t="shared" si="2"/>
        <v>285536.4663711834</v>
      </c>
      <c r="K48" s="389">
        <f t="shared" si="3"/>
        <v>75869.743072882091</v>
      </c>
    </row>
    <row r="49" spans="1:11" x14ac:dyDescent="0.25">
      <c r="A49" s="38">
        <f>Données!A43</f>
        <v>5475</v>
      </c>
      <c r="B49" s="27" t="str">
        <f>Données!B43</f>
        <v>Chavannes-le-Veyron</v>
      </c>
      <c r="C49" s="26">
        <f>Ecrêtage!C43</f>
        <v>4582.5893333333333</v>
      </c>
      <c r="D49" s="12">
        <f>Données!Z43</f>
        <v>158</v>
      </c>
      <c r="E49" s="8">
        <f>Population!K46</f>
        <v>-20723.591549295772</v>
      </c>
      <c r="F49" s="171">
        <f>Solidarité!I43</f>
        <v>-72610.705603669398</v>
      </c>
      <c r="G49" s="8"/>
      <c r="H49" s="171">
        <f>Effort!K43+Aide!I43+Taux!K43</f>
        <v>0</v>
      </c>
      <c r="I49" s="234">
        <f t="shared" si="1"/>
        <v>-93334.29715296517</v>
      </c>
      <c r="J49" s="294">
        <f t="shared" si="2"/>
        <v>88476.464995944407</v>
      </c>
      <c r="K49" s="389">
        <f t="shared" si="3"/>
        <v>-4857.8321570207627</v>
      </c>
    </row>
    <row r="50" spans="1:11" x14ac:dyDescent="0.25">
      <c r="A50" s="38">
        <f>Données!A44</f>
        <v>5476</v>
      </c>
      <c r="B50" s="27" t="str">
        <f>Données!B44</f>
        <v>Chevilly</v>
      </c>
      <c r="C50" s="26">
        <f>Ecrêtage!C44</f>
        <v>13414.448028169016</v>
      </c>
      <c r="D50" s="12">
        <f>Données!Z44</f>
        <v>337</v>
      </c>
      <c r="E50" s="8">
        <f>Population!K47</f>
        <v>-44201.584507042244</v>
      </c>
      <c r="F50" s="171">
        <f>Solidarité!I44</f>
        <v>-65502.176642901453</v>
      </c>
      <c r="G50" s="8"/>
      <c r="H50" s="171">
        <f>Effort!K44+Aide!I44+Taux!K44</f>
        <v>0</v>
      </c>
      <c r="I50" s="234">
        <f t="shared" si="1"/>
        <v>-109703.76114994369</v>
      </c>
      <c r="J50" s="294">
        <f t="shared" si="2"/>
        <v>258993.95627076586</v>
      </c>
      <c r="K50" s="389">
        <f t="shared" si="3"/>
        <v>149290.19512082217</v>
      </c>
    </row>
    <row r="51" spans="1:11" x14ac:dyDescent="0.25">
      <c r="A51" s="38">
        <f>Données!A45</f>
        <v>5477</v>
      </c>
      <c r="B51" s="27" t="str">
        <f>Données!B45</f>
        <v>Cossonay</v>
      </c>
      <c r="C51" s="26">
        <f>Ecrêtage!C45</f>
        <v>157014.45764705885</v>
      </c>
      <c r="D51" s="12">
        <f>Données!Z45</f>
        <v>4772</v>
      </c>
      <c r="E51" s="8">
        <f>Population!K48</f>
        <v>-1795345.0704225348</v>
      </c>
      <c r="F51" s="171">
        <f>Solidarité!I45</f>
        <v>-1459095.6610671151</v>
      </c>
      <c r="G51" s="8"/>
      <c r="H51" s="171">
        <f>Effort!K45+Aide!I45+Taux!K45</f>
        <v>0</v>
      </c>
      <c r="I51" s="234">
        <f t="shared" si="1"/>
        <v>-3254440.73148965</v>
      </c>
      <c r="J51" s="294">
        <f t="shared" si="2"/>
        <v>3031492.2755171312</v>
      </c>
      <c r="K51" s="389">
        <f t="shared" si="3"/>
        <v>-222948.45597251877</v>
      </c>
    </row>
    <row r="52" spans="1:11" x14ac:dyDescent="0.25">
      <c r="A52" s="38">
        <f>Données!A46</f>
        <v>5479</v>
      </c>
      <c r="B52" s="27" t="str">
        <f>Données!B46</f>
        <v>Cuarnens</v>
      </c>
      <c r="C52" s="26">
        <f>Ecrêtage!C46</f>
        <v>18824.412763157892</v>
      </c>
      <c r="D52" s="12">
        <f>Données!Z46</f>
        <v>541</v>
      </c>
      <c r="E52" s="8">
        <f>Population!K49</f>
        <v>-70958.626760563362</v>
      </c>
      <c r="F52" s="171">
        <f>Solidarité!I46</f>
        <v>-183011.37197402655</v>
      </c>
      <c r="G52" s="8"/>
      <c r="H52" s="171">
        <f>Effort!K46+Aide!I46+Taux!K46</f>
        <v>0</v>
      </c>
      <c r="I52" s="234">
        <f t="shared" si="1"/>
        <v>-253969.9987345899</v>
      </c>
      <c r="J52" s="294">
        <f t="shared" si="2"/>
        <v>363444.63266518939</v>
      </c>
      <c r="K52" s="389">
        <f t="shared" si="3"/>
        <v>109474.63393059949</v>
      </c>
    </row>
    <row r="53" spans="1:11" x14ac:dyDescent="0.25">
      <c r="A53" s="38">
        <f>Données!A47</f>
        <v>5480</v>
      </c>
      <c r="B53" s="27" t="str">
        <f>Données!B47</f>
        <v>Daillens</v>
      </c>
      <c r="C53" s="26">
        <f>Ecrêtage!C47</f>
        <v>49216.067727272741</v>
      </c>
      <c r="D53" s="12">
        <f>Données!Z47</f>
        <v>1062</v>
      </c>
      <c r="E53" s="8">
        <f>Population!K50</f>
        <v>-153931.69014084505</v>
      </c>
      <c r="F53" s="171">
        <f>Solidarité!I47</f>
        <v>-57582.477968590436</v>
      </c>
      <c r="G53" s="8"/>
      <c r="H53" s="171">
        <f>Effort!K47+Aide!I47+Taux!K47</f>
        <v>0</v>
      </c>
      <c r="I53" s="234">
        <f t="shared" si="1"/>
        <v>-211514.16810943547</v>
      </c>
      <c r="J53" s="294">
        <f t="shared" si="2"/>
        <v>950219.0523240011</v>
      </c>
      <c r="K53" s="389">
        <f t="shared" si="3"/>
        <v>738704.88421456562</v>
      </c>
    </row>
    <row r="54" spans="1:11" x14ac:dyDescent="0.25">
      <c r="A54" s="38">
        <f>Données!A48</f>
        <v>5481</v>
      </c>
      <c r="B54" s="27" t="str">
        <f>Données!B48</f>
        <v>Dizy</v>
      </c>
      <c r="C54" s="26">
        <f>Ecrêtage!C48</f>
        <v>8943.6092000000008</v>
      </c>
      <c r="D54" s="12">
        <f>Données!Z48</f>
        <v>237</v>
      </c>
      <c r="E54" s="8">
        <f>Population!K51</f>
        <v>-31085.387323943658</v>
      </c>
      <c r="F54" s="171">
        <f>Solidarité!I48</f>
        <v>-62417.007266361223</v>
      </c>
      <c r="G54" s="8"/>
      <c r="H54" s="171">
        <f>Effort!K48+Aide!I48+Taux!K48</f>
        <v>0</v>
      </c>
      <c r="I54" s="234">
        <f t="shared" si="1"/>
        <v>-93502.394590304873</v>
      </c>
      <c r="J54" s="294">
        <f t="shared" si="2"/>
        <v>172675.06834299353</v>
      </c>
      <c r="K54" s="389">
        <f t="shared" si="3"/>
        <v>79172.673752688657</v>
      </c>
    </row>
    <row r="55" spans="1:11" x14ac:dyDescent="0.25">
      <c r="A55" s="38">
        <f>Données!A49</f>
        <v>5482</v>
      </c>
      <c r="B55" s="27" t="str">
        <f>Données!B49</f>
        <v>Eclépens</v>
      </c>
      <c r="C55" s="26">
        <f>Ecrêtage!C49</f>
        <v>57580.307391304363</v>
      </c>
      <c r="D55" s="12">
        <f>Données!Z49</f>
        <v>1182</v>
      </c>
      <c r="E55" s="8">
        <f>Population!K52</f>
        <v>-198002.11267605631</v>
      </c>
      <c r="F55" s="171">
        <f>Solidarité!I49</f>
        <v>-7442.3802743426613</v>
      </c>
      <c r="G55" s="8"/>
      <c r="H55" s="171">
        <f>Effort!K49+Aide!I49+Taux!K49</f>
        <v>0</v>
      </c>
      <c r="I55" s="234">
        <f t="shared" si="1"/>
        <v>-205444.49295039897</v>
      </c>
      <c r="J55" s="294">
        <f t="shared" si="2"/>
        <v>1111708.1808543305</v>
      </c>
      <c r="K55" s="389">
        <f t="shared" si="3"/>
        <v>906263.6879039316</v>
      </c>
    </row>
    <row r="56" spans="1:11" x14ac:dyDescent="0.25">
      <c r="A56" s="38">
        <f>Données!A50</f>
        <v>5483</v>
      </c>
      <c r="B56" s="27" t="str">
        <f>Données!B50</f>
        <v>Ferreyres</v>
      </c>
      <c r="C56" s="26">
        <f>Ecrêtage!C50</f>
        <v>11908.696842105262</v>
      </c>
      <c r="D56" s="12">
        <f>Données!Z50</f>
        <v>319</v>
      </c>
      <c r="E56" s="8">
        <f>Population!K53</f>
        <v>-41840.669014084502</v>
      </c>
      <c r="F56" s="171">
        <f>Solidarité!I50</f>
        <v>-89251.504978212703</v>
      </c>
      <c r="G56" s="8"/>
      <c r="H56" s="171">
        <f>Effort!K50+Aide!I50+Taux!K50</f>
        <v>0</v>
      </c>
      <c r="I56" s="234">
        <f t="shared" si="1"/>
        <v>-131092.1739922972</v>
      </c>
      <c r="J56" s="294">
        <f t="shared" si="2"/>
        <v>229922.28250385955</v>
      </c>
      <c r="K56" s="389">
        <f t="shared" si="3"/>
        <v>98830.108511562343</v>
      </c>
    </row>
    <row r="57" spans="1:11" x14ac:dyDescent="0.25">
      <c r="A57" s="38">
        <f>Données!A51</f>
        <v>5484</v>
      </c>
      <c r="B57" s="27" t="str">
        <f>Données!B51</f>
        <v>Gollion</v>
      </c>
      <c r="C57" s="26">
        <f>Ecrêtage!C51</f>
        <v>34768.807162162164</v>
      </c>
      <c r="D57" s="12">
        <f>Données!Z51</f>
        <v>1064</v>
      </c>
      <c r="E57" s="8">
        <f>Population!K54</f>
        <v>-154666.19718309856</v>
      </c>
      <c r="F57" s="171">
        <f>Solidarité!I51</f>
        <v>-390530.06822454539</v>
      </c>
      <c r="G57" s="8"/>
      <c r="H57" s="171">
        <f>Effort!K51+Aide!I51+Taux!K51</f>
        <v>0</v>
      </c>
      <c r="I57" s="234">
        <f t="shared" si="1"/>
        <v>-545196.26540764398</v>
      </c>
      <c r="J57" s="294">
        <f t="shared" si="2"/>
        <v>671284.49138080783</v>
      </c>
      <c r="K57" s="389">
        <f t="shared" si="3"/>
        <v>126088.22597316385</v>
      </c>
    </row>
    <row r="58" spans="1:11" x14ac:dyDescent="0.25">
      <c r="A58" s="38">
        <f>Données!A52</f>
        <v>5485</v>
      </c>
      <c r="B58" s="27" t="str">
        <f>Données!B52</f>
        <v>Grancy</v>
      </c>
      <c r="C58" s="26">
        <f>Ecrêtage!C52</f>
        <v>29330.080571428571</v>
      </c>
      <c r="D58" s="12">
        <f>Données!Z52</f>
        <v>547</v>
      </c>
      <c r="E58" s="8">
        <f>Population!K55</f>
        <v>-71745.598591549278</v>
      </c>
      <c r="F58" s="171">
        <f>Solidarité!I52</f>
        <v>0</v>
      </c>
      <c r="G58" s="8"/>
      <c r="H58" s="171">
        <f>Effort!K52+Aide!I52+Taux!K52</f>
        <v>0</v>
      </c>
      <c r="I58" s="234">
        <f t="shared" si="1"/>
        <v>-71745.598591549278</v>
      </c>
      <c r="J58" s="294">
        <f t="shared" si="2"/>
        <v>566278.50724704459</v>
      </c>
      <c r="K58" s="389">
        <f t="shared" si="3"/>
        <v>494532.90865549532</v>
      </c>
    </row>
    <row r="59" spans="1:11" x14ac:dyDescent="0.25">
      <c r="A59" s="38">
        <f>Données!A53</f>
        <v>5486</v>
      </c>
      <c r="B59" s="27" t="str">
        <f>Données!B53</f>
        <v>L'Isle</v>
      </c>
      <c r="C59" s="26">
        <f>Ecrêtage!C53</f>
        <v>33915.013599999991</v>
      </c>
      <c r="D59" s="12">
        <f>Données!Z53</f>
        <v>1088</v>
      </c>
      <c r="E59" s="8">
        <f>Population!K56</f>
        <v>-163480.28169014081</v>
      </c>
      <c r="F59" s="171">
        <f>Solidarité!I53</f>
        <v>-447005.85206277476</v>
      </c>
      <c r="G59" s="8"/>
      <c r="H59" s="171">
        <f>Effort!K53+Aide!I53+Taux!K53</f>
        <v>0</v>
      </c>
      <c r="I59" s="234">
        <f t="shared" si="1"/>
        <v>-610486.13375291554</v>
      </c>
      <c r="J59" s="294">
        <f t="shared" si="2"/>
        <v>654800.22217803891</v>
      </c>
      <c r="K59" s="389">
        <f t="shared" si="3"/>
        <v>44314.088425123366</v>
      </c>
    </row>
    <row r="60" spans="1:11" x14ac:dyDescent="0.25">
      <c r="A60" s="38">
        <f>Données!A54</f>
        <v>5487</v>
      </c>
      <c r="B60" s="27" t="str">
        <f>Données!B54</f>
        <v>Lussery-Villars</v>
      </c>
      <c r="C60" s="26">
        <f>Ecrêtage!C54</f>
        <v>14930.073733333335</v>
      </c>
      <c r="D60" s="12">
        <f>Données!Z54</f>
        <v>473</v>
      </c>
      <c r="E60" s="8">
        <f>Population!K57</f>
        <v>-62039.612676056327</v>
      </c>
      <c r="F60" s="171">
        <f>Solidarité!I54</f>
        <v>-190158.92302319733</v>
      </c>
      <c r="G60" s="8"/>
      <c r="H60" s="171">
        <f>Effort!K54+Aide!I54+Taux!K54</f>
        <v>0</v>
      </c>
      <c r="I60" s="234">
        <f t="shared" si="1"/>
        <v>-252198.53569925367</v>
      </c>
      <c r="J60" s="294">
        <f t="shared" si="2"/>
        <v>288256.27826730913</v>
      </c>
      <c r="K60" s="389">
        <f t="shared" si="3"/>
        <v>36057.742568055459</v>
      </c>
    </row>
    <row r="61" spans="1:11" x14ac:dyDescent="0.25">
      <c r="A61" s="38">
        <f>Données!A55</f>
        <v>5488</v>
      </c>
      <c r="B61" s="27" t="str">
        <f>Données!B55</f>
        <v>Mauraz</v>
      </c>
      <c r="C61" s="26">
        <f>Ecrêtage!C55</f>
        <v>1845.4819480519479</v>
      </c>
      <c r="D61" s="12">
        <f>Données!Z55</f>
        <v>64</v>
      </c>
      <c r="E61" s="8">
        <f>Population!K58</f>
        <v>-8394.366197183097</v>
      </c>
      <c r="F61" s="171">
        <f>Solidarité!I55</f>
        <v>-31256.208232196281</v>
      </c>
      <c r="G61" s="8"/>
      <c r="H61" s="171">
        <f>Effort!K55+Aide!I55+Taux!K55</f>
        <v>0</v>
      </c>
      <c r="I61" s="234">
        <f t="shared" si="1"/>
        <v>-39650.574429379376</v>
      </c>
      <c r="J61" s="294">
        <f t="shared" si="2"/>
        <v>35630.886186935684</v>
      </c>
      <c r="K61" s="389">
        <f t="shared" si="3"/>
        <v>-4019.6882424436917</v>
      </c>
    </row>
    <row r="62" spans="1:11" x14ac:dyDescent="0.25">
      <c r="A62" s="38">
        <f>Données!A56</f>
        <v>5489</v>
      </c>
      <c r="B62" s="27" t="str">
        <f>Données!B56</f>
        <v>Mex</v>
      </c>
      <c r="C62" s="26">
        <f>Ecrêtage!C56</f>
        <v>61579.806386554606</v>
      </c>
      <c r="D62" s="12">
        <f>Données!Z56</f>
        <v>816</v>
      </c>
      <c r="E62" s="8">
        <f>Population!K59</f>
        <v>-107028.16901408449</v>
      </c>
      <c r="F62" s="171">
        <f>Solidarité!I56</f>
        <v>0</v>
      </c>
      <c r="G62" s="8"/>
      <c r="H62" s="171">
        <f>Effort!K56+Aide!I56+Taux!K56</f>
        <v>0</v>
      </c>
      <c r="I62" s="234">
        <f t="shared" si="1"/>
        <v>-107028.16901408449</v>
      </c>
      <c r="J62" s="294">
        <f t="shared" si="2"/>
        <v>1188926.8681760631</v>
      </c>
      <c r="K62" s="389">
        <f t="shared" si="3"/>
        <v>1081898.6991619787</v>
      </c>
    </row>
    <row r="63" spans="1:11" x14ac:dyDescent="0.25">
      <c r="A63" s="38">
        <f>Données!A57</f>
        <v>5490</v>
      </c>
      <c r="B63" s="27" t="str">
        <f>Données!B57</f>
        <v>Moiry</v>
      </c>
      <c r="C63" s="26">
        <f>Ecrêtage!C57</f>
        <v>9143.6155263157889</v>
      </c>
      <c r="D63" s="12">
        <f>Données!Z57</f>
        <v>297</v>
      </c>
      <c r="E63" s="8">
        <f>Population!K60</f>
        <v>-38955.105633802807</v>
      </c>
      <c r="F63" s="171">
        <f>Solidarité!I57</f>
        <v>-127938.31653156223</v>
      </c>
      <c r="G63" s="8"/>
      <c r="H63" s="171">
        <f>Effort!K57+Aide!I57+Taux!K57</f>
        <v>0</v>
      </c>
      <c r="I63" s="234">
        <f t="shared" si="1"/>
        <v>-166893.42216536505</v>
      </c>
      <c r="J63" s="294">
        <f t="shared" si="2"/>
        <v>176536.60849902022</v>
      </c>
      <c r="K63" s="389">
        <f t="shared" si="3"/>
        <v>9643.186333655176</v>
      </c>
    </row>
    <row r="64" spans="1:11" x14ac:dyDescent="0.25">
      <c r="A64" s="38">
        <f>Données!A58</f>
        <v>5491</v>
      </c>
      <c r="B64" s="27" t="str">
        <f>Données!B58</f>
        <v>Mont-la-Ville</v>
      </c>
      <c r="C64" s="26">
        <f>Ecrêtage!C58</f>
        <v>14485.97789473684</v>
      </c>
      <c r="D64" s="12">
        <f>Données!Z58</f>
        <v>497</v>
      </c>
      <c r="E64" s="8">
        <f>Population!K61</f>
        <v>-65187.499999999985</v>
      </c>
      <c r="F64" s="171">
        <f>Solidarité!I58</f>
        <v>-232892.5657039934</v>
      </c>
      <c r="G64" s="8"/>
      <c r="H64" s="171">
        <f>Effort!K58+Aide!I58+Taux!K58</f>
        <v>0</v>
      </c>
      <c r="I64" s="234">
        <f t="shared" si="1"/>
        <v>-298080.06570399337</v>
      </c>
      <c r="J64" s="294">
        <f t="shared" si="2"/>
        <v>279682.07991341763</v>
      </c>
      <c r="K64" s="389">
        <f t="shared" si="3"/>
        <v>-18397.985790575738</v>
      </c>
    </row>
    <row r="65" spans="1:11" x14ac:dyDescent="0.25">
      <c r="A65" s="38">
        <f>Données!A59</f>
        <v>5492</v>
      </c>
      <c r="B65" s="27" t="str">
        <f>Données!B59</f>
        <v>Montricher</v>
      </c>
      <c r="C65" s="26">
        <f>Ecrêtage!C59</f>
        <v>196115.50781249997</v>
      </c>
      <c r="D65" s="12">
        <f>Données!Z59</f>
        <v>962</v>
      </c>
      <c r="E65" s="8">
        <f>Population!K62</f>
        <v>-126177.81690140843</v>
      </c>
      <c r="F65" s="171">
        <f>Solidarité!I59</f>
        <v>0</v>
      </c>
      <c r="G65" s="8"/>
      <c r="H65" s="171">
        <f>Effort!K59+Aide!I59+Taux!K59</f>
        <v>-1072930.4966745945</v>
      </c>
      <c r="I65" s="234">
        <f t="shared" si="1"/>
        <v>-1199108.3135760028</v>
      </c>
      <c r="J65" s="294">
        <f t="shared" si="2"/>
        <v>3786419.7727517332</v>
      </c>
      <c r="K65" s="389">
        <f t="shared" si="3"/>
        <v>2587311.4591757301</v>
      </c>
    </row>
    <row r="66" spans="1:11" x14ac:dyDescent="0.25">
      <c r="A66" s="38">
        <f>Données!A60</f>
        <v>5493</v>
      </c>
      <c r="B66" s="27" t="str">
        <f>Données!B60</f>
        <v>Orny</v>
      </c>
      <c r="C66" s="26">
        <f>Ecrêtage!C60</f>
        <v>15159.363245521601</v>
      </c>
      <c r="D66" s="12">
        <f>Données!Z60</f>
        <v>500</v>
      </c>
      <c r="E66" s="8">
        <f>Population!K63</f>
        <v>-65580.985915492944</v>
      </c>
      <c r="F66" s="171">
        <f>Solidarité!I60</f>
        <v>-203694.9056498518</v>
      </c>
      <c r="G66" s="8"/>
      <c r="H66" s="171">
        <f>Effort!K60+Aide!I60+Taux!K60</f>
        <v>0</v>
      </c>
      <c r="I66" s="234">
        <f t="shared" si="1"/>
        <v>-269275.89156534476</v>
      </c>
      <c r="J66" s="294">
        <f t="shared" si="2"/>
        <v>292683.19153040659</v>
      </c>
      <c r="K66" s="389">
        <f t="shared" si="3"/>
        <v>23407.299965061829</v>
      </c>
    </row>
    <row r="67" spans="1:11" x14ac:dyDescent="0.25">
      <c r="A67" s="38">
        <f>Données!A61</f>
        <v>5495</v>
      </c>
      <c r="B67" s="27" t="str">
        <f>Données!B61</f>
        <v>Penthalaz</v>
      </c>
      <c r="C67" s="26">
        <f>Ecrêtage!C61</f>
        <v>95849.092413793114</v>
      </c>
      <c r="D67" s="12">
        <f>Données!Z61</f>
        <v>3199</v>
      </c>
      <c r="E67" s="8">
        <f>Population!K64</f>
        <v>-970073.94366197172</v>
      </c>
      <c r="F67" s="171">
        <f>Solidarité!I61</f>
        <v>-1309391.9177020786</v>
      </c>
      <c r="G67" s="8"/>
      <c r="H67" s="171">
        <f>Effort!K61+Aide!I61+Taux!K61</f>
        <v>0</v>
      </c>
      <c r="I67" s="234">
        <f t="shared" si="1"/>
        <v>-2279465.8613640503</v>
      </c>
      <c r="J67" s="294">
        <f t="shared" si="2"/>
        <v>1850567.0600148346</v>
      </c>
      <c r="K67" s="389">
        <f t="shared" si="3"/>
        <v>-428898.80134921568</v>
      </c>
    </row>
    <row r="68" spans="1:11" x14ac:dyDescent="0.25">
      <c r="A68" s="38">
        <f>Données!A62</f>
        <v>5496</v>
      </c>
      <c r="B68" s="27" t="str">
        <f>Données!B62</f>
        <v>Penthaz</v>
      </c>
      <c r="C68" s="26">
        <f>Ecrêtage!C62</f>
        <v>67087.565323741001</v>
      </c>
      <c r="D68" s="12">
        <f>Données!Z62</f>
        <v>1899</v>
      </c>
      <c r="E68" s="8">
        <f>Population!K65</f>
        <v>-461322.88732394355</v>
      </c>
      <c r="F68" s="171">
        <f>Solidarité!I62</f>
        <v>-517715.74095519813</v>
      </c>
      <c r="G68" s="8"/>
      <c r="H68" s="171">
        <f>Effort!K62+Aide!I62+Taux!K62</f>
        <v>0</v>
      </c>
      <c r="I68" s="234">
        <f t="shared" si="1"/>
        <v>-979038.62827914162</v>
      </c>
      <c r="J68" s="294">
        <f t="shared" si="2"/>
        <v>1295265.6660402848</v>
      </c>
      <c r="K68" s="389">
        <f t="shared" si="3"/>
        <v>316227.03776114318</v>
      </c>
    </row>
    <row r="69" spans="1:11" x14ac:dyDescent="0.25">
      <c r="A69" s="38">
        <f>Données!A63</f>
        <v>5497</v>
      </c>
      <c r="B69" s="27" t="str">
        <f>Données!B63</f>
        <v>Pompaples</v>
      </c>
      <c r="C69" s="26">
        <f>Ecrêtage!C63</f>
        <v>25508.981363636369</v>
      </c>
      <c r="D69" s="12">
        <f>Données!Z63</f>
        <v>926</v>
      </c>
      <c r="E69" s="8">
        <f>Population!K66</f>
        <v>-121455.98591549293</v>
      </c>
      <c r="F69" s="171">
        <f>Solidarité!I63</f>
        <v>-353009.51296885818</v>
      </c>
      <c r="G69" s="8"/>
      <c r="H69" s="171">
        <f>Effort!K63+Aide!I63+Taux!K63</f>
        <v>0</v>
      </c>
      <c r="I69" s="234">
        <f t="shared" si="1"/>
        <v>-474465.49888435111</v>
      </c>
      <c r="J69" s="294">
        <f t="shared" si="2"/>
        <v>492504.20068958937</v>
      </c>
      <c r="K69" s="389">
        <f t="shared" si="3"/>
        <v>18038.701805238263</v>
      </c>
    </row>
    <row r="70" spans="1:11" x14ac:dyDescent="0.25">
      <c r="A70" s="38">
        <f>Données!A64</f>
        <v>5498</v>
      </c>
      <c r="B70" s="27" t="str">
        <f>Données!B64</f>
        <v>La Sarraz</v>
      </c>
      <c r="C70" s="26">
        <f>Ecrêtage!C64</f>
        <v>78158.734848484863</v>
      </c>
      <c r="D70" s="12">
        <f>Données!Z64</f>
        <v>2599</v>
      </c>
      <c r="E70" s="8">
        <f>Population!K67</f>
        <v>-718400.3521126759</v>
      </c>
      <c r="F70" s="171">
        <f>Solidarité!I64</f>
        <v>-876611.41207604762</v>
      </c>
      <c r="G70" s="8"/>
      <c r="H70" s="171">
        <f>Effort!K64+Aide!I64+Taux!K64</f>
        <v>0</v>
      </c>
      <c r="I70" s="234">
        <f t="shared" si="1"/>
        <v>-1595011.7641887236</v>
      </c>
      <c r="J70" s="294">
        <f t="shared" si="2"/>
        <v>1509017.7331947859</v>
      </c>
      <c r="K70" s="389">
        <f t="shared" si="3"/>
        <v>-85994.030993937748</v>
      </c>
    </row>
    <row r="71" spans="1:11" x14ac:dyDescent="0.25">
      <c r="A71" s="38">
        <f>Données!A65</f>
        <v>5499</v>
      </c>
      <c r="B71" s="27" t="str">
        <f>Données!B65</f>
        <v>Senarclens</v>
      </c>
      <c r="C71" s="26">
        <f>Ecrêtage!C65</f>
        <v>25627.946715328464</v>
      </c>
      <c r="D71" s="12">
        <f>Données!Z65</f>
        <v>491</v>
      </c>
      <c r="E71" s="8">
        <f>Population!K68</f>
        <v>-64400.528169014069</v>
      </c>
      <c r="F71" s="171">
        <f>Solidarité!I65</f>
        <v>0</v>
      </c>
      <c r="G71" s="8"/>
      <c r="H71" s="171">
        <f>Effort!K65+Aide!I65+Taux!K65</f>
        <v>0</v>
      </c>
      <c r="I71" s="234">
        <f t="shared" si="1"/>
        <v>-64400.528169014069</v>
      </c>
      <c r="J71" s="294">
        <f t="shared" si="2"/>
        <v>494801.07544948842</v>
      </c>
      <c r="K71" s="389">
        <f t="shared" si="3"/>
        <v>430400.54728047433</v>
      </c>
    </row>
    <row r="72" spans="1:11" x14ac:dyDescent="0.25">
      <c r="A72" s="38">
        <f>Données!A66</f>
        <v>5501</v>
      </c>
      <c r="B72" s="27" t="str">
        <f>Données!B66</f>
        <v>Sullens</v>
      </c>
      <c r="C72" s="26">
        <f>Ecrêtage!C66</f>
        <v>54206.164375000008</v>
      </c>
      <c r="D72" s="12">
        <f>Données!Z66</f>
        <v>1198</v>
      </c>
      <c r="E72" s="8">
        <f>Population!K69</f>
        <v>-203878.16901408447</v>
      </c>
      <c r="F72" s="171">
        <f>Solidarité!I66</f>
        <v>-82551.604287082184</v>
      </c>
      <c r="G72" s="8"/>
      <c r="H72" s="171">
        <f>Effort!K66+Aide!I66+Taux!K66</f>
        <v>0</v>
      </c>
      <c r="I72" s="234">
        <f t="shared" si="1"/>
        <v>-286429.77330116666</v>
      </c>
      <c r="J72" s="294">
        <f t="shared" si="2"/>
        <v>1046563.2977416619</v>
      </c>
      <c r="K72" s="389">
        <f t="shared" si="3"/>
        <v>760133.5244404953</v>
      </c>
    </row>
    <row r="73" spans="1:11" x14ac:dyDescent="0.25">
      <c r="A73" s="38">
        <f>Données!A67</f>
        <v>5503</v>
      </c>
      <c r="B73" s="27" t="str">
        <f>Données!B67</f>
        <v>Vufflens-la-Ville</v>
      </c>
      <c r="C73" s="26">
        <f>Ecrêtage!C67</f>
        <v>77419.766343283569</v>
      </c>
      <c r="D73" s="12">
        <f>Données!Z67</f>
        <v>1336</v>
      </c>
      <c r="E73" s="8">
        <f>Population!K70</f>
        <v>-254559.15492957743</v>
      </c>
      <c r="F73" s="171">
        <f>Solidarité!I67</f>
        <v>0</v>
      </c>
      <c r="G73" s="8"/>
      <c r="H73" s="171">
        <f>Effort!K67+Aide!I67+Taux!K67</f>
        <v>0</v>
      </c>
      <c r="I73" s="234">
        <f t="shared" si="1"/>
        <v>-254559.15492957743</v>
      </c>
      <c r="J73" s="294">
        <f t="shared" si="2"/>
        <v>1494750.401708639</v>
      </c>
      <c r="K73" s="389">
        <f t="shared" si="3"/>
        <v>1240191.2467790616</v>
      </c>
    </row>
    <row r="74" spans="1:11" x14ac:dyDescent="0.25">
      <c r="A74" s="38">
        <f>Données!A68</f>
        <v>5511</v>
      </c>
      <c r="B74" s="27" t="str">
        <f>Données!B68</f>
        <v>Assens</v>
      </c>
      <c r="C74" s="26">
        <f>Ecrêtage!C68</f>
        <v>74810.046857142865</v>
      </c>
      <c r="D74" s="12">
        <f>Données!Z68</f>
        <v>1698</v>
      </c>
      <c r="E74" s="8">
        <f>Population!K71</f>
        <v>-387504.9295774647</v>
      </c>
      <c r="F74" s="171">
        <f>Solidarité!I68</f>
        <v>-179499.74620725389</v>
      </c>
      <c r="G74" s="8"/>
      <c r="H74" s="171">
        <f>Effort!K68+Aide!I68+Taux!K68</f>
        <v>0</v>
      </c>
      <c r="I74" s="234">
        <f t="shared" si="1"/>
        <v>-567004.67578471859</v>
      </c>
      <c r="J74" s="294">
        <f t="shared" si="2"/>
        <v>1444364.3125417077</v>
      </c>
      <c r="K74" s="389">
        <f t="shared" si="3"/>
        <v>877359.63675698906</v>
      </c>
    </row>
    <row r="75" spans="1:11" x14ac:dyDescent="0.25">
      <c r="A75" s="38">
        <f>Données!A69</f>
        <v>5512</v>
      </c>
      <c r="B75" s="27" t="str">
        <f>Données!B69</f>
        <v>Bercher</v>
      </c>
      <c r="C75" s="26">
        <f>Ecrêtage!C69</f>
        <v>42301.871392405068</v>
      </c>
      <c r="D75" s="12">
        <f>Données!Z69</f>
        <v>1330</v>
      </c>
      <c r="E75" s="8">
        <f>Population!K72</f>
        <v>-252355.63380281685</v>
      </c>
      <c r="F75" s="171">
        <f>Solidarité!I69</f>
        <v>-585252.50732914091</v>
      </c>
      <c r="G75" s="8"/>
      <c r="H75" s="171">
        <f>Effort!K69+Aide!I69+Taux!K69</f>
        <v>0</v>
      </c>
      <c r="I75" s="234">
        <f t="shared" si="1"/>
        <v>-837608.14113195776</v>
      </c>
      <c r="J75" s="294">
        <f t="shared" si="2"/>
        <v>816726.04095000785</v>
      </c>
      <c r="K75" s="389">
        <f t="shared" si="3"/>
        <v>-20882.100181949907</v>
      </c>
    </row>
    <row r="76" spans="1:11" x14ac:dyDescent="0.25">
      <c r="A76" s="38">
        <f>Données!A70</f>
        <v>5514</v>
      </c>
      <c r="B76" s="27" t="str">
        <f>Données!B70</f>
        <v>Bottens</v>
      </c>
      <c r="C76" s="26">
        <f>Ecrêtage!C70</f>
        <v>45049.61903448277</v>
      </c>
      <c r="D76" s="12">
        <f>Données!Z70</f>
        <v>1378</v>
      </c>
      <c r="E76" s="8">
        <f>Population!K73</f>
        <v>-269983.80281690136</v>
      </c>
      <c r="F76" s="171">
        <f>Solidarité!I70</f>
        <v>-485061.8747390795</v>
      </c>
      <c r="G76" s="8"/>
      <c r="H76" s="171">
        <f>Effort!K70+Aide!I70+Taux!K70</f>
        <v>0</v>
      </c>
      <c r="I76" s="234">
        <f t="shared" si="1"/>
        <v>-755045.67755598086</v>
      </c>
      <c r="J76" s="294">
        <f t="shared" si="2"/>
        <v>869777.05215531262</v>
      </c>
      <c r="K76" s="389">
        <f t="shared" si="3"/>
        <v>114731.37459933176</v>
      </c>
    </row>
    <row r="77" spans="1:11" x14ac:dyDescent="0.25">
      <c r="A77" s="38">
        <f>Données!A71</f>
        <v>5515</v>
      </c>
      <c r="B77" s="27" t="str">
        <f>Données!B71</f>
        <v>Bretigny-sur-Morrens</v>
      </c>
      <c r="C77" s="26">
        <f>Ecrêtage!C71</f>
        <v>32261.164358974351</v>
      </c>
      <c r="D77" s="12">
        <f>Données!Z71</f>
        <v>893</v>
      </c>
      <c r="E77" s="8">
        <f>Population!K74</f>
        <v>-117127.6408450704</v>
      </c>
      <c r="F77" s="171">
        <f>Solidarité!I71</f>
        <v>-289310.7061080102</v>
      </c>
      <c r="G77" s="8"/>
      <c r="H77" s="171">
        <f>Effort!K71+Aide!I71+Taux!K71</f>
        <v>0</v>
      </c>
      <c r="I77" s="234">
        <f t="shared" ref="I77:I140" si="4">SUM(E77:H77)</f>
        <v>-406438.34695308062</v>
      </c>
      <c r="J77" s="294">
        <f t="shared" ref="J77:J140" si="5">C77*$J$11</f>
        <v>622869.20592532633</v>
      </c>
      <c r="K77" s="389">
        <f t="shared" ref="K77:K140" si="6">I77+J77</f>
        <v>216430.85897224571</v>
      </c>
    </row>
    <row r="78" spans="1:11" x14ac:dyDescent="0.25">
      <c r="A78" s="38">
        <f>Données!A72</f>
        <v>5516</v>
      </c>
      <c r="B78" s="27" t="str">
        <f>Données!B72</f>
        <v>Cugy</v>
      </c>
      <c r="C78" s="26">
        <f>Ecrêtage!C72</f>
        <v>114099.68980263159</v>
      </c>
      <c r="D78" s="12">
        <f>Données!Z72</f>
        <v>2733</v>
      </c>
      <c r="E78" s="8">
        <f>Population!K75</f>
        <v>-767612.32394366188</v>
      </c>
      <c r="F78" s="171">
        <f>Solidarité!I72</f>
        <v>-486133.16640604474</v>
      </c>
      <c r="G78" s="8"/>
      <c r="H78" s="171">
        <f>Effort!K72+Aide!I72+Taux!K72</f>
        <v>0</v>
      </c>
      <c r="I78" s="234">
        <f t="shared" si="4"/>
        <v>-1253745.4903497067</v>
      </c>
      <c r="J78" s="294">
        <f t="shared" si="5"/>
        <v>2202932.98756656</v>
      </c>
      <c r="K78" s="389">
        <f t="shared" si="6"/>
        <v>949187.49721685331</v>
      </c>
    </row>
    <row r="79" spans="1:11" x14ac:dyDescent="0.25">
      <c r="A79" s="38">
        <f>Données!A73</f>
        <v>5518</v>
      </c>
      <c r="B79" s="27" t="str">
        <f>Données!B73</f>
        <v>Echallens</v>
      </c>
      <c r="C79" s="26">
        <f>Ecrêtage!C73</f>
        <v>201769.75393103444</v>
      </c>
      <c r="D79" s="12">
        <f>Données!Z73</f>
        <v>6572</v>
      </c>
      <c r="E79" s="8">
        <f>Population!K76</f>
        <v>-2904660.5633802814</v>
      </c>
      <c r="F79" s="171">
        <f>Solidarité!I73</f>
        <v>-2588014.7901407667</v>
      </c>
      <c r="G79" s="8"/>
      <c r="H79" s="171">
        <f>Effort!K73+Aide!I73+Taux!K73</f>
        <v>0</v>
      </c>
      <c r="I79" s="234">
        <f t="shared" si="4"/>
        <v>-5492675.3535210481</v>
      </c>
      <c r="J79" s="294">
        <f t="shared" si="5"/>
        <v>3895586.8118198141</v>
      </c>
      <c r="K79" s="389">
        <f t="shared" si="6"/>
        <v>-1597088.5417012339</v>
      </c>
    </row>
    <row r="80" spans="1:11" x14ac:dyDescent="0.25">
      <c r="A80" s="38">
        <f>Données!A74</f>
        <v>5520</v>
      </c>
      <c r="B80" s="27" t="str">
        <f>Données!B74</f>
        <v>Essertines-sur-Yverdon</v>
      </c>
      <c r="C80" s="26">
        <f>Ecrêtage!C74</f>
        <v>32600.230945945943</v>
      </c>
      <c r="D80" s="12">
        <f>Données!Z74</f>
        <v>1105</v>
      </c>
      <c r="E80" s="8">
        <f>Population!K77</f>
        <v>-169723.59154929576</v>
      </c>
      <c r="F80" s="171">
        <f>Solidarité!I74</f>
        <v>-482310.4982416241</v>
      </c>
      <c r="G80" s="8"/>
      <c r="H80" s="171">
        <f>Effort!K74+Aide!I74+Taux!K74</f>
        <v>0</v>
      </c>
      <c r="I80" s="234">
        <f t="shared" si="4"/>
        <v>-652034.0897909198</v>
      </c>
      <c r="J80" s="294">
        <f t="shared" si="5"/>
        <v>629415.59505849029</v>
      </c>
      <c r="K80" s="389">
        <f t="shared" si="6"/>
        <v>-22618.494732429506</v>
      </c>
    </row>
    <row r="81" spans="1:11" x14ac:dyDescent="0.25">
      <c r="A81" s="38">
        <f>Données!A75</f>
        <v>5521</v>
      </c>
      <c r="B81" s="27" t="str">
        <f>Données!B75</f>
        <v>Etagnières</v>
      </c>
      <c r="C81" s="26">
        <f>Ecrêtage!C75</f>
        <v>45069.292328767129</v>
      </c>
      <c r="D81" s="12">
        <f>Données!Z75</f>
        <v>1172</v>
      </c>
      <c r="E81" s="8">
        <f>Population!K78</f>
        <v>-194329.57746478869</v>
      </c>
      <c r="F81" s="171">
        <f>Solidarité!I75</f>
        <v>-274501.43553117343</v>
      </c>
      <c r="G81" s="8"/>
      <c r="H81" s="171">
        <f>Effort!K75+Aide!I75+Taux!K75</f>
        <v>0</v>
      </c>
      <c r="I81" s="234">
        <f t="shared" si="4"/>
        <v>-468831.01299596211</v>
      </c>
      <c r="J81" s="294">
        <f t="shared" si="5"/>
        <v>870156.88621996331</v>
      </c>
      <c r="K81" s="389">
        <f t="shared" si="6"/>
        <v>401325.8732240012</v>
      </c>
    </row>
    <row r="82" spans="1:11" x14ac:dyDescent="0.25">
      <c r="A82" s="38">
        <f>Données!A76</f>
        <v>5522</v>
      </c>
      <c r="B82" s="27" t="str">
        <f>Données!B76</f>
        <v>Fey</v>
      </c>
      <c r="C82" s="26">
        <f>Ecrêtage!C76</f>
        <v>22943.940666666665</v>
      </c>
      <c r="D82" s="12">
        <f>Données!Z76</f>
        <v>763</v>
      </c>
      <c r="E82" s="8">
        <f>Population!K79</f>
        <v>-100076.58450704224</v>
      </c>
      <c r="F82" s="171">
        <f>Solidarité!I76</f>
        <v>-332355.67984933394</v>
      </c>
      <c r="G82" s="8"/>
      <c r="H82" s="171">
        <f>Effort!K76+Aide!I76+Taux!K76</f>
        <v>0</v>
      </c>
      <c r="I82" s="234">
        <f t="shared" si="4"/>
        <v>-432432.2643563762</v>
      </c>
      <c r="J82" s="294">
        <f t="shared" si="5"/>
        <v>442980.72892923973</v>
      </c>
      <c r="K82" s="389">
        <f t="shared" si="6"/>
        <v>10548.464572863537</v>
      </c>
    </row>
    <row r="83" spans="1:11" x14ac:dyDescent="0.25">
      <c r="A83" s="38">
        <f>Données!A77</f>
        <v>5523</v>
      </c>
      <c r="B83" s="27" t="str">
        <f>Données!B77</f>
        <v>Froideville</v>
      </c>
      <c r="C83" s="26">
        <f>Ecrêtage!C77</f>
        <v>92586.842777777769</v>
      </c>
      <c r="D83" s="12">
        <f>Données!Z77</f>
        <v>2728</v>
      </c>
      <c r="E83" s="8">
        <f>Population!K80</f>
        <v>-765776.05633802805</v>
      </c>
      <c r="F83" s="171">
        <f>Solidarité!I77</f>
        <v>-876609.71985345765</v>
      </c>
      <c r="G83" s="8"/>
      <c r="H83" s="171">
        <f>Effort!K77+Aide!I77+Taux!K77</f>
        <v>0</v>
      </c>
      <c r="I83" s="234">
        <f t="shared" si="4"/>
        <v>-1642385.7761914856</v>
      </c>
      <c r="J83" s="294">
        <f t="shared" si="5"/>
        <v>1787582.5124732386</v>
      </c>
      <c r="K83" s="389">
        <f t="shared" si="6"/>
        <v>145196.73628175305</v>
      </c>
    </row>
    <row r="84" spans="1:11" x14ac:dyDescent="0.25">
      <c r="A84" s="38">
        <f>Données!A78</f>
        <v>5527</v>
      </c>
      <c r="B84" s="27" t="str">
        <f>Données!B78</f>
        <v>Morrens</v>
      </c>
      <c r="C84" s="26">
        <f>Ecrêtage!C78</f>
        <v>42908.9222972973</v>
      </c>
      <c r="D84" s="12">
        <f>Données!Z78</f>
        <v>1142</v>
      </c>
      <c r="E84" s="8">
        <f>Population!K81</f>
        <v>-183311.97183098589</v>
      </c>
      <c r="F84" s="171">
        <f>Solidarité!I78</f>
        <v>-296871.36342795263</v>
      </c>
      <c r="G84" s="8"/>
      <c r="H84" s="171">
        <f>Effort!K78+Aide!I78+Taux!K78</f>
        <v>0</v>
      </c>
      <c r="I84" s="234">
        <f t="shared" si="4"/>
        <v>-480183.33525893849</v>
      </c>
      <c r="J84" s="294">
        <f t="shared" si="5"/>
        <v>828446.42744564568</v>
      </c>
      <c r="K84" s="389">
        <f t="shared" si="6"/>
        <v>348263.09218670719</v>
      </c>
    </row>
    <row r="85" spans="1:11" x14ac:dyDescent="0.25">
      <c r="A85" s="38">
        <f>Données!A79</f>
        <v>5529</v>
      </c>
      <c r="B85" s="27" t="str">
        <f>Données!B79</f>
        <v>Oulens-sous-Echallens</v>
      </c>
      <c r="C85" s="26">
        <f>Ecrêtage!C79</f>
        <v>22948.614507042254</v>
      </c>
      <c r="D85" s="12">
        <f>Données!Z79</f>
        <v>600</v>
      </c>
      <c r="E85" s="8">
        <f>Population!K82</f>
        <v>-78697.183098591529</v>
      </c>
      <c r="F85" s="171">
        <f>Solidarité!I79</f>
        <v>-135439.65300520934</v>
      </c>
      <c r="G85" s="8"/>
      <c r="H85" s="171">
        <f>Effort!K79+Aide!I79+Taux!K79</f>
        <v>0</v>
      </c>
      <c r="I85" s="234">
        <f t="shared" si="4"/>
        <v>-214136.83610380086</v>
      </c>
      <c r="J85" s="294">
        <f t="shared" si="5"/>
        <v>443070.96718632715</v>
      </c>
      <c r="K85" s="389">
        <f t="shared" si="6"/>
        <v>228934.13108252629</v>
      </c>
    </row>
    <row r="86" spans="1:11" x14ac:dyDescent="0.25">
      <c r="A86" s="38">
        <f>Données!A80</f>
        <v>5530</v>
      </c>
      <c r="B86" s="27" t="str">
        <f>Données!B80</f>
        <v>Pailly</v>
      </c>
      <c r="C86" s="26">
        <f>Ecrêtage!C80</f>
        <v>20543.565197368422</v>
      </c>
      <c r="D86" s="12">
        <f>Données!Z80</f>
        <v>576</v>
      </c>
      <c r="E86" s="8">
        <f>Population!K83</f>
        <v>-75549.295774647879</v>
      </c>
      <c r="F86" s="171">
        <f>Solidarité!I80</f>
        <v>-183286.45186271647</v>
      </c>
      <c r="G86" s="8"/>
      <c r="H86" s="171">
        <f>Effort!K80+Aide!I80+Taux!K80</f>
        <v>0</v>
      </c>
      <c r="I86" s="234">
        <f t="shared" si="4"/>
        <v>-258835.74763736434</v>
      </c>
      <c r="J86" s="294">
        <f t="shared" si="5"/>
        <v>396636.46355034556</v>
      </c>
      <c r="K86" s="389">
        <f t="shared" si="6"/>
        <v>137800.71591298122</v>
      </c>
    </row>
    <row r="87" spans="1:11" x14ac:dyDescent="0.25">
      <c r="A87" s="38">
        <f>Données!A81</f>
        <v>5531</v>
      </c>
      <c r="B87" s="27" t="str">
        <f>Données!B81</f>
        <v>Penthéréaz</v>
      </c>
      <c r="C87" s="26">
        <f>Ecrêtage!C81</f>
        <v>17158.758513513516</v>
      </c>
      <c r="D87" s="12">
        <f>Données!Z81</f>
        <v>437</v>
      </c>
      <c r="E87" s="8">
        <f>Population!K84</f>
        <v>-57317.781690140837</v>
      </c>
      <c r="F87" s="171">
        <f>Solidarité!I81</f>
        <v>-97435.419407591486</v>
      </c>
      <c r="G87" s="8"/>
      <c r="H87" s="171">
        <f>Effort!K81+Aide!I81+Taux!K81</f>
        <v>0</v>
      </c>
      <c r="I87" s="234">
        <f t="shared" si="4"/>
        <v>-154753.20109773232</v>
      </c>
      <c r="J87" s="294">
        <f t="shared" si="5"/>
        <v>331285.69604784029</v>
      </c>
      <c r="K87" s="389">
        <f t="shared" si="6"/>
        <v>176532.49495010797</v>
      </c>
    </row>
    <row r="88" spans="1:11" x14ac:dyDescent="0.25">
      <c r="A88" s="38">
        <f>Données!A82</f>
        <v>5533</v>
      </c>
      <c r="B88" s="27" t="str">
        <f>Données!B82</f>
        <v>Poliez-Pittet</v>
      </c>
      <c r="C88" s="26">
        <f>Ecrêtage!C82</f>
        <v>27174.793424657531</v>
      </c>
      <c r="D88" s="12">
        <f>Données!Z82</f>
        <v>876</v>
      </c>
      <c r="E88" s="8">
        <f>Population!K85</f>
        <v>-114897.88732394364</v>
      </c>
      <c r="F88" s="171">
        <f>Solidarité!I82</f>
        <v>-343771.23740628286</v>
      </c>
      <c r="G88" s="8"/>
      <c r="H88" s="171">
        <f>Effort!K82+Aide!I82+Taux!K82</f>
        <v>0</v>
      </c>
      <c r="I88" s="234">
        <f t="shared" si="4"/>
        <v>-458669.12473022647</v>
      </c>
      <c r="J88" s="294">
        <f t="shared" si="5"/>
        <v>524666.18418540363</v>
      </c>
      <c r="K88" s="389">
        <f t="shared" si="6"/>
        <v>65997.059455177165</v>
      </c>
    </row>
    <row r="89" spans="1:11" x14ac:dyDescent="0.25">
      <c r="A89" s="38">
        <f>Données!A83</f>
        <v>5534</v>
      </c>
      <c r="B89" s="27" t="str">
        <f>Données!B83</f>
        <v>Rueyres</v>
      </c>
      <c r="C89" s="26">
        <f>Ecrêtage!C83</f>
        <v>15880.296484018269</v>
      </c>
      <c r="D89" s="12">
        <f>Données!Z83</f>
        <v>302</v>
      </c>
      <c r="E89" s="8">
        <f>Population!K86</f>
        <v>-39610.915492957742</v>
      </c>
      <c r="F89" s="171">
        <f>Solidarité!I83</f>
        <v>0</v>
      </c>
      <c r="G89" s="8"/>
      <c r="H89" s="171">
        <f>Effort!K83+Aide!I83+Taux!K83</f>
        <v>0</v>
      </c>
      <c r="I89" s="234">
        <f t="shared" si="4"/>
        <v>-39610.915492957742</v>
      </c>
      <c r="J89" s="294">
        <f t="shared" si="5"/>
        <v>306602.31449791591</v>
      </c>
      <c r="K89" s="389">
        <f t="shared" si="6"/>
        <v>266991.39900495816</v>
      </c>
    </row>
    <row r="90" spans="1:11" x14ac:dyDescent="0.25">
      <c r="A90" s="38">
        <f>Données!A84</f>
        <v>5535</v>
      </c>
      <c r="B90" s="27" t="str">
        <f>Données!B84</f>
        <v>Saint-Barthélemy</v>
      </c>
      <c r="C90" s="26">
        <f>Ecrêtage!C84</f>
        <v>27185.565066666662</v>
      </c>
      <c r="D90" s="12">
        <f>Données!Z84</f>
        <v>829</v>
      </c>
      <c r="E90" s="8">
        <f>Population!K87</f>
        <v>-108733.2746478873</v>
      </c>
      <c r="F90" s="171">
        <f>Solidarité!I84</f>
        <v>-310399.17485083337</v>
      </c>
      <c r="G90" s="8"/>
      <c r="H90" s="171">
        <f>Effort!K84+Aide!I84+Taux!K84</f>
        <v>0</v>
      </c>
      <c r="I90" s="234">
        <f t="shared" si="4"/>
        <v>-419132.4494987207</v>
      </c>
      <c r="J90" s="294">
        <f t="shared" si="5"/>
        <v>524874.15324783674</v>
      </c>
      <c r="K90" s="389">
        <f t="shared" si="6"/>
        <v>105741.70374911604</v>
      </c>
    </row>
    <row r="91" spans="1:11" x14ac:dyDescent="0.25">
      <c r="A91" s="38">
        <f>Données!A85</f>
        <v>5537</v>
      </c>
      <c r="B91" s="27" t="str">
        <f>Données!B85</f>
        <v>Villars-le-Terroir</v>
      </c>
      <c r="C91" s="26">
        <f>Ecrêtage!C85</f>
        <v>37062.3994736842</v>
      </c>
      <c r="D91" s="12">
        <f>Données!Z85</f>
        <v>1298</v>
      </c>
      <c r="E91" s="8">
        <f>Population!K88</f>
        <v>-240603.52112676052</v>
      </c>
      <c r="F91" s="171">
        <f>Solidarité!I85</f>
        <v>-626006.45176406112</v>
      </c>
      <c r="G91" s="8"/>
      <c r="H91" s="171">
        <f>Effort!K85+Aide!I85+Taux!K85</f>
        <v>0</v>
      </c>
      <c r="I91" s="234">
        <f t="shared" si="4"/>
        <v>-866609.97289082163</v>
      </c>
      <c r="J91" s="294">
        <f t="shared" si="5"/>
        <v>715567.08471494331</v>
      </c>
      <c r="K91" s="389">
        <f t="shared" si="6"/>
        <v>-151042.88817587832</v>
      </c>
    </row>
    <row r="92" spans="1:11" x14ac:dyDescent="0.25">
      <c r="A92" s="38">
        <f>Données!A86</f>
        <v>5539</v>
      </c>
      <c r="B92" s="27" t="str">
        <f>Données!B86</f>
        <v>Vuarrens</v>
      </c>
      <c r="C92" s="26">
        <f>Ecrêtage!C86</f>
        <v>33245.200000000004</v>
      </c>
      <c r="D92" s="12">
        <f>Données!Z86</f>
        <v>1103</v>
      </c>
      <c r="E92" s="8">
        <f>Population!K89</f>
        <v>-168989.08450704222</v>
      </c>
      <c r="F92" s="171">
        <f>Solidarité!I86</f>
        <v>-459764.22044466517</v>
      </c>
      <c r="G92" s="8"/>
      <c r="H92" s="171">
        <f>Effort!K86+Aide!I86+Taux!K86</f>
        <v>0</v>
      </c>
      <c r="I92" s="234">
        <f t="shared" si="4"/>
        <v>-628753.30495170737</v>
      </c>
      <c r="J92" s="294">
        <f t="shared" si="5"/>
        <v>641868.0706751463</v>
      </c>
      <c r="K92" s="389">
        <f t="shared" si="6"/>
        <v>13114.765723438933</v>
      </c>
    </row>
    <row r="93" spans="1:11" x14ac:dyDescent="0.25">
      <c r="A93" s="38">
        <f>Données!A87</f>
        <v>5540</v>
      </c>
      <c r="B93" s="27" t="str">
        <f>Données!B87</f>
        <v>Montilliez</v>
      </c>
      <c r="C93" s="26">
        <f>Ecrêtage!C87</f>
        <v>73930.013586206886</v>
      </c>
      <c r="D93" s="12">
        <f>Données!Z87</f>
        <v>1894</v>
      </c>
      <c r="E93" s="8">
        <f>Population!K90</f>
        <v>-459486.61971830984</v>
      </c>
      <c r="F93" s="171">
        <f>Solidarité!I87</f>
        <v>-414536.68953399727</v>
      </c>
      <c r="G93" s="8"/>
      <c r="H93" s="171">
        <f>Effort!K87+Aide!I87+Taux!K87</f>
        <v>0</v>
      </c>
      <c r="I93" s="234">
        <f t="shared" si="4"/>
        <v>-874023.30925230705</v>
      </c>
      <c r="J93" s="294">
        <f t="shared" si="5"/>
        <v>1427373.4309183268</v>
      </c>
      <c r="K93" s="389">
        <f t="shared" si="6"/>
        <v>553350.12166601978</v>
      </c>
    </row>
    <row r="94" spans="1:11" x14ac:dyDescent="0.25">
      <c r="A94" s="38">
        <f>Données!A88</f>
        <v>5541</v>
      </c>
      <c r="B94" s="27" t="str">
        <f>Données!B88</f>
        <v>Goumoëns</v>
      </c>
      <c r="C94" s="26">
        <f>Ecrêtage!C88</f>
        <v>42494.398410596026</v>
      </c>
      <c r="D94" s="12">
        <f>Données!Z88</f>
        <v>1212</v>
      </c>
      <c r="E94" s="8">
        <f>Population!K91</f>
        <v>-209019.7183098591</v>
      </c>
      <c r="F94" s="171">
        <f>Solidarité!I88</f>
        <v>-397288.35399766144</v>
      </c>
      <c r="G94" s="8"/>
      <c r="H94" s="171">
        <f>Effort!K88+Aide!I88+Taux!K88</f>
        <v>0</v>
      </c>
      <c r="I94" s="234">
        <f t="shared" si="4"/>
        <v>-606308.07230752055</v>
      </c>
      <c r="J94" s="294">
        <f t="shared" si="5"/>
        <v>820443.17743043427</v>
      </c>
      <c r="K94" s="389">
        <f t="shared" si="6"/>
        <v>214135.10512291372</v>
      </c>
    </row>
    <row r="95" spans="1:11" x14ac:dyDescent="0.25">
      <c r="A95" s="38">
        <f>Données!A89</f>
        <v>5551</v>
      </c>
      <c r="B95" s="27" t="str">
        <f>Données!B89</f>
        <v>Bonvillars</v>
      </c>
      <c r="C95" s="26">
        <f>Ecrêtage!C89</f>
        <v>18997.947192982458</v>
      </c>
      <c r="D95" s="12">
        <f>Données!Z89</f>
        <v>526</v>
      </c>
      <c r="E95" s="8">
        <f>Population!K92</f>
        <v>-68991.197183098586</v>
      </c>
      <c r="F95" s="171">
        <f>Solidarité!I89</f>
        <v>-91064.864979192731</v>
      </c>
      <c r="G95" s="8"/>
      <c r="H95" s="171">
        <f>Effort!K89+Aide!I89+Taux!K89</f>
        <v>0</v>
      </c>
      <c r="I95" s="234">
        <f t="shared" si="4"/>
        <v>-160056.06216229132</v>
      </c>
      <c r="J95" s="294">
        <f t="shared" si="5"/>
        <v>366795.07753143192</v>
      </c>
      <c r="K95" s="389">
        <f t="shared" si="6"/>
        <v>206739.0153691406</v>
      </c>
    </row>
    <row r="96" spans="1:11" x14ac:dyDescent="0.25">
      <c r="A96" s="38">
        <f>Données!A90</f>
        <v>5552</v>
      </c>
      <c r="B96" s="27" t="str">
        <f>Données!B90</f>
        <v>Bullet</v>
      </c>
      <c r="C96" s="26">
        <f>Ecrêtage!C90</f>
        <v>20424.764857142854</v>
      </c>
      <c r="D96" s="12">
        <f>Données!Z90</f>
        <v>675</v>
      </c>
      <c r="E96" s="8">
        <f>Population!K93</f>
        <v>-88534.330985915483</v>
      </c>
      <c r="F96" s="171">
        <f>Solidarité!I90</f>
        <v>-253640.9536424106</v>
      </c>
      <c r="G96" s="8"/>
      <c r="H96" s="171">
        <f>Effort!K90+Aide!I90+Taux!K90</f>
        <v>0</v>
      </c>
      <c r="I96" s="234">
        <f t="shared" si="4"/>
        <v>-342175.28462832607</v>
      </c>
      <c r="J96" s="294">
        <f t="shared" si="5"/>
        <v>394342.77468169277</v>
      </c>
      <c r="K96" s="389">
        <f t="shared" si="6"/>
        <v>52167.490053366695</v>
      </c>
    </row>
    <row r="97" spans="1:11" x14ac:dyDescent="0.25">
      <c r="A97" s="38">
        <f>Données!A91</f>
        <v>5553</v>
      </c>
      <c r="B97" s="27" t="str">
        <f>Données!B91</f>
        <v>Champagne</v>
      </c>
      <c r="C97" s="26">
        <f>Ecrêtage!C91</f>
        <v>36175.512923076931</v>
      </c>
      <c r="D97" s="12">
        <f>Données!Z91</f>
        <v>1071</v>
      </c>
      <c r="E97" s="8">
        <f>Population!K94</f>
        <v>-157236.97183098589</v>
      </c>
      <c r="F97" s="171">
        <f>Solidarité!I91</f>
        <v>-283417.47874272376</v>
      </c>
      <c r="G97" s="8"/>
      <c r="H97" s="171">
        <f>Effort!K91+Aide!I91+Taux!K91</f>
        <v>0</v>
      </c>
      <c r="I97" s="234">
        <f t="shared" si="4"/>
        <v>-440654.45057370968</v>
      </c>
      <c r="J97" s="294">
        <f t="shared" si="5"/>
        <v>698443.88620369881</v>
      </c>
      <c r="K97" s="389">
        <f t="shared" si="6"/>
        <v>257789.43562998914</v>
      </c>
    </row>
    <row r="98" spans="1:11" x14ac:dyDescent="0.25">
      <c r="A98" s="38">
        <f>Données!A92</f>
        <v>5554</v>
      </c>
      <c r="B98" s="27" t="str">
        <f>Données!B92</f>
        <v>Concise</v>
      </c>
      <c r="C98" s="26">
        <f>Ecrêtage!C92</f>
        <v>34308.622777777782</v>
      </c>
      <c r="D98" s="12">
        <f>Données!Z92</f>
        <v>1022</v>
      </c>
      <c r="E98" s="8">
        <f>Population!K95</f>
        <v>-139241.54929577463</v>
      </c>
      <c r="F98" s="171">
        <f>Solidarité!I92</f>
        <v>-336223.49878689373</v>
      </c>
      <c r="G98" s="8"/>
      <c r="H98" s="171">
        <f>Effort!K92+Aide!I92+Taux!K92</f>
        <v>0</v>
      </c>
      <c r="I98" s="234">
        <f t="shared" si="4"/>
        <v>-475465.04808266833</v>
      </c>
      <c r="J98" s="294">
        <f t="shared" si="5"/>
        <v>662399.67002435238</v>
      </c>
      <c r="K98" s="389">
        <f t="shared" si="6"/>
        <v>186934.62194168405</v>
      </c>
    </row>
    <row r="99" spans="1:11" x14ac:dyDescent="0.25">
      <c r="A99" s="38">
        <f>Données!A93</f>
        <v>5555</v>
      </c>
      <c r="B99" s="27" t="str">
        <f>Données!B93</f>
        <v>Corcelles-près-Concise</v>
      </c>
      <c r="C99" s="26">
        <f>Ecrêtage!C93</f>
        <v>13639.969855072464</v>
      </c>
      <c r="D99" s="12">
        <f>Données!Z93</f>
        <v>425</v>
      </c>
      <c r="E99" s="8">
        <f>Population!K96</f>
        <v>-55743.838028169004</v>
      </c>
      <c r="F99" s="171">
        <f>Solidarité!I93</f>
        <v>-140338.81129498576</v>
      </c>
      <c r="G99" s="8"/>
      <c r="H99" s="171">
        <f>Effort!K93+Aide!I93+Taux!K93</f>
        <v>0</v>
      </c>
      <c r="I99" s="234">
        <f t="shared" si="4"/>
        <v>-196082.64932315476</v>
      </c>
      <c r="J99" s="294">
        <f t="shared" si="5"/>
        <v>263348.12649472756</v>
      </c>
      <c r="K99" s="389">
        <f t="shared" si="6"/>
        <v>67265.477171572798</v>
      </c>
    </row>
    <row r="100" spans="1:11" x14ac:dyDescent="0.25">
      <c r="A100" s="38">
        <f>Données!A94</f>
        <v>5556</v>
      </c>
      <c r="B100" s="27" t="str">
        <f>Données!B94</f>
        <v>Fiez</v>
      </c>
      <c r="C100" s="26">
        <f>Ecrêtage!C94</f>
        <v>12931.397729468599</v>
      </c>
      <c r="D100" s="12">
        <f>Données!Z94</f>
        <v>436</v>
      </c>
      <c r="E100" s="8">
        <f>Population!K97</f>
        <v>-57186.619718309848</v>
      </c>
      <c r="F100" s="171">
        <f>Solidarité!I94</f>
        <v>-164158.05885584487</v>
      </c>
      <c r="G100" s="8"/>
      <c r="H100" s="171">
        <f>Effort!K94+Aide!I94+Taux!K94</f>
        <v>0</v>
      </c>
      <c r="I100" s="234">
        <f t="shared" si="4"/>
        <v>-221344.67857415471</v>
      </c>
      <c r="J100" s="294">
        <f t="shared" si="5"/>
        <v>249667.66064716037</v>
      </c>
      <c r="K100" s="389">
        <f t="shared" si="6"/>
        <v>28322.982073005667</v>
      </c>
    </row>
    <row r="101" spans="1:11" x14ac:dyDescent="0.25">
      <c r="A101" s="38">
        <f>Données!A95</f>
        <v>5557</v>
      </c>
      <c r="B101" s="27" t="str">
        <f>Données!B95</f>
        <v>Fontaines-sur-Grandson</v>
      </c>
      <c r="C101" s="26">
        <f>Ecrêtage!C95</f>
        <v>4700.3647826086954</v>
      </c>
      <c r="D101" s="12">
        <f>Données!Z95</f>
        <v>199</v>
      </c>
      <c r="E101" s="8">
        <f>Population!K98</f>
        <v>-26101.232394366194</v>
      </c>
      <c r="F101" s="171">
        <f>Solidarité!I95</f>
        <v>-97778.331735707688</v>
      </c>
      <c r="G101" s="8"/>
      <c r="H101" s="171">
        <f>Effort!K95+Aide!I95+Taux!K95</f>
        <v>0</v>
      </c>
      <c r="I101" s="234">
        <f t="shared" si="4"/>
        <v>-123879.56413007388</v>
      </c>
      <c r="J101" s="294">
        <f t="shared" si="5"/>
        <v>90750.366202713369</v>
      </c>
      <c r="K101" s="389">
        <f t="shared" si="6"/>
        <v>-33129.19792736051</v>
      </c>
    </row>
    <row r="102" spans="1:11" x14ac:dyDescent="0.25">
      <c r="A102" s="38">
        <f>Données!A96</f>
        <v>5559</v>
      </c>
      <c r="B102" s="27" t="str">
        <f>Données!B96</f>
        <v>Giez</v>
      </c>
      <c r="C102" s="26">
        <f>Ecrêtage!C96</f>
        <v>19760.849242424243</v>
      </c>
      <c r="D102" s="12">
        <f>Données!Z96</f>
        <v>459</v>
      </c>
      <c r="E102" s="8">
        <f>Population!K99</f>
        <v>-60203.345070422525</v>
      </c>
      <c r="F102" s="171">
        <f>Solidarité!I96</f>
        <v>-51166.901019448902</v>
      </c>
      <c r="G102" s="8"/>
      <c r="H102" s="171">
        <f>Effort!K96+Aide!I96+Taux!K96</f>
        <v>0</v>
      </c>
      <c r="I102" s="234">
        <f t="shared" si="4"/>
        <v>-111370.24608987142</v>
      </c>
      <c r="J102" s="294">
        <f t="shared" si="5"/>
        <v>381524.49611183791</v>
      </c>
      <c r="K102" s="389">
        <f t="shared" si="6"/>
        <v>270154.25002196652</v>
      </c>
    </row>
    <row r="103" spans="1:11" x14ac:dyDescent="0.25">
      <c r="A103" s="38">
        <f>Données!A97</f>
        <v>5560</v>
      </c>
      <c r="B103" s="27" t="str">
        <f>Données!B97</f>
        <v>Grandevent</v>
      </c>
      <c r="C103" s="26">
        <f>Ecrêtage!C97</f>
        <v>8048.598285714289</v>
      </c>
      <c r="D103" s="12">
        <f>Données!Z97</f>
        <v>237</v>
      </c>
      <c r="E103" s="8">
        <f>Population!K100</f>
        <v>-31085.387323943658</v>
      </c>
      <c r="F103" s="171">
        <f>Solidarité!I97</f>
        <v>-71888.082060924397</v>
      </c>
      <c r="G103" s="8"/>
      <c r="H103" s="171">
        <f>Effort!K97+Aide!I97+Taux!K97</f>
        <v>0</v>
      </c>
      <c r="I103" s="234">
        <f t="shared" si="4"/>
        <v>-102973.46938486805</v>
      </c>
      <c r="J103" s="294">
        <f t="shared" si="5"/>
        <v>155395.01201047731</v>
      </c>
      <c r="K103" s="389">
        <f t="shared" si="6"/>
        <v>52421.542625609261</v>
      </c>
    </row>
    <row r="104" spans="1:11" x14ac:dyDescent="0.25">
      <c r="A104" s="38">
        <f>Données!A98</f>
        <v>5561</v>
      </c>
      <c r="B104" s="27" t="str">
        <f>Données!B98</f>
        <v>Grandson</v>
      </c>
      <c r="C104" s="26">
        <f>Ecrêtage!C98</f>
        <v>179345.48057971016</v>
      </c>
      <c r="D104" s="12">
        <f>Données!Z98</f>
        <v>3386</v>
      </c>
      <c r="E104" s="8">
        <f>Population!K101</f>
        <v>-1068183.0985915491</v>
      </c>
      <c r="F104" s="171">
        <f>Solidarité!I98</f>
        <v>0</v>
      </c>
      <c r="G104" s="8"/>
      <c r="H104" s="171">
        <f>Effort!K98+Aide!I98+Taux!K98</f>
        <v>0</v>
      </c>
      <c r="I104" s="234">
        <f t="shared" si="4"/>
        <v>-1068183.0985915491</v>
      </c>
      <c r="J104" s="294">
        <f t="shared" si="5"/>
        <v>3462639.3465524488</v>
      </c>
      <c r="K104" s="389">
        <f t="shared" si="6"/>
        <v>2394456.2479609</v>
      </c>
    </row>
    <row r="105" spans="1:11" x14ac:dyDescent="0.25">
      <c r="A105" s="38">
        <f>Données!A99</f>
        <v>5562</v>
      </c>
      <c r="B105" s="27" t="str">
        <f>Données!B99</f>
        <v>Mauborget</v>
      </c>
      <c r="C105" s="26">
        <f>Ecrêtage!C99</f>
        <v>4951.6888333333327</v>
      </c>
      <c r="D105" s="12">
        <f>Données!Z99</f>
        <v>134</v>
      </c>
      <c r="E105" s="8">
        <f>Population!K102</f>
        <v>-17575.70422535211</v>
      </c>
      <c r="F105" s="171">
        <f>Solidarité!I99</f>
        <v>-32797.667469351858</v>
      </c>
      <c r="G105" s="8"/>
      <c r="H105" s="171">
        <f>Effort!K99+Aide!I99+Taux!K99</f>
        <v>0</v>
      </c>
      <c r="I105" s="234">
        <f t="shared" si="4"/>
        <v>-50373.371694703965</v>
      </c>
      <c r="J105" s="294">
        <f t="shared" si="5"/>
        <v>95602.702285903884</v>
      </c>
      <c r="K105" s="389">
        <f t="shared" si="6"/>
        <v>45229.33059119992</v>
      </c>
    </row>
    <row r="106" spans="1:11" x14ac:dyDescent="0.25">
      <c r="A106" s="38">
        <f>Données!A100</f>
        <v>5563</v>
      </c>
      <c r="B106" s="27" t="str">
        <f>Données!B100</f>
        <v>Mutrux</v>
      </c>
      <c r="C106" s="26">
        <f>Ecrêtage!C100</f>
        <v>2911.2397499999997</v>
      </c>
      <c r="D106" s="12">
        <f>Données!Z100</f>
        <v>145</v>
      </c>
      <c r="E106" s="8">
        <f>Population!K103</f>
        <v>-19018.485915492955</v>
      </c>
      <c r="F106" s="171">
        <f>Solidarité!I100</f>
        <v>-108901.8921246481</v>
      </c>
      <c r="G106" s="8"/>
      <c r="H106" s="171">
        <f>Effort!K100+Aide!I100+Taux!K100</f>
        <v>3636.1113691579731</v>
      </c>
      <c r="I106" s="234">
        <f t="shared" si="4"/>
        <v>-124284.2666709831</v>
      </c>
      <c r="J106" s="294">
        <f t="shared" si="5"/>
        <v>56207.568058104473</v>
      </c>
      <c r="K106" s="389">
        <f t="shared" si="6"/>
        <v>-68076.698612878623</v>
      </c>
    </row>
    <row r="107" spans="1:11" x14ac:dyDescent="0.25">
      <c r="A107" s="38">
        <f>Données!A101</f>
        <v>5564</v>
      </c>
      <c r="B107" s="27" t="str">
        <f>Données!B101</f>
        <v>Novalles</v>
      </c>
      <c r="C107" s="26">
        <f>Ecrêtage!C101</f>
        <v>2278.1877960526317</v>
      </c>
      <c r="D107" s="12">
        <f>Données!Z101</f>
        <v>102</v>
      </c>
      <c r="E107" s="8">
        <f>Population!K104</f>
        <v>-13378.521126760561</v>
      </c>
      <c r="F107" s="171">
        <f>Solidarité!I101</f>
        <v>-63825.234041017975</v>
      </c>
      <c r="G107" s="8"/>
      <c r="H107" s="171">
        <f>Effort!K101+Aide!I101+Taux!K101</f>
        <v>0</v>
      </c>
      <c r="I107" s="234">
        <f t="shared" si="4"/>
        <v>-77203.755167778538</v>
      </c>
      <c r="J107" s="294">
        <f t="shared" si="5"/>
        <v>43985.176966538515</v>
      </c>
      <c r="K107" s="389">
        <f t="shared" si="6"/>
        <v>-33218.578201240023</v>
      </c>
    </row>
    <row r="108" spans="1:11" x14ac:dyDescent="0.25">
      <c r="A108" s="38">
        <f>Données!A102</f>
        <v>5565</v>
      </c>
      <c r="B108" s="27" t="str">
        <f>Données!B102</f>
        <v>Onnens</v>
      </c>
      <c r="C108" s="26">
        <f>Ecrêtage!C102</f>
        <v>21491.927559055119</v>
      </c>
      <c r="D108" s="12">
        <f>Données!Z102</f>
        <v>498</v>
      </c>
      <c r="E108" s="8">
        <f>Population!K105</f>
        <v>-65318.661971830974</v>
      </c>
      <c r="F108" s="171">
        <f>Solidarité!I102</f>
        <v>-50550.142654322102</v>
      </c>
      <c r="G108" s="8"/>
      <c r="H108" s="171">
        <f>Effort!K102+Aide!I102+Taux!K102</f>
        <v>0</v>
      </c>
      <c r="I108" s="234">
        <f t="shared" si="4"/>
        <v>-115868.80462615308</v>
      </c>
      <c r="J108" s="294">
        <f t="shared" si="5"/>
        <v>414946.58108300489</v>
      </c>
      <c r="K108" s="389">
        <f t="shared" si="6"/>
        <v>299077.7764568518</v>
      </c>
    </row>
    <row r="109" spans="1:11" x14ac:dyDescent="0.25">
      <c r="A109" s="38">
        <f>Données!A103</f>
        <v>5566</v>
      </c>
      <c r="B109" s="27" t="str">
        <f>Données!B103</f>
        <v>Provence</v>
      </c>
      <c r="C109" s="26">
        <f>Ecrêtage!C103</f>
        <v>9668.921111111109</v>
      </c>
      <c r="D109" s="12">
        <f>Données!Z103</f>
        <v>415</v>
      </c>
      <c r="E109" s="8">
        <f>Population!K106</f>
        <v>-54432.218309859141</v>
      </c>
      <c r="F109" s="171">
        <f>Solidarité!I103</f>
        <v>-284496.37740167562</v>
      </c>
      <c r="G109" s="8"/>
      <c r="H109" s="171">
        <f>Effort!K103+Aide!I103+Taux!K103</f>
        <v>0</v>
      </c>
      <c r="I109" s="234">
        <f t="shared" si="4"/>
        <v>-338928.59571153478</v>
      </c>
      <c r="J109" s="294">
        <f t="shared" si="5"/>
        <v>186678.7307370411</v>
      </c>
      <c r="K109" s="389">
        <f t="shared" si="6"/>
        <v>-152249.86497449368</v>
      </c>
    </row>
    <row r="110" spans="1:11" x14ac:dyDescent="0.25">
      <c r="A110" s="38">
        <f>Données!A104</f>
        <v>5568</v>
      </c>
      <c r="B110" s="27" t="str">
        <f>Données!B104</f>
        <v>Sainte-Croix</v>
      </c>
      <c r="C110" s="26">
        <f>Ecrêtage!C104</f>
        <v>108679.35057142857</v>
      </c>
      <c r="D110" s="12">
        <f>Données!Z104</f>
        <v>5051</v>
      </c>
      <c r="E110" s="8">
        <f>Population!K107</f>
        <v>-1947073.2394366194</v>
      </c>
      <c r="F110" s="171">
        <f>Solidarité!I104</f>
        <v>-2762194.0327892732</v>
      </c>
      <c r="G110" s="8"/>
      <c r="H110" s="171">
        <f>Effort!K104+Aide!I104+Taux!K104</f>
        <v>0</v>
      </c>
      <c r="I110" s="234">
        <f t="shared" si="4"/>
        <v>-4709267.2722258922</v>
      </c>
      <c r="J110" s="294">
        <f t="shared" si="5"/>
        <v>2098282.0098393364</v>
      </c>
      <c r="K110" s="389">
        <f t="shared" si="6"/>
        <v>-2610985.2623865558</v>
      </c>
    </row>
    <row r="111" spans="1:11" x14ac:dyDescent="0.25">
      <c r="A111" s="38">
        <f>Données!A105</f>
        <v>5571</v>
      </c>
      <c r="B111" s="27" t="str">
        <f>Données!B105</f>
        <v>Tévenon</v>
      </c>
      <c r="C111" s="26">
        <f>Ecrêtage!C105</f>
        <v>25950.769557109554</v>
      </c>
      <c r="D111" s="12">
        <f>Données!Z105</f>
        <v>865</v>
      </c>
      <c r="E111" s="8">
        <f>Population!K108</f>
        <v>-113455.1056338028</v>
      </c>
      <c r="F111" s="171">
        <f>Solidarité!I105</f>
        <v>-343672.7001543091</v>
      </c>
      <c r="G111" s="8"/>
      <c r="H111" s="171">
        <f>Effort!K105+Aide!I105+Taux!K105</f>
        <v>0</v>
      </c>
      <c r="I111" s="234">
        <f t="shared" si="4"/>
        <v>-457127.80578811187</v>
      </c>
      <c r="J111" s="294">
        <f t="shared" si="5"/>
        <v>501033.84513124387</v>
      </c>
      <c r="K111" s="389">
        <f t="shared" si="6"/>
        <v>43906.039343131997</v>
      </c>
    </row>
    <row r="112" spans="1:11" x14ac:dyDescent="0.25">
      <c r="A112" s="38">
        <f>Données!A106</f>
        <v>5581</v>
      </c>
      <c r="B112" s="27" t="str">
        <f>Données!B106</f>
        <v>Belmont-sur-Lausanne</v>
      </c>
      <c r="C112" s="26">
        <f>Ecrêtage!C106</f>
        <v>216786.11745370374</v>
      </c>
      <c r="D112" s="12">
        <f>Données!Z106</f>
        <v>3896</v>
      </c>
      <c r="E112" s="8">
        <f>Population!K109</f>
        <v>-1335753.5211267604</v>
      </c>
      <c r="F112" s="171">
        <f>Solidarité!I106</f>
        <v>0</v>
      </c>
      <c r="G112" s="8"/>
      <c r="H112" s="171">
        <f>Effort!K106+Aide!I106+Taux!K106</f>
        <v>0</v>
      </c>
      <c r="I112" s="234">
        <f t="shared" si="4"/>
        <v>-1335753.5211267604</v>
      </c>
      <c r="J112" s="294">
        <f t="shared" si="5"/>
        <v>4185509.0948216422</v>
      </c>
      <c r="K112" s="389">
        <f t="shared" si="6"/>
        <v>2849755.573694882</v>
      </c>
    </row>
    <row r="113" spans="1:11" x14ac:dyDescent="0.25">
      <c r="A113" s="38">
        <f>Données!A107</f>
        <v>5582</v>
      </c>
      <c r="B113" s="27" t="str">
        <f>Données!B107</f>
        <v>Cheseaux-sur-Lausanne</v>
      </c>
      <c r="C113" s="26">
        <f>Ecrêtage!C107</f>
        <v>179452.21630136986</v>
      </c>
      <c r="D113" s="12">
        <f>Données!Z107</f>
        <v>4842</v>
      </c>
      <c r="E113" s="8">
        <f>Population!K110</f>
        <v>-1832070.4225352108</v>
      </c>
      <c r="F113" s="171">
        <f>Solidarité!I107</f>
        <v>-1277679.2168511236</v>
      </c>
      <c r="G113" s="8"/>
      <c r="H113" s="171">
        <f>Effort!K107+Aide!I107+Taux!K107</f>
        <v>0</v>
      </c>
      <c r="I113" s="234">
        <f t="shared" si="4"/>
        <v>-3109749.6393863345</v>
      </c>
      <c r="J113" s="294">
        <f t="shared" si="5"/>
        <v>3464700.1027438338</v>
      </c>
      <c r="K113" s="389">
        <f t="shared" si="6"/>
        <v>354950.46335749933</v>
      </c>
    </row>
    <row r="114" spans="1:11" x14ac:dyDescent="0.25">
      <c r="A114" s="38">
        <f>Données!A108</f>
        <v>5583</v>
      </c>
      <c r="B114" s="27" t="str">
        <f>Données!B108</f>
        <v>Crissier</v>
      </c>
      <c r="C114" s="26">
        <f>Ecrêtage!C108</f>
        <v>371804.01181102369</v>
      </c>
      <c r="D114" s="12">
        <f>Données!Z108</f>
        <v>9327</v>
      </c>
      <c r="E114" s="8">
        <f>Population!K111</f>
        <v>-4724926.4084507031</v>
      </c>
      <c r="F114" s="171">
        <f>Solidarité!I108</f>
        <v>-1441433.365349971</v>
      </c>
      <c r="G114" s="8"/>
      <c r="H114" s="171">
        <f>Effort!K108+Aide!I108+Taux!K108</f>
        <v>0</v>
      </c>
      <c r="I114" s="234">
        <f t="shared" si="4"/>
        <v>-6166359.7738006739</v>
      </c>
      <c r="J114" s="294">
        <f t="shared" si="5"/>
        <v>7178453.5430805366</v>
      </c>
      <c r="K114" s="389">
        <f t="shared" si="6"/>
        <v>1012093.7692798628</v>
      </c>
    </row>
    <row r="115" spans="1:11" x14ac:dyDescent="0.25">
      <c r="A115" s="38">
        <f>Données!A109</f>
        <v>5584</v>
      </c>
      <c r="B115" s="27" t="str">
        <f>Données!B109</f>
        <v>Epalinges</v>
      </c>
      <c r="C115" s="26">
        <f>Ecrêtage!C109</f>
        <v>516751.95968992251</v>
      </c>
      <c r="D115" s="12">
        <f>Données!Z109</f>
        <v>9910</v>
      </c>
      <c r="E115" s="8">
        <f>Population!K112</f>
        <v>-5244904.9295774642</v>
      </c>
      <c r="F115" s="171">
        <f>Solidarité!I109</f>
        <v>0</v>
      </c>
      <c r="G115" s="8"/>
      <c r="H115" s="171">
        <f>Effort!K109+Aide!I109+Taux!K109</f>
        <v>0</v>
      </c>
      <c r="I115" s="234">
        <f t="shared" si="4"/>
        <v>-5244904.9295774642</v>
      </c>
      <c r="J115" s="294">
        <f t="shared" si="5"/>
        <v>9976976.6277168281</v>
      </c>
      <c r="K115" s="389">
        <f t="shared" si="6"/>
        <v>4732071.6981393639</v>
      </c>
    </row>
    <row r="116" spans="1:11" x14ac:dyDescent="0.25">
      <c r="A116" s="38">
        <f>Données!A110</f>
        <v>5585</v>
      </c>
      <c r="B116" s="27" t="str">
        <f>Données!B110</f>
        <v>Jouxtens-Mézery</v>
      </c>
      <c r="C116" s="26">
        <f>Ecrêtage!C110</f>
        <v>251674.37118644069</v>
      </c>
      <c r="D116" s="12">
        <f>Données!Z110</f>
        <v>1493</v>
      </c>
      <c r="E116" s="8">
        <f>Population!K113</f>
        <v>-312217.95774647885</v>
      </c>
      <c r="F116" s="171">
        <f>Solidarité!I110</f>
        <v>0</v>
      </c>
      <c r="G116" s="8"/>
      <c r="H116" s="171">
        <f>Effort!K110+Aide!I110+Taux!K110</f>
        <v>-36096.89304798012</v>
      </c>
      <c r="I116" s="234">
        <f t="shared" si="4"/>
        <v>-348314.85079445899</v>
      </c>
      <c r="J116" s="294">
        <f t="shared" si="5"/>
        <v>4859099.7518986594</v>
      </c>
      <c r="K116" s="389">
        <f t="shared" si="6"/>
        <v>4510784.9011042006</v>
      </c>
    </row>
    <row r="117" spans="1:11" x14ac:dyDescent="0.25">
      <c r="A117" s="38">
        <f>Données!A111</f>
        <v>5586</v>
      </c>
      <c r="B117" s="27" t="str">
        <f>Données!B111</f>
        <v>Lausanne</v>
      </c>
      <c r="C117" s="26">
        <f>Ecrêtage!C111</f>
        <v>6915333.6485774955</v>
      </c>
      <c r="D117" s="12">
        <f>Données!Z111</f>
        <v>144365</v>
      </c>
      <c r="E117" s="8">
        <f>Population!K114</f>
        <v>-152786121.47887322</v>
      </c>
      <c r="F117" s="171">
        <f>Solidarité!I111</f>
        <v>-5534323.3756088931</v>
      </c>
      <c r="G117" s="8"/>
      <c r="H117" s="171">
        <f>Effort!K111+Aide!I111+Taux!K111</f>
        <v>0</v>
      </c>
      <c r="I117" s="234">
        <f t="shared" si="4"/>
        <v>-158320444.85448211</v>
      </c>
      <c r="J117" s="294">
        <f t="shared" si="5"/>
        <v>133514969.59222254</v>
      </c>
      <c r="K117" s="389">
        <f t="shared" si="6"/>
        <v>-24805475.262259573</v>
      </c>
    </row>
    <row r="118" spans="1:11" x14ac:dyDescent="0.25">
      <c r="A118" s="38">
        <f>Données!A112</f>
        <v>5587</v>
      </c>
      <c r="B118" s="27" t="str">
        <f>Données!B112</f>
        <v>Le Mont-sur-Lausanne</v>
      </c>
      <c r="C118" s="26">
        <f>Ecrêtage!C112</f>
        <v>490592.89707482996</v>
      </c>
      <c r="D118" s="12">
        <f>Données!Z112</f>
        <v>9274</v>
      </c>
      <c r="E118" s="8">
        <f>Population!K115</f>
        <v>-4677655.6338028163</v>
      </c>
      <c r="F118" s="171">
        <f>Solidarité!I112</f>
        <v>0</v>
      </c>
      <c r="G118" s="8"/>
      <c r="H118" s="171">
        <f>Effort!K112+Aide!I112+Taux!K112</f>
        <v>0</v>
      </c>
      <c r="I118" s="234">
        <f t="shared" si="4"/>
        <v>-4677655.6338028163</v>
      </c>
      <c r="J118" s="294">
        <f t="shared" si="5"/>
        <v>9471921.249754902</v>
      </c>
      <c r="K118" s="389">
        <f t="shared" si="6"/>
        <v>4794265.6159520857</v>
      </c>
    </row>
    <row r="119" spans="1:11" x14ac:dyDescent="0.25">
      <c r="A119" s="38">
        <f>Données!A113</f>
        <v>5588</v>
      </c>
      <c r="B119" s="27" t="str">
        <f>Données!B113</f>
        <v>Paudex</v>
      </c>
      <c r="C119" s="26">
        <f>Ecrêtage!C113</f>
        <v>123433.64683136411</v>
      </c>
      <c r="D119" s="12">
        <f>Données!Z113</f>
        <v>1538</v>
      </c>
      <c r="E119" s="8">
        <f>Population!K116</f>
        <v>-328744.36619718303</v>
      </c>
      <c r="F119" s="171">
        <f>Solidarité!I113</f>
        <v>0</v>
      </c>
      <c r="G119" s="8"/>
      <c r="H119" s="171">
        <f>Effort!K113+Aide!I113+Taux!K113</f>
        <v>0</v>
      </c>
      <c r="I119" s="234">
        <f t="shared" si="4"/>
        <v>-328744.36619718303</v>
      </c>
      <c r="J119" s="294">
        <f t="shared" si="5"/>
        <v>2383144.536596112</v>
      </c>
      <c r="K119" s="389">
        <f t="shared" si="6"/>
        <v>2054400.1703989289</v>
      </c>
    </row>
    <row r="120" spans="1:11" x14ac:dyDescent="0.25">
      <c r="A120" s="38">
        <f>Données!A114</f>
        <v>5589</v>
      </c>
      <c r="B120" s="27" t="str">
        <f>Données!B114</f>
        <v>Prilly</v>
      </c>
      <c r="C120" s="26">
        <f>Ecrêtage!C114</f>
        <v>450278.56075331569</v>
      </c>
      <c r="D120" s="12">
        <f>Données!Z114</f>
        <v>12439</v>
      </c>
      <c r="E120" s="8">
        <f>Population!K117</f>
        <v>-7569619.7183098579</v>
      </c>
      <c r="F120" s="171">
        <f>Solidarité!I114</f>
        <v>-3462794.421068076</v>
      </c>
      <c r="G120" s="8"/>
      <c r="H120" s="171">
        <f>Effort!K114+Aide!I114+Taux!K114</f>
        <v>0</v>
      </c>
      <c r="I120" s="234">
        <f t="shared" si="4"/>
        <v>-11032414.139377933</v>
      </c>
      <c r="J120" s="294">
        <f t="shared" si="5"/>
        <v>8693568.7274286915</v>
      </c>
      <c r="K120" s="389">
        <f t="shared" si="6"/>
        <v>-2338845.4119492415</v>
      </c>
    </row>
    <row r="121" spans="1:11" x14ac:dyDescent="0.25">
      <c r="A121" s="38">
        <f>Données!A115</f>
        <v>5590</v>
      </c>
      <c r="B121" s="27" t="str">
        <f>Données!B115</f>
        <v>Pully</v>
      </c>
      <c r="C121" s="26">
        <f>Ecrêtage!C115</f>
        <v>1605465.5341920371</v>
      </c>
      <c r="D121" s="12">
        <f>Données!Z115</f>
        <v>19298</v>
      </c>
      <c r="E121" s="8">
        <f>Population!K118</f>
        <v>-14992233.098591547</v>
      </c>
      <c r="F121" s="171">
        <f>Solidarité!I115</f>
        <v>0</v>
      </c>
      <c r="G121" s="8"/>
      <c r="H121" s="171">
        <f>Effort!K115+Aide!I115+Taux!K115</f>
        <v>0</v>
      </c>
      <c r="I121" s="234">
        <f t="shared" si="4"/>
        <v>-14992233.098591547</v>
      </c>
      <c r="J121" s="294">
        <f t="shared" si="5"/>
        <v>30996867.667130467</v>
      </c>
      <c r="K121" s="389">
        <f t="shared" si="6"/>
        <v>16004634.568538919</v>
      </c>
    </row>
    <row r="122" spans="1:11" x14ac:dyDescent="0.25">
      <c r="A122" s="38">
        <f>Données!A116</f>
        <v>5591</v>
      </c>
      <c r="B122" s="27" t="str">
        <f>Données!B116</f>
        <v>Renens</v>
      </c>
      <c r="C122" s="26">
        <f>Ecrêtage!C116</f>
        <v>640589.63196660485</v>
      </c>
      <c r="D122" s="12">
        <f>Données!Z116</f>
        <v>21466</v>
      </c>
      <c r="E122" s="8">
        <f>Population!K119</f>
        <v>-17380850</v>
      </c>
      <c r="F122" s="171">
        <f>Solidarité!I116</f>
        <v>-9971947.6770061105</v>
      </c>
      <c r="G122" s="8"/>
      <c r="H122" s="171">
        <f>Effort!K116+Aide!I116+Taux!K116</f>
        <v>0</v>
      </c>
      <c r="I122" s="234">
        <f t="shared" si="4"/>
        <v>-27352797.677006111</v>
      </c>
      <c r="J122" s="294">
        <f t="shared" si="5"/>
        <v>12367921.719974812</v>
      </c>
      <c r="K122" s="389">
        <f t="shared" si="6"/>
        <v>-14984875.957031298</v>
      </c>
    </row>
    <row r="123" spans="1:11" x14ac:dyDescent="0.25">
      <c r="A123" s="38">
        <f>Données!A117</f>
        <v>5592</v>
      </c>
      <c r="B123" s="27" t="str">
        <f>Données!B117</f>
        <v>Romanel-sur-Lausanne</v>
      </c>
      <c r="C123" s="26">
        <f>Ecrêtage!C117</f>
        <v>135992.91645390069</v>
      </c>
      <c r="D123" s="12">
        <f>Données!Z117</f>
        <v>3992</v>
      </c>
      <c r="E123" s="8">
        <f>Population!K120</f>
        <v>-1386119.7183098588</v>
      </c>
      <c r="F123" s="171">
        <f>Solidarité!I117</f>
        <v>-1219831.7662717185</v>
      </c>
      <c r="G123" s="8"/>
      <c r="H123" s="171">
        <f>Effort!K117+Aide!I117+Taux!K117</f>
        <v>0</v>
      </c>
      <c r="I123" s="234">
        <f t="shared" si="4"/>
        <v>-2605951.4845815776</v>
      </c>
      <c r="J123" s="294">
        <f t="shared" si="5"/>
        <v>2625627.4863665006</v>
      </c>
      <c r="K123" s="389">
        <f t="shared" si="6"/>
        <v>19676.001784923021</v>
      </c>
    </row>
    <row r="124" spans="1:11" x14ac:dyDescent="0.25">
      <c r="A124" s="38">
        <f>Données!A118</f>
        <v>5601</v>
      </c>
      <c r="B124" s="27" t="str">
        <f>Données!B118</f>
        <v>Chexbres</v>
      </c>
      <c r="C124" s="26">
        <f>Ecrêtage!C118</f>
        <v>102021.70311111111</v>
      </c>
      <c r="D124" s="12">
        <f>Données!Z118</f>
        <v>2230</v>
      </c>
      <c r="E124" s="8">
        <f>Population!K121</f>
        <v>-582883.80281690136</v>
      </c>
      <c r="F124" s="171">
        <f>Solidarité!I118</f>
        <v>-150542.20797579829</v>
      </c>
      <c r="G124" s="8"/>
      <c r="H124" s="171">
        <f>Effort!K118+Aide!I118+Taux!K118</f>
        <v>0</v>
      </c>
      <c r="I124" s="234">
        <f t="shared" si="4"/>
        <v>-733426.01079269964</v>
      </c>
      <c r="J124" s="294">
        <f t="shared" si="5"/>
        <v>1969742.2106927151</v>
      </c>
      <c r="K124" s="389">
        <f t="shared" si="6"/>
        <v>1236316.1999000155</v>
      </c>
    </row>
    <row r="125" spans="1:11" x14ac:dyDescent="0.25">
      <c r="A125" s="38">
        <f>Données!A119</f>
        <v>5604</v>
      </c>
      <c r="B125" s="27" t="str">
        <f>Données!B119</f>
        <v>Forel (Lavaux)</v>
      </c>
      <c r="C125" s="26">
        <f>Ecrêtage!C119</f>
        <v>75702.239275362328</v>
      </c>
      <c r="D125" s="12">
        <f>Données!Z119</f>
        <v>2068</v>
      </c>
      <c r="E125" s="8">
        <f>Population!K122</f>
        <v>-523388.73239436618</v>
      </c>
      <c r="F125" s="171">
        <f>Solidarité!I119</f>
        <v>-505424.52308079926</v>
      </c>
      <c r="G125" s="8"/>
      <c r="H125" s="171">
        <f>Effort!K119+Aide!I119+Taux!K119</f>
        <v>0</v>
      </c>
      <c r="I125" s="234">
        <f t="shared" si="4"/>
        <v>-1028813.2554751654</v>
      </c>
      <c r="J125" s="294">
        <f t="shared" si="5"/>
        <v>1461589.9519168211</v>
      </c>
      <c r="K125" s="389">
        <f t="shared" si="6"/>
        <v>432776.69644165563</v>
      </c>
    </row>
    <row r="126" spans="1:11" x14ac:dyDescent="0.25">
      <c r="A126" s="38">
        <f>Données!A120</f>
        <v>5606</v>
      </c>
      <c r="B126" s="27" t="str">
        <f>Données!B120</f>
        <v>Lutry</v>
      </c>
      <c r="C126" s="26">
        <f>Ecrêtage!C120</f>
        <v>997292.15626984113</v>
      </c>
      <c r="D126" s="12">
        <f>Données!Z120</f>
        <v>10796</v>
      </c>
      <c r="E126" s="8">
        <f>Population!K123</f>
        <v>-6035129.5774647873</v>
      </c>
      <c r="F126" s="171">
        <f>Solidarité!I120</f>
        <v>0</v>
      </c>
      <c r="G126" s="8"/>
      <c r="H126" s="171">
        <f>Effort!K120+Aide!I120+Taux!K120</f>
        <v>0</v>
      </c>
      <c r="I126" s="234">
        <f t="shared" si="4"/>
        <v>-6035129.5774647873</v>
      </c>
      <c r="J126" s="294">
        <f t="shared" si="5"/>
        <v>19254809.483606037</v>
      </c>
      <c r="K126" s="389">
        <f t="shared" si="6"/>
        <v>13219679.906141249</v>
      </c>
    </row>
    <row r="127" spans="1:11" x14ac:dyDescent="0.25">
      <c r="A127" s="38">
        <f>Données!A121</f>
        <v>5607</v>
      </c>
      <c r="B127" s="27" t="str">
        <f>Données!B121</f>
        <v>Puidoux</v>
      </c>
      <c r="C127" s="26">
        <f>Ecrêtage!C121</f>
        <v>134658.72766105999</v>
      </c>
      <c r="D127" s="12">
        <f>Données!Z121</f>
        <v>3012</v>
      </c>
      <c r="E127" s="8">
        <f>Population!K124</f>
        <v>-871964.78873239423</v>
      </c>
      <c r="F127" s="171">
        <f>Solidarité!I121</f>
        <v>-268233.85928674048</v>
      </c>
      <c r="G127" s="8"/>
      <c r="H127" s="171">
        <f>Effort!K121+Aide!I121+Taux!K121</f>
        <v>0</v>
      </c>
      <c r="I127" s="234">
        <f t="shared" si="4"/>
        <v>-1140198.6480191348</v>
      </c>
      <c r="J127" s="294">
        <f t="shared" si="5"/>
        <v>2599868.1831775573</v>
      </c>
      <c r="K127" s="389">
        <f t="shared" si="6"/>
        <v>1459669.5351584225</v>
      </c>
    </row>
    <row r="128" spans="1:11" x14ac:dyDescent="0.25">
      <c r="A128" s="38">
        <f>Données!A122</f>
        <v>5609</v>
      </c>
      <c r="B128" s="27" t="str">
        <f>Données!B122</f>
        <v>Rivaz</v>
      </c>
      <c r="C128" s="26">
        <f>Ecrêtage!C122</f>
        <v>13979.892580645163</v>
      </c>
      <c r="D128" s="12">
        <f>Données!Z122</f>
        <v>326</v>
      </c>
      <c r="E128" s="8">
        <f>Population!K125</f>
        <v>-42758.8028169014</v>
      </c>
      <c r="F128" s="171">
        <f>Solidarité!I122</f>
        <v>-32914.424950046225</v>
      </c>
      <c r="G128" s="8"/>
      <c r="H128" s="171">
        <f>Effort!K122+Aide!I122+Taux!K122</f>
        <v>0</v>
      </c>
      <c r="I128" s="234">
        <f t="shared" si="4"/>
        <v>-75673.227766947617</v>
      </c>
      <c r="J128" s="294">
        <f t="shared" si="5"/>
        <v>269911.04517297237</v>
      </c>
      <c r="K128" s="389">
        <f t="shared" si="6"/>
        <v>194237.81740602475</v>
      </c>
    </row>
    <row r="129" spans="1:11" x14ac:dyDescent="0.25">
      <c r="A129" s="38">
        <f>Données!A123</f>
        <v>5610</v>
      </c>
      <c r="B129" s="27" t="str">
        <f>Données!B123</f>
        <v>St-Saphorin (Lavaux)</v>
      </c>
      <c r="C129" s="26">
        <f>Ecrêtage!C123</f>
        <v>19286.757384259257</v>
      </c>
      <c r="D129" s="12">
        <f>Données!Z123</f>
        <v>391</v>
      </c>
      <c r="E129" s="8">
        <f>Population!K126</f>
        <v>-51284.330985915483</v>
      </c>
      <c r="F129" s="171">
        <f>Solidarité!I123</f>
        <v>-1073.3355663806217</v>
      </c>
      <c r="G129" s="8"/>
      <c r="H129" s="171">
        <f>Effort!K123+Aide!I123+Taux!K123</f>
        <v>0</v>
      </c>
      <c r="I129" s="234">
        <f t="shared" si="4"/>
        <v>-52357.666552296105</v>
      </c>
      <c r="J129" s="294">
        <f t="shared" si="5"/>
        <v>372371.16190650436</v>
      </c>
      <c r="K129" s="389">
        <f t="shared" si="6"/>
        <v>320013.49535420828</v>
      </c>
    </row>
    <row r="130" spans="1:11" x14ac:dyDescent="0.25">
      <c r="A130" s="38">
        <f>Données!A124</f>
        <v>5611</v>
      </c>
      <c r="B130" s="27" t="str">
        <f>Données!B124</f>
        <v>Savigny</v>
      </c>
      <c r="C130" s="26">
        <f>Ecrêtage!C124</f>
        <v>143902.95567632848</v>
      </c>
      <c r="D130" s="12">
        <f>Données!Z124</f>
        <v>3448</v>
      </c>
      <c r="E130" s="8">
        <f>Population!K127</f>
        <v>-1100711.2676056337</v>
      </c>
      <c r="F130" s="171">
        <f>Solidarité!I124</f>
        <v>-506435.29630917677</v>
      </c>
      <c r="G130" s="8"/>
      <c r="H130" s="171">
        <f>Effort!K124+Aide!I124+Taux!K124</f>
        <v>0</v>
      </c>
      <c r="I130" s="234">
        <f t="shared" si="4"/>
        <v>-1607146.5639148105</v>
      </c>
      <c r="J130" s="294">
        <f t="shared" si="5"/>
        <v>2778347.3260625908</v>
      </c>
      <c r="K130" s="389">
        <f t="shared" si="6"/>
        <v>1171200.7621477803</v>
      </c>
    </row>
    <row r="131" spans="1:11" x14ac:dyDescent="0.25">
      <c r="A131" s="38">
        <f>Données!A125</f>
        <v>5613</v>
      </c>
      <c r="B131" s="27" t="str">
        <f>Données!B125</f>
        <v>Bourg-en-Lavaux</v>
      </c>
      <c r="C131" s="26">
        <f>Ecrêtage!C125</f>
        <v>363833.56800000003</v>
      </c>
      <c r="D131" s="12">
        <f>Données!Z125</f>
        <v>5411</v>
      </c>
      <c r="E131" s="8">
        <f>Population!K128</f>
        <v>-2173721.1267605629</v>
      </c>
      <c r="F131" s="171">
        <f>Solidarité!I125</f>
        <v>0</v>
      </c>
      <c r="G131" s="8"/>
      <c r="H131" s="171">
        <f>Effort!K125+Aide!I125+Taux!K125</f>
        <v>0</v>
      </c>
      <c r="I131" s="234">
        <f t="shared" si="4"/>
        <v>-2173721.1267605629</v>
      </c>
      <c r="J131" s="294">
        <f t="shared" si="5"/>
        <v>7024567.4665520024</v>
      </c>
      <c r="K131" s="389">
        <f t="shared" si="6"/>
        <v>4850846.3397914395</v>
      </c>
    </row>
    <row r="132" spans="1:11" x14ac:dyDescent="0.25">
      <c r="A132" s="38">
        <f>Données!A126</f>
        <v>5621</v>
      </c>
      <c r="B132" s="27" t="str">
        <f>Données!B126</f>
        <v>Aclens</v>
      </c>
      <c r="C132" s="26">
        <f>Ecrêtage!C126</f>
        <v>33787.730043988267</v>
      </c>
      <c r="D132" s="12">
        <f>Données!Z126</f>
        <v>578</v>
      </c>
      <c r="E132" s="8">
        <f>Population!K129</f>
        <v>-75811.619718309841</v>
      </c>
      <c r="F132" s="171">
        <f>Solidarité!I126</f>
        <v>0</v>
      </c>
      <c r="G132" s="8"/>
      <c r="H132" s="171">
        <f>Effort!K126+Aide!I126+Taux!K126</f>
        <v>0</v>
      </c>
      <c r="I132" s="234">
        <f t="shared" si="4"/>
        <v>-75811.619718309841</v>
      </c>
      <c r="J132" s="294">
        <f t="shared" si="5"/>
        <v>652342.7470981502</v>
      </c>
      <c r="K132" s="389">
        <f t="shared" si="6"/>
        <v>576531.12737984036</v>
      </c>
    </row>
    <row r="133" spans="1:11" x14ac:dyDescent="0.25">
      <c r="A133" s="38">
        <f>Données!A127</f>
        <v>5622</v>
      </c>
      <c r="B133" s="27" t="str">
        <f>Données!B127</f>
        <v>Bremblens</v>
      </c>
      <c r="C133" s="26">
        <f>Ecrêtage!C127</f>
        <v>29905.330441176469</v>
      </c>
      <c r="D133" s="12">
        <f>Données!Z127</f>
        <v>614</v>
      </c>
      <c r="E133" s="8">
        <f>Population!K130</f>
        <v>-80533.450704225339</v>
      </c>
      <c r="F133" s="171">
        <f>Solidarité!I127</f>
        <v>-8545.2141768675592</v>
      </c>
      <c r="G133" s="8"/>
      <c r="H133" s="171">
        <f>Effort!K127+Aide!I127+Taux!K127</f>
        <v>0</v>
      </c>
      <c r="I133" s="234">
        <f t="shared" si="4"/>
        <v>-89078.664881092904</v>
      </c>
      <c r="J133" s="294">
        <f t="shared" si="5"/>
        <v>577384.90829294629</v>
      </c>
      <c r="K133" s="389">
        <f t="shared" si="6"/>
        <v>488306.24341185339</v>
      </c>
    </row>
    <row r="134" spans="1:11" x14ac:dyDescent="0.25">
      <c r="A134" s="38">
        <f>Données!A128</f>
        <v>5623</v>
      </c>
      <c r="B134" s="27" t="str">
        <f>Données!B128</f>
        <v>Buchillon</v>
      </c>
      <c r="C134" s="26">
        <f>Ecrêtage!C128</f>
        <v>94247.214615384597</v>
      </c>
      <c r="D134" s="12">
        <f>Données!Z128</f>
        <v>687</v>
      </c>
      <c r="E134" s="8">
        <f>Population!K131</f>
        <v>-90108.274647887301</v>
      </c>
      <c r="F134" s="171">
        <f>Solidarité!I128</f>
        <v>0</v>
      </c>
      <c r="G134" s="8"/>
      <c r="H134" s="171">
        <f>Effort!K128+Aide!I128+Taux!K128</f>
        <v>0</v>
      </c>
      <c r="I134" s="234">
        <f t="shared" si="4"/>
        <v>-90108.274647887301</v>
      </c>
      <c r="J134" s="294">
        <f t="shared" si="5"/>
        <v>1819639.461085611</v>
      </c>
      <c r="K134" s="389">
        <f t="shared" si="6"/>
        <v>1729531.1864377237</v>
      </c>
    </row>
    <row r="135" spans="1:11" x14ac:dyDescent="0.25">
      <c r="A135" s="38">
        <f>Données!A129</f>
        <v>5624</v>
      </c>
      <c r="B135" s="27" t="str">
        <f>Données!B129</f>
        <v>Bussigny</v>
      </c>
      <c r="C135" s="26">
        <f>Ecrêtage!C129</f>
        <v>412146.03071999998</v>
      </c>
      <c r="D135" s="12">
        <f>Données!Z129</f>
        <v>10645</v>
      </c>
      <c r="E135" s="8">
        <f>Population!K132</f>
        <v>-5900452.4647887312</v>
      </c>
      <c r="F135" s="171">
        <f>Solidarité!I129</f>
        <v>-1784018.757008181</v>
      </c>
      <c r="G135" s="8"/>
      <c r="H135" s="171">
        <f>Effort!K129+Aide!I129+Taux!K129</f>
        <v>0</v>
      </c>
      <c r="I135" s="234">
        <f t="shared" si="4"/>
        <v>-7684471.2217969121</v>
      </c>
      <c r="J135" s="294">
        <f t="shared" si="5"/>
        <v>7957340.5356161473</v>
      </c>
      <c r="K135" s="389">
        <f t="shared" si="6"/>
        <v>272869.31381923519</v>
      </c>
    </row>
    <row r="136" spans="1:11" x14ac:dyDescent="0.25">
      <c r="A136" s="38">
        <f>Données!A130</f>
        <v>5627</v>
      </c>
      <c r="B136" s="27" t="str">
        <f>Données!B130</f>
        <v>Chavannes-près-Renens</v>
      </c>
      <c r="C136" s="26">
        <f>Ecrêtage!C130</f>
        <v>197756.36438709678</v>
      </c>
      <c r="D136" s="12">
        <f>Données!Z130</f>
        <v>9337</v>
      </c>
      <c r="E136" s="8">
        <f>Population!K133</f>
        <v>-4733845.4225352099</v>
      </c>
      <c r="F136" s="171">
        <f>Solidarité!I130</f>
        <v>-6334186.4972058665</v>
      </c>
      <c r="G136" s="8"/>
      <c r="H136" s="171">
        <f>Effort!K130+Aide!I130+Taux!K130</f>
        <v>2913411.539065517</v>
      </c>
      <c r="I136" s="234">
        <f t="shared" si="4"/>
        <v>-8154620.380675558</v>
      </c>
      <c r="J136" s="294">
        <f t="shared" si="5"/>
        <v>3818099.9384235018</v>
      </c>
      <c r="K136" s="389">
        <f t="shared" si="6"/>
        <v>-4336520.4422520567</v>
      </c>
    </row>
    <row r="137" spans="1:11" x14ac:dyDescent="0.25">
      <c r="A137" s="38">
        <f>Données!A131</f>
        <v>5628</v>
      </c>
      <c r="B137" s="27" t="str">
        <f>Données!B131</f>
        <v>Chigny</v>
      </c>
      <c r="C137" s="26">
        <f>Ecrêtage!C131</f>
        <v>29701.321935483869</v>
      </c>
      <c r="D137" s="12">
        <f>Données!Z131</f>
        <v>422</v>
      </c>
      <c r="E137" s="8">
        <f>Population!K134</f>
        <v>-55350.352112676046</v>
      </c>
      <c r="F137" s="171">
        <f>Solidarité!I131</f>
        <v>0</v>
      </c>
      <c r="G137" s="8"/>
      <c r="H137" s="171">
        <f>Effort!K131+Aide!I131+Taux!K131</f>
        <v>0</v>
      </c>
      <c r="I137" s="234">
        <f t="shared" si="4"/>
        <v>-55350.352112676046</v>
      </c>
      <c r="J137" s="294">
        <f t="shared" si="5"/>
        <v>573446.09769922972</v>
      </c>
      <c r="K137" s="389">
        <f t="shared" si="6"/>
        <v>518095.7455865537</v>
      </c>
    </row>
    <row r="138" spans="1:11" x14ac:dyDescent="0.25">
      <c r="A138" s="38">
        <f>Données!A132</f>
        <v>5629</v>
      </c>
      <c r="B138" s="27" t="str">
        <f>Données!B132</f>
        <v>Clarmont</v>
      </c>
      <c r="C138" s="26">
        <f>Ecrêtage!C132</f>
        <v>11214.945694444446</v>
      </c>
      <c r="D138" s="12">
        <f>Données!Z132</f>
        <v>219</v>
      </c>
      <c r="E138" s="8">
        <f>Population!K135</f>
        <v>-28724.471830985909</v>
      </c>
      <c r="F138" s="171">
        <f>Solidarité!I132</f>
        <v>0</v>
      </c>
      <c r="G138" s="8"/>
      <c r="H138" s="171">
        <f>Effort!K132+Aide!I132+Taux!K132</f>
        <v>0</v>
      </c>
      <c r="I138" s="234">
        <f t="shared" si="4"/>
        <v>-28724.471830985909</v>
      </c>
      <c r="J138" s="294">
        <f t="shared" si="5"/>
        <v>216527.96661231079</v>
      </c>
      <c r="K138" s="389">
        <f t="shared" si="6"/>
        <v>187803.49478132487</v>
      </c>
    </row>
    <row r="139" spans="1:11" x14ac:dyDescent="0.25">
      <c r="A139" s="38">
        <f>Données!A133</f>
        <v>5631</v>
      </c>
      <c r="B139" s="27" t="str">
        <f>Données!B133</f>
        <v>Denens</v>
      </c>
      <c r="C139" s="26">
        <f>Ecrêtage!C133</f>
        <v>47500.25692307693</v>
      </c>
      <c r="D139" s="12">
        <f>Données!Z133</f>
        <v>742</v>
      </c>
      <c r="E139" s="8">
        <f>Population!K136</f>
        <v>-97322.183098591529</v>
      </c>
      <c r="F139" s="171">
        <f>Solidarité!I133</f>
        <v>0</v>
      </c>
      <c r="G139" s="8"/>
      <c r="H139" s="171">
        <f>Effort!K133+Aide!I133+Taux!K133</f>
        <v>0</v>
      </c>
      <c r="I139" s="234">
        <f t="shared" si="4"/>
        <v>-97322.183098591529</v>
      </c>
      <c r="J139" s="294">
        <f t="shared" si="5"/>
        <v>917091.73859050765</v>
      </c>
      <c r="K139" s="389">
        <f t="shared" si="6"/>
        <v>819769.55549191614</v>
      </c>
    </row>
    <row r="140" spans="1:11" x14ac:dyDescent="0.25">
      <c r="A140" s="38">
        <f>Données!A134</f>
        <v>5632</v>
      </c>
      <c r="B140" s="27" t="str">
        <f>Données!B134</f>
        <v>Denges</v>
      </c>
      <c r="C140" s="26">
        <f>Ecrêtage!C134</f>
        <v>89815.216612903241</v>
      </c>
      <c r="D140" s="12">
        <f>Données!Z134</f>
        <v>1821</v>
      </c>
      <c r="E140" s="8">
        <f>Population!K137</f>
        <v>-432677.11267605622</v>
      </c>
      <c r="F140" s="171">
        <f>Solidarité!I134</f>
        <v>-3841.5950968566731</v>
      </c>
      <c r="G140" s="8"/>
      <c r="H140" s="171">
        <f>Effort!K134+Aide!I134+Taux!K134</f>
        <v>0</v>
      </c>
      <c r="I140" s="234">
        <f t="shared" si="4"/>
        <v>-436518.70777291287</v>
      </c>
      <c r="J140" s="294">
        <f t="shared" si="5"/>
        <v>1734070.4764776432</v>
      </c>
      <c r="K140" s="389">
        <f t="shared" si="6"/>
        <v>1297551.7687047303</v>
      </c>
    </row>
    <row r="141" spans="1:11" x14ac:dyDescent="0.25">
      <c r="A141" s="38">
        <f>Données!A135</f>
        <v>5633</v>
      </c>
      <c r="B141" s="27" t="str">
        <f>Données!B135</f>
        <v>Echandens</v>
      </c>
      <c r="C141" s="26">
        <f>Ecrêtage!C135</f>
        <v>146616.96727272726</v>
      </c>
      <c r="D141" s="12">
        <f>Données!Z135</f>
        <v>2910</v>
      </c>
      <c r="E141" s="8">
        <f>Population!K138</f>
        <v>-832616.19718309841</v>
      </c>
      <c r="F141" s="171">
        <f>Solidarité!I135</f>
        <v>0</v>
      </c>
      <c r="G141" s="8"/>
      <c r="H141" s="171">
        <f>Effort!K135+Aide!I135+Taux!K135</f>
        <v>0</v>
      </c>
      <c r="I141" s="234">
        <f t="shared" ref="I141:I204" si="7">SUM(E141:H141)</f>
        <v>-832616.19718309841</v>
      </c>
      <c r="J141" s="294">
        <f t="shared" ref="J141:J204" si="8">C141*$J$11</f>
        <v>2830746.9923954885</v>
      </c>
      <c r="K141" s="389">
        <f t="shared" ref="K141:K204" si="9">I141+J141</f>
        <v>1998130.7952123901</v>
      </c>
    </row>
    <row r="142" spans="1:11" x14ac:dyDescent="0.25">
      <c r="A142" s="38">
        <f>Données!A136</f>
        <v>5634</v>
      </c>
      <c r="B142" s="27" t="str">
        <f>Données!B136</f>
        <v>Echichens</v>
      </c>
      <c r="C142" s="26">
        <f>Ecrêtage!C136</f>
        <v>181424.03242424241</v>
      </c>
      <c r="D142" s="12">
        <f>Données!Z136</f>
        <v>3181</v>
      </c>
      <c r="E142" s="8">
        <f>Population!K139</f>
        <v>-960630.28169014072</v>
      </c>
      <c r="F142" s="171">
        <f>Solidarité!I136</f>
        <v>0</v>
      </c>
      <c r="G142" s="8"/>
      <c r="H142" s="171">
        <f>Effort!K136+Aide!I136+Taux!K136</f>
        <v>0</v>
      </c>
      <c r="I142" s="234">
        <f t="shared" si="7"/>
        <v>-960630.28169014072</v>
      </c>
      <c r="J142" s="294">
        <f t="shared" si="8"/>
        <v>3502770.1342224935</v>
      </c>
      <c r="K142" s="389">
        <f t="shared" si="9"/>
        <v>2542139.8525323528</v>
      </c>
    </row>
    <row r="143" spans="1:11" x14ac:dyDescent="0.25">
      <c r="A143" s="38">
        <f>Données!A137</f>
        <v>5635</v>
      </c>
      <c r="B143" s="27" t="str">
        <f>Données!B137</f>
        <v>Ecublens</v>
      </c>
      <c r="C143" s="26">
        <f>Ecrêtage!C137</f>
        <v>505560.77512000001</v>
      </c>
      <c r="D143" s="12">
        <f>Données!Z137</f>
        <v>13334</v>
      </c>
      <c r="E143" s="8">
        <f>Population!K140</f>
        <v>-8508739.4366197176</v>
      </c>
      <c r="F143" s="171">
        <f>Solidarité!I137</f>
        <v>-2401551.3970342255</v>
      </c>
      <c r="G143" s="8"/>
      <c r="H143" s="171">
        <f>Effort!K137+Aide!I137+Taux!K137</f>
        <v>0</v>
      </c>
      <c r="I143" s="234">
        <f t="shared" si="7"/>
        <v>-10910290.833653944</v>
      </c>
      <c r="J143" s="294">
        <f t="shared" si="8"/>
        <v>9760907.419275742</v>
      </c>
      <c r="K143" s="389">
        <f t="shared" si="9"/>
        <v>-1149383.4143782016</v>
      </c>
    </row>
    <row r="144" spans="1:11" x14ac:dyDescent="0.25">
      <c r="A144" s="38">
        <f>Données!A138</f>
        <v>5636</v>
      </c>
      <c r="B144" s="27" t="str">
        <f>Données!B138</f>
        <v>Etoy</v>
      </c>
      <c r="C144" s="26">
        <f>Ecrêtage!C138</f>
        <v>236704.12550000002</v>
      </c>
      <c r="D144" s="12">
        <f>Données!Z138</f>
        <v>2920</v>
      </c>
      <c r="E144" s="8">
        <f>Population!K141</f>
        <v>-836288.73239436606</v>
      </c>
      <c r="F144" s="171">
        <f>Solidarité!I138</f>
        <v>0</v>
      </c>
      <c r="G144" s="8"/>
      <c r="H144" s="171">
        <f>Effort!K138+Aide!I138+Taux!K138</f>
        <v>0</v>
      </c>
      <c r="I144" s="234">
        <f t="shared" si="7"/>
        <v>-836288.73239436606</v>
      </c>
      <c r="J144" s="294">
        <f t="shared" si="8"/>
        <v>4570067.870114564</v>
      </c>
      <c r="K144" s="389">
        <f t="shared" si="9"/>
        <v>3733779.1377201979</v>
      </c>
    </row>
    <row r="145" spans="1:11" x14ac:dyDescent="0.25">
      <c r="A145" s="38">
        <f>Données!A139</f>
        <v>5637</v>
      </c>
      <c r="B145" s="27" t="str">
        <f>Données!B139</f>
        <v>Lavigny</v>
      </c>
      <c r="C145" s="26">
        <f>Ecrêtage!C139</f>
        <v>38282.802876712332</v>
      </c>
      <c r="D145" s="12">
        <f>Données!Z139</f>
        <v>1052</v>
      </c>
      <c r="E145" s="8">
        <f>Population!K142</f>
        <v>-150259.15492957743</v>
      </c>
      <c r="F145" s="171">
        <f>Solidarité!I139</f>
        <v>-292622.05446750211</v>
      </c>
      <c r="G145" s="8"/>
      <c r="H145" s="171">
        <f>Effort!K139+Aide!I139+Taux!K139</f>
        <v>0</v>
      </c>
      <c r="I145" s="234">
        <f t="shared" si="7"/>
        <v>-442881.20939707954</v>
      </c>
      <c r="J145" s="294">
        <f t="shared" si="8"/>
        <v>739129.52313453623</v>
      </c>
      <c r="K145" s="389">
        <f t="shared" si="9"/>
        <v>296248.31373745669</v>
      </c>
    </row>
    <row r="146" spans="1:11" x14ac:dyDescent="0.25">
      <c r="A146" s="38">
        <f>Données!A140</f>
        <v>5638</v>
      </c>
      <c r="B146" s="27" t="str">
        <f>Données!B140</f>
        <v>Lonay</v>
      </c>
      <c r="C146" s="26">
        <f>Ecrêtage!C140</f>
        <v>168507.09218181815</v>
      </c>
      <c r="D146" s="12">
        <f>Données!Z140</f>
        <v>2693</v>
      </c>
      <c r="E146" s="8">
        <f>Population!K143</f>
        <v>-752922.1830985914</v>
      </c>
      <c r="F146" s="171">
        <f>Solidarité!I140</f>
        <v>0</v>
      </c>
      <c r="G146" s="8"/>
      <c r="H146" s="171">
        <f>Effort!K140+Aide!I140+Taux!K140</f>
        <v>0</v>
      </c>
      <c r="I146" s="234">
        <f t="shared" si="7"/>
        <v>-752922.1830985914</v>
      </c>
      <c r="J146" s="294">
        <f t="shared" si="8"/>
        <v>3253381.6055798321</v>
      </c>
      <c r="K146" s="389">
        <f t="shared" si="9"/>
        <v>2500459.4224812407</v>
      </c>
    </row>
    <row r="147" spans="1:11" x14ac:dyDescent="0.25">
      <c r="A147" s="38">
        <f>Données!A141</f>
        <v>5639</v>
      </c>
      <c r="B147" s="27" t="str">
        <f>Données!B141</f>
        <v>Lully</v>
      </c>
      <c r="C147" s="26">
        <f>Ecrêtage!C141</f>
        <v>50946.176393442627</v>
      </c>
      <c r="D147" s="12">
        <f>Données!Z141</f>
        <v>833</v>
      </c>
      <c r="E147" s="8">
        <f>Population!K144</f>
        <v>-109257.92253521124</v>
      </c>
      <c r="F147" s="171">
        <f>Solidarité!I141</f>
        <v>0</v>
      </c>
      <c r="G147" s="8"/>
      <c r="H147" s="171">
        <f>Effort!K141+Aide!I141+Taux!K141</f>
        <v>0</v>
      </c>
      <c r="I147" s="234">
        <f t="shared" si="7"/>
        <v>-109257.92253521124</v>
      </c>
      <c r="J147" s="294">
        <f t="shared" si="8"/>
        <v>983622.41616638482</v>
      </c>
      <c r="K147" s="389">
        <f t="shared" si="9"/>
        <v>874364.49363117362</v>
      </c>
    </row>
    <row r="148" spans="1:11" x14ac:dyDescent="0.25">
      <c r="A148" s="38">
        <f>Données!A142</f>
        <v>5640</v>
      </c>
      <c r="B148" s="27" t="str">
        <f>Données!B142</f>
        <v>Lussy-sur-Morges</v>
      </c>
      <c r="C148" s="26">
        <f>Ecrêtage!C142</f>
        <v>53692.239837398381</v>
      </c>
      <c r="D148" s="12">
        <f>Données!Z142</f>
        <v>732</v>
      </c>
      <c r="E148" s="8">
        <f>Population!K145</f>
        <v>-96010.563380281674</v>
      </c>
      <c r="F148" s="171">
        <f>Solidarité!I142</f>
        <v>0</v>
      </c>
      <c r="G148" s="8"/>
      <c r="H148" s="171">
        <f>Effort!K142+Aide!I142+Taux!K142</f>
        <v>0</v>
      </c>
      <c r="I148" s="234">
        <f t="shared" si="7"/>
        <v>-96010.563380281674</v>
      </c>
      <c r="J148" s="294">
        <f t="shared" si="8"/>
        <v>1036640.9104068595</v>
      </c>
      <c r="K148" s="389">
        <f t="shared" si="9"/>
        <v>940630.3470265778</v>
      </c>
    </row>
    <row r="149" spans="1:11" x14ac:dyDescent="0.25">
      <c r="A149" s="38">
        <f>Données!A143</f>
        <v>5642</v>
      </c>
      <c r="B149" s="27" t="str">
        <f>Données!B143</f>
        <v>Morges</v>
      </c>
      <c r="C149" s="26">
        <f>Ecrêtage!C143</f>
        <v>1132235.5279104479</v>
      </c>
      <c r="D149" s="12">
        <f>Données!Z143</f>
        <v>17755</v>
      </c>
      <c r="E149" s="8">
        <f>Population!K146</f>
        <v>-13292216.549295772</v>
      </c>
      <c r="F149" s="171">
        <f>Solidarité!I143</f>
        <v>0</v>
      </c>
      <c r="G149" s="8"/>
      <c r="H149" s="171">
        <f>Effort!K143+Aide!I143+Taux!K143</f>
        <v>0</v>
      </c>
      <c r="I149" s="234">
        <f t="shared" si="7"/>
        <v>-13292216.549295772</v>
      </c>
      <c r="J149" s="294">
        <f t="shared" si="8"/>
        <v>21860173.313733559</v>
      </c>
      <c r="K149" s="389">
        <f t="shared" si="9"/>
        <v>8567956.7644377872</v>
      </c>
    </row>
    <row r="150" spans="1:11" x14ac:dyDescent="0.25">
      <c r="A150" s="38">
        <f>Données!A144</f>
        <v>5643</v>
      </c>
      <c r="B150" s="27" t="str">
        <f>Données!B144</f>
        <v>Préverenges</v>
      </c>
      <c r="C150" s="26">
        <f>Ecrêtage!C144</f>
        <v>249027.28047999999</v>
      </c>
      <c r="D150" s="12">
        <f>Données!Z144</f>
        <v>5223</v>
      </c>
      <c r="E150" s="8">
        <f>Population!K147</f>
        <v>-2055360.5633802814</v>
      </c>
      <c r="F150" s="171">
        <f>Solidarité!I144</f>
        <v>-145075.86595959289</v>
      </c>
      <c r="G150" s="8"/>
      <c r="H150" s="171">
        <f>Effort!K144+Aide!I144+Taux!K144</f>
        <v>0</v>
      </c>
      <c r="I150" s="234">
        <f t="shared" si="7"/>
        <v>-2200436.4293398745</v>
      </c>
      <c r="J150" s="294">
        <f t="shared" si="8"/>
        <v>4807992.1332155047</v>
      </c>
      <c r="K150" s="389">
        <f t="shared" si="9"/>
        <v>2607555.7038756302</v>
      </c>
    </row>
    <row r="151" spans="1:11" x14ac:dyDescent="0.25">
      <c r="A151" s="38">
        <f>Données!A145</f>
        <v>5645</v>
      </c>
      <c r="B151" s="27" t="str">
        <f>Données!B145</f>
        <v>Romanel-sur-Morges</v>
      </c>
      <c r="C151" s="26">
        <f>Ecrêtage!C145</f>
        <v>27135.573571428577</v>
      </c>
      <c r="D151" s="12">
        <f>Données!Z145</f>
        <v>462</v>
      </c>
      <c r="E151" s="8">
        <f>Population!K148</f>
        <v>-60596.830985915483</v>
      </c>
      <c r="F151" s="171">
        <f>Solidarité!I145</f>
        <v>0</v>
      </c>
      <c r="G151" s="8"/>
      <c r="H151" s="171">
        <f>Effort!K145+Aide!I145+Taux!K145</f>
        <v>0</v>
      </c>
      <c r="I151" s="234">
        <f t="shared" si="7"/>
        <v>-60596.830985915483</v>
      </c>
      <c r="J151" s="294">
        <f t="shared" si="8"/>
        <v>523908.96294672159</v>
      </c>
      <c r="K151" s="389">
        <f t="shared" si="9"/>
        <v>463312.13196080609</v>
      </c>
    </row>
    <row r="152" spans="1:11" x14ac:dyDescent="0.25">
      <c r="A152" s="38">
        <f>Données!A146</f>
        <v>5646</v>
      </c>
      <c r="B152" s="27" t="str">
        <f>Données!B146</f>
        <v>Saint-Prex</v>
      </c>
      <c r="C152" s="26">
        <f>Ecrêtage!C146</f>
        <v>525095.71629943512</v>
      </c>
      <c r="D152" s="12">
        <f>Données!Z146</f>
        <v>5907</v>
      </c>
      <c r="E152" s="8">
        <f>Population!K149</f>
        <v>-2485991.5492957742</v>
      </c>
      <c r="F152" s="171">
        <f>Solidarité!I146</f>
        <v>0</v>
      </c>
      <c r="G152" s="8"/>
      <c r="H152" s="171">
        <f>Effort!K146+Aide!I146+Taux!K146</f>
        <v>0</v>
      </c>
      <c r="I152" s="234">
        <f t="shared" si="7"/>
        <v>-2485991.5492957742</v>
      </c>
      <c r="J152" s="294">
        <f t="shared" si="8"/>
        <v>10138070.288068725</v>
      </c>
      <c r="K152" s="389">
        <f t="shared" si="9"/>
        <v>7652078.7387729511</v>
      </c>
    </row>
    <row r="153" spans="1:11" x14ac:dyDescent="0.25">
      <c r="A153" s="38">
        <f>Données!A147</f>
        <v>5648</v>
      </c>
      <c r="B153" s="27" t="str">
        <f>Données!B147</f>
        <v>Saint-Sulpice</v>
      </c>
      <c r="C153" s="26">
        <f>Ecrêtage!C147</f>
        <v>396373.38209090912</v>
      </c>
      <c r="D153" s="12">
        <f>Données!Z147</f>
        <v>5138</v>
      </c>
      <c r="E153" s="8">
        <f>Population!K150</f>
        <v>-2001846.4788732391</v>
      </c>
      <c r="F153" s="171">
        <f>Solidarité!I147</f>
        <v>0</v>
      </c>
      <c r="G153" s="8"/>
      <c r="H153" s="171">
        <f>Effort!K147+Aide!I147+Taux!K147</f>
        <v>0</v>
      </c>
      <c r="I153" s="234">
        <f t="shared" si="7"/>
        <v>-2001846.4788732391</v>
      </c>
      <c r="J153" s="294">
        <f t="shared" si="8"/>
        <v>7652816.5879487684</v>
      </c>
      <c r="K153" s="389">
        <f t="shared" si="9"/>
        <v>5650970.1090755295</v>
      </c>
    </row>
    <row r="154" spans="1:11" x14ac:dyDescent="0.25">
      <c r="A154" s="38">
        <f>Données!A148</f>
        <v>5649</v>
      </c>
      <c r="B154" s="27" t="str">
        <f>Données!B148</f>
        <v>Tolochenaz</v>
      </c>
      <c r="C154" s="26">
        <f>Ecrêtage!C148</f>
        <v>281314.52828124992</v>
      </c>
      <c r="D154" s="12">
        <f>Données!Z148</f>
        <v>1922</v>
      </c>
      <c r="E154" s="8">
        <f>Population!K151</f>
        <v>-469769.71830985905</v>
      </c>
      <c r="F154" s="171">
        <f>Solidarité!I148</f>
        <v>0</v>
      </c>
      <c r="G154" s="8"/>
      <c r="H154" s="171">
        <f>Effort!K148+Aide!I148+Taux!K148</f>
        <v>0</v>
      </c>
      <c r="I154" s="234">
        <f t="shared" si="7"/>
        <v>-469769.71830985905</v>
      </c>
      <c r="J154" s="294">
        <f t="shared" si="8"/>
        <v>5431364.9345100867</v>
      </c>
      <c r="K154" s="389">
        <f t="shared" si="9"/>
        <v>4961595.2162002278</v>
      </c>
    </row>
    <row r="155" spans="1:11" x14ac:dyDescent="0.25">
      <c r="A155" s="38">
        <f>Données!A149</f>
        <v>5650</v>
      </c>
      <c r="B155" s="27" t="str">
        <f>Données!B149</f>
        <v>Vaux-sur-Morges</v>
      </c>
      <c r="C155" s="26">
        <f>Ecrêtage!C149</f>
        <v>96067.741964285728</v>
      </c>
      <c r="D155" s="12">
        <f>Données!Z149</f>
        <v>180</v>
      </c>
      <c r="E155" s="8">
        <f>Population!K152</f>
        <v>-23609.15492957746</v>
      </c>
      <c r="F155" s="171">
        <f>Solidarité!I149</f>
        <v>0</v>
      </c>
      <c r="G155" s="8"/>
      <c r="H155" s="171">
        <f>Effort!K149+Aide!I149+Taux!K149</f>
        <v>-1065965.8459315985</v>
      </c>
      <c r="I155" s="234">
        <f t="shared" si="7"/>
        <v>-1089575.0008611758</v>
      </c>
      <c r="J155" s="294">
        <f t="shared" si="8"/>
        <v>1854788.5465791712</v>
      </c>
      <c r="K155" s="389">
        <f t="shared" si="9"/>
        <v>765213.54571799538</v>
      </c>
    </row>
    <row r="156" spans="1:11" x14ac:dyDescent="0.25">
      <c r="A156" s="38">
        <f>Données!A150</f>
        <v>5651</v>
      </c>
      <c r="B156" s="27" t="str">
        <f>Données!B150</f>
        <v>Villars-Sainte-Croix</v>
      </c>
      <c r="C156" s="26">
        <f>Ecrêtage!C150</f>
        <v>61414.015041322302</v>
      </c>
      <c r="D156" s="12">
        <f>Données!Z150</f>
        <v>980</v>
      </c>
      <c r="E156" s="8">
        <f>Population!K153</f>
        <v>-128538.73239436618</v>
      </c>
      <c r="F156" s="171">
        <f>Solidarité!I150</f>
        <v>0</v>
      </c>
      <c r="G156" s="8"/>
      <c r="H156" s="171">
        <f>Effort!K150+Aide!I150+Taux!K150</f>
        <v>0</v>
      </c>
      <c r="I156" s="234">
        <f t="shared" si="7"/>
        <v>-128538.73239436618</v>
      </c>
      <c r="J156" s="294">
        <f t="shared" si="8"/>
        <v>1185725.919741435</v>
      </c>
      <c r="K156" s="389">
        <f t="shared" si="9"/>
        <v>1057187.1873470689</v>
      </c>
    </row>
    <row r="157" spans="1:11" x14ac:dyDescent="0.25">
      <c r="A157" s="38">
        <f>Données!A151</f>
        <v>5652</v>
      </c>
      <c r="B157" s="27" t="str">
        <f>Données!B151</f>
        <v>Villars-sous-Yens</v>
      </c>
      <c r="C157" s="26">
        <f>Ecrêtage!C151</f>
        <v>29186.92625</v>
      </c>
      <c r="D157" s="12">
        <f>Données!Z151</f>
        <v>609</v>
      </c>
      <c r="E157" s="8">
        <f>Population!K154</f>
        <v>-79877.640845070404</v>
      </c>
      <c r="F157" s="171">
        <f>Solidarité!I151</f>
        <v>-21542.288323486002</v>
      </c>
      <c r="G157" s="8"/>
      <c r="H157" s="171">
        <f>Effort!K151+Aide!I151+Taux!K151</f>
        <v>0</v>
      </c>
      <c r="I157" s="234">
        <f t="shared" si="7"/>
        <v>-101419.92916855641</v>
      </c>
      <c r="J157" s="294">
        <f t="shared" si="8"/>
        <v>563514.61386983027</v>
      </c>
      <c r="K157" s="389">
        <f t="shared" si="9"/>
        <v>462094.68470127386</v>
      </c>
    </row>
    <row r="158" spans="1:11" x14ac:dyDescent="0.25">
      <c r="A158" s="38">
        <f>Données!A152</f>
        <v>5653</v>
      </c>
      <c r="B158" s="27" t="str">
        <f>Données!B152</f>
        <v>Vufflens-le-Château</v>
      </c>
      <c r="C158" s="26">
        <f>Ecrêtage!C152</f>
        <v>66751.135840000003</v>
      </c>
      <c r="D158" s="12">
        <f>Données!Z152</f>
        <v>882</v>
      </c>
      <c r="E158" s="8">
        <f>Population!K155</f>
        <v>-115684.85915492955</v>
      </c>
      <c r="F158" s="171">
        <f>Solidarité!I152</f>
        <v>0</v>
      </c>
      <c r="G158" s="8"/>
      <c r="H158" s="171">
        <f>Effort!K152+Aide!I152+Taux!K152</f>
        <v>0</v>
      </c>
      <c r="I158" s="234">
        <f t="shared" si="7"/>
        <v>-115684.85915492955</v>
      </c>
      <c r="J158" s="294">
        <f t="shared" si="8"/>
        <v>1288770.1916967083</v>
      </c>
      <c r="K158" s="389">
        <f t="shared" si="9"/>
        <v>1173085.3325417787</v>
      </c>
    </row>
    <row r="159" spans="1:11" x14ac:dyDescent="0.25">
      <c r="A159" s="38">
        <f>Données!A153</f>
        <v>5654</v>
      </c>
      <c r="B159" s="27" t="str">
        <f>Données!B153</f>
        <v>Vullierens</v>
      </c>
      <c r="C159" s="26">
        <f>Ecrêtage!C153</f>
        <v>21960.434210526313</v>
      </c>
      <c r="D159" s="12">
        <f>Données!Z153</f>
        <v>571</v>
      </c>
      <c r="E159" s="8">
        <f>Population!K156</f>
        <v>-74893.485915492944</v>
      </c>
      <c r="F159" s="171">
        <f>Solidarité!I153</f>
        <v>-144895.16988313029</v>
      </c>
      <c r="G159" s="8"/>
      <c r="H159" s="171">
        <f>Effort!K153+Aide!I153+Taux!K153</f>
        <v>0</v>
      </c>
      <c r="I159" s="234">
        <f t="shared" si="7"/>
        <v>-219788.65579862322</v>
      </c>
      <c r="J159" s="294">
        <f t="shared" si="8"/>
        <v>423992.081199662</v>
      </c>
      <c r="K159" s="389">
        <f t="shared" si="9"/>
        <v>204203.42540103878</v>
      </c>
    </row>
    <row r="160" spans="1:11" x14ac:dyDescent="0.25">
      <c r="A160" s="38">
        <f>Données!A154</f>
        <v>5655</v>
      </c>
      <c r="B160" s="27" t="str">
        <f>Données!B154</f>
        <v>Yens</v>
      </c>
      <c r="C160" s="26">
        <f>Ecrêtage!C154</f>
        <v>83347.731285714282</v>
      </c>
      <c r="D160" s="12">
        <f>Données!Z154</f>
        <v>1505</v>
      </c>
      <c r="E160" s="8">
        <f>Population!K157</f>
        <v>-316624.99999999994</v>
      </c>
      <c r="F160" s="171">
        <f>Solidarité!I154</f>
        <v>0</v>
      </c>
      <c r="G160" s="8"/>
      <c r="H160" s="171">
        <f>Effort!K154+Aide!I154+Taux!K154</f>
        <v>0</v>
      </c>
      <c r="I160" s="234">
        <f t="shared" si="7"/>
        <v>-316624.99999999994</v>
      </c>
      <c r="J160" s="294">
        <f t="shared" si="8"/>
        <v>1609202.1547625507</v>
      </c>
      <c r="K160" s="389">
        <f t="shared" si="9"/>
        <v>1292577.1547625507</v>
      </c>
    </row>
    <row r="161" spans="1:11" x14ac:dyDescent="0.25">
      <c r="A161" s="38">
        <f>Données!A155</f>
        <v>5656</v>
      </c>
      <c r="B161" s="27" t="str">
        <f>Données!B155</f>
        <v>Hautemorges</v>
      </c>
      <c r="C161" s="26">
        <f>Ecrêtage!C155</f>
        <v>167962.47422535214</v>
      </c>
      <c r="D161" s="12">
        <f>Données!Z155</f>
        <v>4343</v>
      </c>
      <c r="E161" s="8">
        <f>Population!K158</f>
        <v>-1570271.1267605631</v>
      </c>
      <c r="F161" s="171">
        <f>Solidarité!I155</f>
        <v>-943054.41410252172</v>
      </c>
      <c r="G161" s="8"/>
      <c r="H161" s="171">
        <f>Effort!K155+Aide!I155+Taux!K155</f>
        <v>0</v>
      </c>
      <c r="I161" s="234">
        <f t="shared" si="7"/>
        <v>-2513325.5408630846</v>
      </c>
      <c r="J161" s="294">
        <f t="shared" si="8"/>
        <v>3242866.6176425694</v>
      </c>
      <c r="K161" s="389">
        <f t="shared" si="9"/>
        <v>729541.07677948475</v>
      </c>
    </row>
    <row r="162" spans="1:11" x14ac:dyDescent="0.25">
      <c r="A162" s="38">
        <f>Données!A156</f>
        <v>5661</v>
      </c>
      <c r="B162" s="27" t="str">
        <f>Données!B156</f>
        <v>Boulens</v>
      </c>
      <c r="C162" s="26">
        <f>Ecrêtage!C156</f>
        <v>10042.510349650349</v>
      </c>
      <c r="D162" s="12">
        <f>Données!Z156</f>
        <v>379</v>
      </c>
      <c r="E162" s="8">
        <f>Population!K159</f>
        <v>-49710.387323943651</v>
      </c>
      <c r="F162" s="171">
        <f>Solidarité!I156</f>
        <v>-177692.34563104005</v>
      </c>
      <c r="G162" s="8"/>
      <c r="H162" s="171">
        <f>Effort!K156+Aide!I156+Taux!K156</f>
        <v>0</v>
      </c>
      <c r="I162" s="234">
        <f t="shared" si="7"/>
        <v>-227402.73295498372</v>
      </c>
      <c r="J162" s="294">
        <f t="shared" si="8"/>
        <v>193891.65181335222</v>
      </c>
      <c r="K162" s="389">
        <f t="shared" si="9"/>
        <v>-33511.081141631497</v>
      </c>
    </row>
    <row r="163" spans="1:11" x14ac:dyDescent="0.25">
      <c r="A163" s="38">
        <f>Données!A157</f>
        <v>5663</v>
      </c>
      <c r="B163" s="27" t="str">
        <f>Données!B157</f>
        <v>Bussy-sur-Moudon</v>
      </c>
      <c r="C163" s="26">
        <f>Ecrêtage!C157</f>
        <v>7115.4099363057312</v>
      </c>
      <c r="D163" s="12">
        <f>Données!Z157</f>
        <v>251</v>
      </c>
      <c r="E163" s="8">
        <f>Population!K160</f>
        <v>-32921.65492957746</v>
      </c>
      <c r="F163" s="171">
        <f>Solidarité!I157</f>
        <v>-130416.4501160237</v>
      </c>
      <c r="G163" s="8"/>
      <c r="H163" s="171">
        <f>Effort!K157+Aide!I157+Taux!K157</f>
        <v>0</v>
      </c>
      <c r="I163" s="234">
        <f t="shared" si="7"/>
        <v>-163338.10504560114</v>
      </c>
      <c r="J163" s="294">
        <f t="shared" si="8"/>
        <v>137377.86049954052</v>
      </c>
      <c r="K163" s="389">
        <f t="shared" si="9"/>
        <v>-25960.244546060625</v>
      </c>
    </row>
    <row r="164" spans="1:11" x14ac:dyDescent="0.25">
      <c r="A164" s="38">
        <f>Données!A158</f>
        <v>5665</v>
      </c>
      <c r="B164" s="27" t="str">
        <f>Données!B158</f>
        <v>Chavannes-sur-Moudon</v>
      </c>
      <c r="C164" s="26">
        <f>Ecrêtage!C158</f>
        <v>5907.4868571428569</v>
      </c>
      <c r="D164" s="12">
        <f>Données!Z158</f>
        <v>238</v>
      </c>
      <c r="E164" s="8">
        <f>Population!K161</f>
        <v>-31216.549295774643</v>
      </c>
      <c r="F164" s="171">
        <f>Solidarité!I158</f>
        <v>-114758.94664416841</v>
      </c>
      <c r="G164" s="8"/>
      <c r="H164" s="171">
        <f>Effort!K158+Aide!I158+Taux!K158</f>
        <v>0</v>
      </c>
      <c r="I164" s="234">
        <f t="shared" si="7"/>
        <v>-145975.49593994304</v>
      </c>
      <c r="J164" s="294">
        <f t="shared" si="8"/>
        <v>114056.38081687187</v>
      </c>
      <c r="K164" s="389">
        <f t="shared" si="9"/>
        <v>-31919.115123071169</v>
      </c>
    </row>
    <row r="165" spans="1:11" x14ac:dyDescent="0.25">
      <c r="A165" s="38">
        <f>Données!A159</f>
        <v>5669</v>
      </c>
      <c r="B165" s="27" t="str">
        <f>Données!B159</f>
        <v>Curtilles</v>
      </c>
      <c r="C165" s="26">
        <f>Ecrêtage!C159</f>
        <v>9466.6579452054793</v>
      </c>
      <c r="D165" s="12">
        <f>Données!Z159</f>
        <v>310</v>
      </c>
      <c r="E165" s="8">
        <f>Population!K162</f>
        <v>-40660.211267605628</v>
      </c>
      <c r="F165" s="171">
        <f>Solidarité!I159</f>
        <v>-124846.65945654798</v>
      </c>
      <c r="G165" s="8"/>
      <c r="H165" s="171">
        <f>Effort!K159+Aide!I159+Taux!K159</f>
        <v>0</v>
      </c>
      <c r="I165" s="234">
        <f t="shared" si="7"/>
        <v>-165506.87072415359</v>
      </c>
      <c r="J165" s="294">
        <f t="shared" si="8"/>
        <v>182773.61757578794</v>
      </c>
      <c r="K165" s="389">
        <f t="shared" si="9"/>
        <v>17266.746851634351</v>
      </c>
    </row>
    <row r="166" spans="1:11" x14ac:dyDescent="0.25">
      <c r="A166" s="38">
        <f>Données!A160</f>
        <v>5671</v>
      </c>
      <c r="B166" s="27" t="str">
        <f>Données!B160</f>
        <v>Dompierre</v>
      </c>
      <c r="C166" s="26">
        <f>Ecrêtage!C160</f>
        <v>8071.3430769230772</v>
      </c>
      <c r="D166" s="12">
        <f>Données!Z160</f>
        <v>253</v>
      </c>
      <c r="E166" s="8">
        <f>Population!K163</f>
        <v>-33183.97887323943</v>
      </c>
      <c r="F166" s="171">
        <f>Solidarité!I160</f>
        <v>-107935.32580577023</v>
      </c>
      <c r="G166" s="8"/>
      <c r="H166" s="171">
        <f>Effort!K160+Aide!I160+Taux!K160</f>
        <v>0</v>
      </c>
      <c r="I166" s="234">
        <f t="shared" si="7"/>
        <v>-141119.30467900966</v>
      </c>
      <c r="J166" s="294">
        <f t="shared" si="8"/>
        <v>155834.14774288662</v>
      </c>
      <c r="K166" s="389">
        <f t="shared" si="9"/>
        <v>14714.843063876964</v>
      </c>
    </row>
    <row r="167" spans="1:11" x14ac:dyDescent="0.25">
      <c r="A167" s="38">
        <f>Données!A161</f>
        <v>5673</v>
      </c>
      <c r="B167" s="27" t="str">
        <f>Données!B161</f>
        <v>Hermenches</v>
      </c>
      <c r="C167" s="26">
        <f>Ecrêtage!C161</f>
        <v>11048.340272108846</v>
      </c>
      <c r="D167" s="12">
        <f>Données!Z161</f>
        <v>377</v>
      </c>
      <c r="E167" s="8">
        <f>Population!K164</f>
        <v>-49448.063380281681</v>
      </c>
      <c r="F167" s="171">
        <f>Solidarité!I161</f>
        <v>-163935.4607301064</v>
      </c>
      <c r="G167" s="8"/>
      <c r="H167" s="171">
        <f>Effort!K161+Aide!I161+Taux!K161</f>
        <v>0</v>
      </c>
      <c r="I167" s="234">
        <f t="shared" si="7"/>
        <v>-213383.52411038807</v>
      </c>
      <c r="J167" s="294">
        <f t="shared" si="8"/>
        <v>213311.30071772842</v>
      </c>
      <c r="K167" s="389">
        <f t="shared" si="9"/>
        <v>-72.223392659652745</v>
      </c>
    </row>
    <row r="168" spans="1:11" x14ac:dyDescent="0.25">
      <c r="A168" s="38">
        <f>Données!A162</f>
        <v>5674</v>
      </c>
      <c r="B168" s="27" t="str">
        <f>Données!B162</f>
        <v>Lovatens</v>
      </c>
      <c r="C168" s="26">
        <f>Ecrêtage!C162</f>
        <v>4104.2373333333326</v>
      </c>
      <c r="D168" s="12">
        <f>Données!Z162</f>
        <v>142</v>
      </c>
      <c r="E168" s="8">
        <f>Population!K165</f>
        <v>-18624.999999999996</v>
      </c>
      <c r="F168" s="171">
        <f>Solidarité!I162</f>
        <v>-65578.818210384808</v>
      </c>
      <c r="G168" s="8"/>
      <c r="H168" s="171">
        <f>Effort!K162+Aide!I162+Taux!K162</f>
        <v>0</v>
      </c>
      <c r="I168" s="234">
        <f t="shared" si="7"/>
        <v>-84203.818210384808</v>
      </c>
      <c r="J168" s="294">
        <f t="shared" si="8"/>
        <v>79240.879848506651</v>
      </c>
      <c r="K168" s="389">
        <f t="shared" si="9"/>
        <v>-4962.9383618781576</v>
      </c>
    </row>
    <row r="169" spans="1:11" x14ac:dyDescent="0.25">
      <c r="A169" s="38">
        <f>Données!A163</f>
        <v>5675</v>
      </c>
      <c r="B169" s="27" t="str">
        <f>Données!B163</f>
        <v>Lucens</v>
      </c>
      <c r="C169" s="26">
        <f>Ecrêtage!C163</f>
        <v>97920.060444735136</v>
      </c>
      <c r="D169" s="12">
        <f>Données!Z163</f>
        <v>4599</v>
      </c>
      <c r="E169" s="8">
        <f>Population!K166</f>
        <v>-1704580.9859154928</v>
      </c>
      <c r="F169" s="171">
        <f>Solidarité!I163</f>
        <v>-2499158.0936104278</v>
      </c>
      <c r="G169" s="8"/>
      <c r="H169" s="171">
        <f>Effort!K163+Aide!I163+Taux!K163</f>
        <v>14101.738373103644</v>
      </c>
      <c r="I169" s="234">
        <f t="shared" si="7"/>
        <v>-4189637.341152817</v>
      </c>
      <c r="J169" s="294">
        <f t="shared" si="8"/>
        <v>1890551.4263128464</v>
      </c>
      <c r="K169" s="389">
        <f t="shared" si="9"/>
        <v>-2299085.9148399709</v>
      </c>
    </row>
    <row r="170" spans="1:11" x14ac:dyDescent="0.25">
      <c r="A170" s="38">
        <f>Données!A164</f>
        <v>5678</v>
      </c>
      <c r="B170" s="27" t="str">
        <f>Données!B164</f>
        <v>Moudon</v>
      </c>
      <c r="C170" s="26">
        <f>Ecrêtage!C164</f>
        <v>133786.12827586205</v>
      </c>
      <c r="D170" s="12">
        <f>Données!Z164</f>
        <v>6375</v>
      </c>
      <c r="E170" s="8">
        <f>Population!K167</f>
        <v>-2780633.8028169009</v>
      </c>
      <c r="F170" s="171">
        <f>Solidarité!I164</f>
        <v>-3810679.244039326</v>
      </c>
      <c r="G170" s="8"/>
      <c r="H170" s="171">
        <f>Effort!K164+Aide!I164+Taux!K164</f>
        <v>746968.3319082642</v>
      </c>
      <c r="I170" s="234">
        <f t="shared" si="7"/>
        <v>-5844344.7149479622</v>
      </c>
      <c r="J170" s="294">
        <f t="shared" si="8"/>
        <v>2583020.8282556641</v>
      </c>
      <c r="K170" s="389">
        <f t="shared" si="9"/>
        <v>-3261323.8866922981</v>
      </c>
    </row>
    <row r="171" spans="1:11" x14ac:dyDescent="0.25">
      <c r="A171" s="38">
        <f>Données!A165</f>
        <v>5680</v>
      </c>
      <c r="B171" s="27" t="str">
        <f>Données!B165</f>
        <v>Ogens</v>
      </c>
      <c r="C171" s="26">
        <f>Ecrêtage!C165</f>
        <v>7909.509316239315</v>
      </c>
      <c r="D171" s="12">
        <f>Données!Z165</f>
        <v>332</v>
      </c>
      <c r="E171" s="8">
        <f>Population!K168</f>
        <v>-43545.774647887316</v>
      </c>
      <c r="F171" s="171">
        <f>Solidarité!I165</f>
        <v>-206813.09180204914</v>
      </c>
      <c r="G171" s="8"/>
      <c r="H171" s="171">
        <f>Effort!K165+Aide!I165+Taux!K165</f>
        <v>0</v>
      </c>
      <c r="I171" s="234">
        <f t="shared" si="7"/>
        <v>-250358.86644993647</v>
      </c>
      <c r="J171" s="294">
        <f t="shared" si="8"/>
        <v>152709.60874958261</v>
      </c>
      <c r="K171" s="389">
        <f t="shared" si="9"/>
        <v>-97649.257700353861</v>
      </c>
    </row>
    <row r="172" spans="1:11" x14ac:dyDescent="0.25">
      <c r="A172" s="38">
        <f>Données!A166</f>
        <v>5683</v>
      </c>
      <c r="B172" s="27" t="str">
        <f>Données!B166</f>
        <v>Prévonloup</v>
      </c>
      <c r="C172" s="26">
        <f>Ecrêtage!C166</f>
        <v>6488.9761379310348</v>
      </c>
      <c r="D172" s="12">
        <f>Données!Z166</f>
        <v>226</v>
      </c>
      <c r="E172" s="8">
        <f>Population!K169</f>
        <v>-29642.60563380281</v>
      </c>
      <c r="F172" s="171">
        <f>Solidarité!I166</f>
        <v>-98435.000309903626</v>
      </c>
      <c r="G172" s="8"/>
      <c r="H172" s="171">
        <f>Effort!K166+Aide!I166+Taux!K166</f>
        <v>0</v>
      </c>
      <c r="I172" s="234">
        <f t="shared" si="7"/>
        <v>-128077.60594370644</v>
      </c>
      <c r="J172" s="294">
        <f t="shared" si="8"/>
        <v>125283.24673368952</v>
      </c>
      <c r="K172" s="389">
        <f t="shared" si="9"/>
        <v>-2794.359210016919</v>
      </c>
    </row>
    <row r="173" spans="1:11" x14ac:dyDescent="0.25">
      <c r="A173" s="38">
        <f>Données!A167</f>
        <v>5684</v>
      </c>
      <c r="B173" s="27" t="str">
        <f>Données!B167</f>
        <v>Rossenges</v>
      </c>
      <c r="C173" s="26">
        <f>Ecrêtage!C167</f>
        <v>5023.6746428571432</v>
      </c>
      <c r="D173" s="12">
        <f>Données!Z167</f>
        <v>88</v>
      </c>
      <c r="E173" s="8">
        <f>Population!K170</f>
        <v>-11542.253521126759</v>
      </c>
      <c r="F173" s="171">
        <f>Solidarité!I167</f>
        <v>0</v>
      </c>
      <c r="G173" s="8"/>
      <c r="H173" s="171">
        <f>Effort!K167+Aide!I167+Taux!K167</f>
        <v>0</v>
      </c>
      <c r="I173" s="234">
        <f t="shared" si="7"/>
        <v>-11542.253521126759</v>
      </c>
      <c r="J173" s="294">
        <f t="shared" si="8"/>
        <v>96992.538793882093</v>
      </c>
      <c r="K173" s="389">
        <f t="shared" si="9"/>
        <v>85450.28527275534</v>
      </c>
    </row>
    <row r="174" spans="1:11" x14ac:dyDescent="0.25">
      <c r="A174" s="38">
        <f>Données!A168</f>
        <v>5688</v>
      </c>
      <c r="B174" s="27" t="str">
        <f>Données!B168</f>
        <v>Syens</v>
      </c>
      <c r="C174" s="26">
        <f>Ecrêtage!C168</f>
        <v>5225.3353846153841</v>
      </c>
      <c r="D174" s="12">
        <f>Données!Z168</f>
        <v>166</v>
      </c>
      <c r="E174" s="8">
        <f>Population!K171</f>
        <v>-21772.887323943658</v>
      </c>
      <c r="F174" s="171">
        <f>Solidarité!I168</f>
        <v>-50369.455980084167</v>
      </c>
      <c r="G174" s="8"/>
      <c r="H174" s="171">
        <f>Effort!K168+Aide!I168+Taux!K168</f>
        <v>0</v>
      </c>
      <c r="I174" s="234">
        <f t="shared" si="7"/>
        <v>-72142.343304027832</v>
      </c>
      <c r="J174" s="294">
        <f t="shared" si="8"/>
        <v>100886.02089786345</v>
      </c>
      <c r="K174" s="389">
        <f t="shared" si="9"/>
        <v>28743.677593835615</v>
      </c>
    </row>
    <row r="175" spans="1:11" x14ac:dyDescent="0.25">
      <c r="A175" s="38">
        <f>Données!A169</f>
        <v>5690</v>
      </c>
      <c r="B175" s="27" t="str">
        <f>Données!B169</f>
        <v>Villars-le-Comte</v>
      </c>
      <c r="C175" s="26">
        <f>Ecrêtage!C169</f>
        <v>4383.2226470588239</v>
      </c>
      <c r="D175" s="12">
        <f>Données!Z169</f>
        <v>135</v>
      </c>
      <c r="E175" s="8">
        <f>Population!K172</f>
        <v>-17706.866197183095</v>
      </c>
      <c r="F175" s="171">
        <f>Solidarité!I169</f>
        <v>-42362.316664242171</v>
      </c>
      <c r="G175" s="8"/>
      <c r="H175" s="171">
        <f>Effort!K169+Aide!I169+Taux!K169</f>
        <v>0</v>
      </c>
      <c r="I175" s="234">
        <f t="shared" si="7"/>
        <v>-60069.182861425266</v>
      </c>
      <c r="J175" s="294">
        <f t="shared" si="8"/>
        <v>84627.274427804761</v>
      </c>
      <c r="K175" s="389">
        <f t="shared" si="9"/>
        <v>24558.091566379495</v>
      </c>
    </row>
    <row r="176" spans="1:11" x14ac:dyDescent="0.25">
      <c r="A176" s="38">
        <f>Données!A170</f>
        <v>5692</v>
      </c>
      <c r="B176" s="27" t="str">
        <f>Données!B170</f>
        <v>Vucherens</v>
      </c>
      <c r="C176" s="26">
        <f>Ecrêtage!C170</f>
        <v>18408.334805194805</v>
      </c>
      <c r="D176" s="12">
        <f>Données!Z170</f>
        <v>635</v>
      </c>
      <c r="E176" s="8">
        <f>Population!K173</f>
        <v>-83287.852112676046</v>
      </c>
      <c r="F176" s="171">
        <f>Solidarité!I170</f>
        <v>-307806.76059755642</v>
      </c>
      <c r="G176" s="8"/>
      <c r="H176" s="171">
        <f>Effort!K170+Aide!I170+Taux!K170</f>
        <v>0</v>
      </c>
      <c r="I176" s="234">
        <f t="shared" si="7"/>
        <v>-391094.6127102325</v>
      </c>
      <c r="J176" s="294">
        <f t="shared" si="8"/>
        <v>355411.37805615645</v>
      </c>
      <c r="K176" s="389">
        <f t="shared" si="9"/>
        <v>-35683.234654076048</v>
      </c>
    </row>
    <row r="177" spans="1:11" x14ac:dyDescent="0.25">
      <c r="A177" s="38">
        <f>Données!A171</f>
        <v>5693</v>
      </c>
      <c r="B177" s="27" t="str">
        <f>Données!B171</f>
        <v>Montanaire</v>
      </c>
      <c r="C177" s="26">
        <f>Ecrêtage!C171</f>
        <v>74596.156714285724</v>
      </c>
      <c r="D177" s="12">
        <f>Données!Z171</f>
        <v>2835</v>
      </c>
      <c r="E177" s="8">
        <f>Population!K174</f>
        <v>-805072.1830985914</v>
      </c>
      <c r="F177" s="171">
        <f>Solidarité!I171</f>
        <v>-1284245.4651612043</v>
      </c>
      <c r="G177" s="8"/>
      <c r="H177" s="171">
        <f>Effort!K171+Aide!I171+Taux!K171</f>
        <v>0</v>
      </c>
      <c r="I177" s="234">
        <f t="shared" si="7"/>
        <v>-2089317.6482597957</v>
      </c>
      <c r="J177" s="294">
        <f t="shared" si="8"/>
        <v>1440234.7162892518</v>
      </c>
      <c r="K177" s="389">
        <f t="shared" si="9"/>
        <v>-649082.93197054393</v>
      </c>
    </row>
    <row r="178" spans="1:11" x14ac:dyDescent="0.25">
      <c r="A178" s="38">
        <f>Données!A172</f>
        <v>5701</v>
      </c>
      <c r="B178" s="27" t="str">
        <f>Données!B172</f>
        <v>Arnex-sur-Nyon</v>
      </c>
      <c r="C178" s="26">
        <f>Ecrêtage!C172</f>
        <v>14428.628999999999</v>
      </c>
      <c r="D178" s="12">
        <f>Données!Z172</f>
        <v>242</v>
      </c>
      <c r="E178" s="8">
        <f>Population!K175</f>
        <v>-31741.197183098586</v>
      </c>
      <c r="F178" s="171">
        <f>Solidarité!I172</f>
        <v>0</v>
      </c>
      <c r="G178" s="8"/>
      <c r="H178" s="171">
        <f>Effort!K172+Aide!I172+Taux!K172</f>
        <v>0</v>
      </c>
      <c r="I178" s="234">
        <f t="shared" si="7"/>
        <v>-31741.197183098586</v>
      </c>
      <c r="J178" s="294">
        <f t="shared" si="8"/>
        <v>278574.83963752555</v>
      </c>
      <c r="K178" s="389">
        <f t="shared" si="9"/>
        <v>246833.64245442697</v>
      </c>
    </row>
    <row r="179" spans="1:11" x14ac:dyDescent="0.25">
      <c r="A179" s="38">
        <f>Données!A173</f>
        <v>5702</v>
      </c>
      <c r="B179" s="27" t="str">
        <f>Données!B173</f>
        <v>Arzier-Le Muids</v>
      </c>
      <c r="C179" s="26">
        <f>Ecrêtage!C173</f>
        <v>188642.38078125002</v>
      </c>
      <c r="D179" s="12">
        <f>Données!Z173</f>
        <v>2971</v>
      </c>
      <c r="E179" s="8">
        <f>Population!K176</f>
        <v>-855018.66197183088</v>
      </c>
      <c r="F179" s="171">
        <f>Solidarité!I173</f>
        <v>0</v>
      </c>
      <c r="G179" s="8"/>
      <c r="H179" s="171">
        <f>Effort!K173+Aide!I173+Taux!K173</f>
        <v>0</v>
      </c>
      <c r="I179" s="234">
        <f t="shared" si="7"/>
        <v>-855018.66197183088</v>
      </c>
      <c r="J179" s="294">
        <f t="shared" si="8"/>
        <v>3642135.4360818174</v>
      </c>
      <c r="K179" s="389">
        <f t="shared" si="9"/>
        <v>2787116.7741099866</v>
      </c>
    </row>
    <row r="180" spans="1:11" x14ac:dyDescent="0.25">
      <c r="A180" s="38">
        <f>Données!A174</f>
        <v>5703</v>
      </c>
      <c r="B180" s="27" t="str">
        <f>Données!B174</f>
        <v>Bassins</v>
      </c>
      <c r="C180" s="26">
        <f>Ecrêtage!C174</f>
        <v>66120.332571428575</v>
      </c>
      <c r="D180" s="12">
        <f>Données!Z174</f>
        <v>1483</v>
      </c>
      <c r="E180" s="8">
        <f>Population!K177</f>
        <v>-308545.4225352112</v>
      </c>
      <c r="F180" s="171">
        <f>Solidarité!I174</f>
        <v>-151737.88000983358</v>
      </c>
      <c r="G180" s="8"/>
      <c r="H180" s="171">
        <f>Effort!K174+Aide!I174+Taux!K174</f>
        <v>0</v>
      </c>
      <c r="I180" s="234">
        <f t="shared" si="7"/>
        <v>-460283.3025450448</v>
      </c>
      <c r="J180" s="294">
        <f t="shared" si="8"/>
        <v>1276591.2161762267</v>
      </c>
      <c r="K180" s="389">
        <f t="shared" si="9"/>
        <v>816307.91363118193</v>
      </c>
    </row>
    <row r="181" spans="1:11" x14ac:dyDescent="0.25">
      <c r="A181" s="38">
        <f>Données!A175</f>
        <v>5704</v>
      </c>
      <c r="B181" s="27" t="str">
        <f>Données!B175</f>
        <v>Begnins</v>
      </c>
      <c r="C181" s="26">
        <f>Ecrêtage!C175</f>
        <v>140338.01370666668</v>
      </c>
      <c r="D181" s="12">
        <f>Données!Z175</f>
        <v>2008</v>
      </c>
      <c r="E181" s="8">
        <f>Population!K178</f>
        <v>-501353.52112676052</v>
      </c>
      <c r="F181" s="171">
        <f>Solidarité!I175</f>
        <v>0</v>
      </c>
      <c r="G181" s="8"/>
      <c r="H181" s="171">
        <f>Effort!K175+Aide!I175+Taux!K175</f>
        <v>0</v>
      </c>
      <c r="I181" s="234">
        <f t="shared" si="7"/>
        <v>-501353.52112676052</v>
      </c>
      <c r="J181" s="294">
        <f t="shared" si="8"/>
        <v>2709518.6703728768</v>
      </c>
      <c r="K181" s="389">
        <f t="shared" si="9"/>
        <v>2208165.1492461162</v>
      </c>
    </row>
    <row r="182" spans="1:11" x14ac:dyDescent="0.25">
      <c r="A182" s="38">
        <f>Données!A176</f>
        <v>5705</v>
      </c>
      <c r="B182" s="27" t="str">
        <f>Données!B176</f>
        <v>Bogis-Bossey</v>
      </c>
      <c r="C182" s="26">
        <f>Ecrêtage!C176</f>
        <v>55817.342916666668</v>
      </c>
      <c r="D182" s="12">
        <f>Données!Z176</f>
        <v>983</v>
      </c>
      <c r="E182" s="8">
        <f>Population!K179</f>
        <v>-128932.21830985913</v>
      </c>
      <c r="F182" s="171">
        <f>Solidarité!I176</f>
        <v>0</v>
      </c>
      <c r="G182" s="8"/>
      <c r="H182" s="171">
        <f>Effort!K176+Aide!I176+Taux!K176</f>
        <v>0</v>
      </c>
      <c r="I182" s="234">
        <f t="shared" si="7"/>
        <v>-128932.21830985913</v>
      </c>
      <c r="J182" s="294">
        <f t="shared" si="8"/>
        <v>1077670.4669586548</v>
      </c>
      <c r="K182" s="389">
        <f t="shared" si="9"/>
        <v>948738.24864879565</v>
      </c>
    </row>
    <row r="183" spans="1:11" x14ac:dyDescent="0.25">
      <c r="A183" s="38">
        <f>Données!A177</f>
        <v>5706</v>
      </c>
      <c r="B183" s="27" t="str">
        <f>Données!B177</f>
        <v>Borex</v>
      </c>
      <c r="C183" s="26">
        <f>Ecrêtage!C177</f>
        <v>71534.631578947388</v>
      </c>
      <c r="D183" s="12">
        <f>Données!Z177</f>
        <v>1135</v>
      </c>
      <c r="E183" s="8">
        <f>Population!K180</f>
        <v>-180741.19718309856</v>
      </c>
      <c r="F183" s="171">
        <f>Solidarité!I177</f>
        <v>0</v>
      </c>
      <c r="G183" s="8"/>
      <c r="H183" s="171">
        <f>Effort!K177+Aide!I177+Taux!K177</f>
        <v>0</v>
      </c>
      <c r="I183" s="234">
        <f t="shared" si="7"/>
        <v>-180741.19718309856</v>
      </c>
      <c r="J183" s="294">
        <f t="shared" si="8"/>
        <v>1381125.5747607579</v>
      </c>
      <c r="K183" s="389">
        <f t="shared" si="9"/>
        <v>1200384.3775776592</v>
      </c>
    </row>
    <row r="184" spans="1:11" x14ac:dyDescent="0.25">
      <c r="A184" s="38">
        <f>Données!A178</f>
        <v>5707</v>
      </c>
      <c r="B184" s="27" t="str">
        <f>Données!B178</f>
        <v>Chavannes-de-Bogis</v>
      </c>
      <c r="C184" s="26">
        <f>Ecrêtage!C178</f>
        <v>92416.422643678146</v>
      </c>
      <c r="D184" s="12">
        <f>Données!Z178</f>
        <v>1394</v>
      </c>
      <c r="E184" s="8">
        <f>Population!K181</f>
        <v>-275859.85915492952</v>
      </c>
      <c r="F184" s="171">
        <f>Solidarité!I178</f>
        <v>0</v>
      </c>
      <c r="G184" s="8"/>
      <c r="H184" s="171">
        <f>Effort!K178+Aide!I178+Taux!K178</f>
        <v>0</v>
      </c>
      <c r="I184" s="234">
        <f t="shared" si="7"/>
        <v>-275859.85915492952</v>
      </c>
      <c r="J184" s="294">
        <f t="shared" si="8"/>
        <v>1784292.1955950509</v>
      </c>
      <c r="K184" s="389">
        <f t="shared" si="9"/>
        <v>1508432.3364401213</v>
      </c>
    </row>
    <row r="185" spans="1:11" x14ac:dyDescent="0.25">
      <c r="A185" s="38">
        <f>Données!A179</f>
        <v>5708</v>
      </c>
      <c r="B185" s="27" t="str">
        <f>Données!B179</f>
        <v>Chavannes-des-Bois</v>
      </c>
      <c r="C185" s="26">
        <f>Ecrêtage!C179</f>
        <v>78320.692500000005</v>
      </c>
      <c r="D185" s="12">
        <f>Données!Z179</f>
        <v>1011</v>
      </c>
      <c r="E185" s="8">
        <f>Population!K182</f>
        <v>-135201.76056338026</v>
      </c>
      <c r="F185" s="171">
        <f>Solidarité!I179</f>
        <v>0</v>
      </c>
      <c r="G185" s="8"/>
      <c r="H185" s="171">
        <f>Effort!K179+Aide!I179+Taux!K179</f>
        <v>0</v>
      </c>
      <c r="I185" s="234">
        <f t="shared" si="7"/>
        <v>-135201.76056338026</v>
      </c>
      <c r="J185" s="294">
        <f t="shared" si="8"/>
        <v>1512144.6641595298</v>
      </c>
      <c r="K185" s="389">
        <f t="shared" si="9"/>
        <v>1376942.9035961495</v>
      </c>
    </row>
    <row r="186" spans="1:11" x14ac:dyDescent="0.25">
      <c r="A186" s="38">
        <f>Données!A180</f>
        <v>5709</v>
      </c>
      <c r="B186" s="27" t="str">
        <f>Données!B180</f>
        <v>Chéserex</v>
      </c>
      <c r="C186" s="26">
        <f>Ecrêtage!C180</f>
        <v>110451.70315789471</v>
      </c>
      <c r="D186" s="12">
        <f>Données!Z180</f>
        <v>1276</v>
      </c>
      <c r="E186" s="8">
        <f>Population!K183</f>
        <v>-232523.94366197177</v>
      </c>
      <c r="F186" s="171">
        <f>Solidarité!I180</f>
        <v>0</v>
      </c>
      <c r="G186" s="8"/>
      <c r="H186" s="171">
        <f>Effort!K180+Aide!I180+Taux!K180</f>
        <v>0</v>
      </c>
      <c r="I186" s="234">
        <f t="shared" si="7"/>
        <v>-232523.94366197177</v>
      </c>
      <c r="J186" s="294">
        <f t="shared" si="8"/>
        <v>2132500.9808556372</v>
      </c>
      <c r="K186" s="389">
        <f t="shared" si="9"/>
        <v>1899977.0371936655</v>
      </c>
    </row>
    <row r="187" spans="1:11" x14ac:dyDescent="0.25">
      <c r="A187" s="38">
        <f>Données!A181</f>
        <v>5710</v>
      </c>
      <c r="B187" s="27" t="str">
        <f>Données!B181</f>
        <v>Coinsins</v>
      </c>
      <c r="C187" s="26">
        <f>Ecrêtage!C181</f>
        <v>31247.070588235296</v>
      </c>
      <c r="D187" s="12">
        <f>Données!Z181</f>
        <v>519</v>
      </c>
      <c r="E187" s="8">
        <f>Population!K184</f>
        <v>-68073.063380281674</v>
      </c>
      <c r="F187" s="171">
        <f>Solidarité!I181</f>
        <v>0</v>
      </c>
      <c r="G187" s="8"/>
      <c r="H187" s="171">
        <f>Effort!K181+Aide!I181+Taux!K181</f>
        <v>0</v>
      </c>
      <c r="I187" s="234">
        <f t="shared" si="7"/>
        <v>-68073.063380281674</v>
      </c>
      <c r="J187" s="294">
        <f t="shared" si="8"/>
        <v>603290.00615790242</v>
      </c>
      <c r="K187" s="389">
        <f t="shared" si="9"/>
        <v>535216.94277762074</v>
      </c>
    </row>
    <row r="188" spans="1:11" x14ac:dyDescent="0.25">
      <c r="A188" s="38">
        <f>Données!A182</f>
        <v>5711</v>
      </c>
      <c r="B188" s="27" t="str">
        <f>Données!B182</f>
        <v>Commugny</v>
      </c>
      <c r="C188" s="26">
        <f>Ecrêtage!C182</f>
        <v>264202.11623481783</v>
      </c>
      <c r="D188" s="12">
        <f>Données!Z182</f>
        <v>2993</v>
      </c>
      <c r="E188" s="8">
        <f>Population!K185</f>
        <v>-863098.23943661957</v>
      </c>
      <c r="F188" s="171">
        <f>Solidarité!I182</f>
        <v>0</v>
      </c>
      <c r="G188" s="8"/>
      <c r="H188" s="171">
        <f>Effort!K182+Aide!I182+Taux!K182</f>
        <v>0</v>
      </c>
      <c r="I188" s="234">
        <f t="shared" si="7"/>
        <v>-863098.23943661957</v>
      </c>
      <c r="J188" s="294">
        <f t="shared" si="8"/>
        <v>5100974.0538764466</v>
      </c>
      <c r="K188" s="389">
        <f t="shared" si="9"/>
        <v>4237875.8144398266</v>
      </c>
    </row>
    <row r="189" spans="1:11" x14ac:dyDescent="0.25">
      <c r="A189" s="38">
        <f>Données!A183</f>
        <v>5712</v>
      </c>
      <c r="B189" s="27" t="str">
        <f>Données!B183</f>
        <v>Coppet</v>
      </c>
      <c r="C189" s="26">
        <f>Ecrêtage!C183</f>
        <v>381890.66242424241</v>
      </c>
      <c r="D189" s="12">
        <f>Données!Z183</f>
        <v>3183</v>
      </c>
      <c r="E189" s="8">
        <f>Population!K186</f>
        <v>-961679.57746478857</v>
      </c>
      <c r="F189" s="171">
        <f>Solidarité!I183</f>
        <v>0</v>
      </c>
      <c r="G189" s="8"/>
      <c r="H189" s="171">
        <f>Effort!K183+Aide!I183+Taux!K183</f>
        <v>0</v>
      </c>
      <c r="I189" s="234">
        <f t="shared" si="7"/>
        <v>-961679.57746478857</v>
      </c>
      <c r="J189" s="294">
        <f t="shared" si="8"/>
        <v>7373197.4149381574</v>
      </c>
      <c r="K189" s="389">
        <f t="shared" si="9"/>
        <v>6411517.8374733692</v>
      </c>
    </row>
    <row r="190" spans="1:11" x14ac:dyDescent="0.25">
      <c r="A190" s="38">
        <f>Données!A184</f>
        <v>5713</v>
      </c>
      <c r="B190" s="27" t="str">
        <f>Données!B184</f>
        <v>Crans</v>
      </c>
      <c r="C190" s="26">
        <f>Ecrêtage!C184</f>
        <v>303238.4722033898</v>
      </c>
      <c r="D190" s="12">
        <f>Données!Z184</f>
        <v>2424</v>
      </c>
      <c r="E190" s="8">
        <f>Population!K187</f>
        <v>-654130.98591549287</v>
      </c>
      <c r="F190" s="171">
        <f>Solidarité!I184</f>
        <v>0</v>
      </c>
      <c r="G190" s="8"/>
      <c r="H190" s="171">
        <f>Effort!K184+Aide!I184+Taux!K184</f>
        <v>0</v>
      </c>
      <c r="I190" s="234">
        <f t="shared" si="7"/>
        <v>-654130.98591549287</v>
      </c>
      <c r="J190" s="294">
        <f t="shared" si="8"/>
        <v>5854652.4944253238</v>
      </c>
      <c r="K190" s="389">
        <f t="shared" si="9"/>
        <v>5200521.5085098306</v>
      </c>
    </row>
    <row r="191" spans="1:11" x14ac:dyDescent="0.25">
      <c r="A191" s="38">
        <f>Données!A185</f>
        <v>5714</v>
      </c>
      <c r="B191" s="27" t="str">
        <f>Données!B185</f>
        <v>Crassier</v>
      </c>
      <c r="C191" s="26">
        <f>Ecrêtage!C185</f>
        <v>66120.939097744369</v>
      </c>
      <c r="D191" s="12">
        <f>Données!Z185</f>
        <v>1273</v>
      </c>
      <c r="E191" s="8">
        <f>Population!K188</f>
        <v>-231422.18309859151</v>
      </c>
      <c r="F191" s="171">
        <f>Solidarité!I185</f>
        <v>0</v>
      </c>
      <c r="G191" s="8"/>
      <c r="H191" s="171">
        <f>Effort!K185+Aide!I185+Taux!K185</f>
        <v>0</v>
      </c>
      <c r="I191" s="234">
        <f t="shared" si="7"/>
        <v>-231422.18309859151</v>
      </c>
      <c r="J191" s="294">
        <f t="shared" si="8"/>
        <v>1276602.9264344333</v>
      </c>
      <c r="K191" s="389">
        <f t="shared" si="9"/>
        <v>1045180.7433358418</v>
      </c>
    </row>
    <row r="192" spans="1:11" x14ac:dyDescent="0.25">
      <c r="A192" s="38">
        <f>Données!A186</f>
        <v>5715</v>
      </c>
      <c r="B192" s="27" t="str">
        <f>Données!B186</f>
        <v>Duillier</v>
      </c>
      <c r="C192" s="26">
        <f>Ecrêtage!C186</f>
        <v>62085.974545454548</v>
      </c>
      <c r="D192" s="12">
        <f>Données!Z186</f>
        <v>1115</v>
      </c>
      <c r="E192" s="8">
        <f>Population!K189</f>
        <v>-173396.12676056335</v>
      </c>
      <c r="F192" s="171">
        <f>Solidarité!I186</f>
        <v>0</v>
      </c>
      <c r="G192" s="8"/>
      <c r="H192" s="171">
        <f>Effort!K186+Aide!I186+Taux!K186</f>
        <v>0</v>
      </c>
      <c r="I192" s="234">
        <f t="shared" si="7"/>
        <v>-173396.12676056335</v>
      </c>
      <c r="J192" s="294">
        <f t="shared" si="8"/>
        <v>1198699.5024086831</v>
      </c>
      <c r="K192" s="389">
        <f t="shared" si="9"/>
        <v>1025303.3756481197</v>
      </c>
    </row>
    <row r="193" spans="1:11" x14ac:dyDescent="0.25">
      <c r="A193" s="38">
        <f>Données!A187</f>
        <v>5716</v>
      </c>
      <c r="B193" s="27" t="str">
        <f>Données!B187</f>
        <v>Eysins</v>
      </c>
      <c r="C193" s="26">
        <f>Ecrêtage!C187</f>
        <v>264344.77579831937</v>
      </c>
      <c r="D193" s="12">
        <f>Données!Z187</f>
        <v>1739</v>
      </c>
      <c r="E193" s="8">
        <f>Population!K190</f>
        <v>-402562.32394366188</v>
      </c>
      <c r="F193" s="171">
        <f>Solidarité!I187</f>
        <v>0</v>
      </c>
      <c r="G193" s="8"/>
      <c r="H193" s="171">
        <f>Effort!K187+Aide!I187+Taux!K187</f>
        <v>0</v>
      </c>
      <c r="I193" s="234">
        <f t="shared" si="7"/>
        <v>-402562.32394366188</v>
      </c>
      <c r="J193" s="294">
        <f t="shared" si="8"/>
        <v>5103728.3949178029</v>
      </c>
      <c r="K193" s="389">
        <f t="shared" si="9"/>
        <v>4701166.0709741414</v>
      </c>
    </row>
    <row r="194" spans="1:11" x14ac:dyDescent="0.25">
      <c r="A194" s="38">
        <f>Données!A188</f>
        <v>5717</v>
      </c>
      <c r="B194" s="27" t="str">
        <f>Données!B188</f>
        <v>Founex</v>
      </c>
      <c r="C194" s="26">
        <f>Ecrêtage!C188</f>
        <v>391171.86561403517</v>
      </c>
      <c r="D194" s="12">
        <f>Données!Z188</f>
        <v>3792</v>
      </c>
      <c r="E194" s="8">
        <f>Population!K191</f>
        <v>-1281190.1408450701</v>
      </c>
      <c r="F194" s="171">
        <f>Solidarité!I188</f>
        <v>0</v>
      </c>
      <c r="G194" s="8"/>
      <c r="H194" s="171">
        <f>Effort!K188+Aide!I188+Taux!K188</f>
        <v>0</v>
      </c>
      <c r="I194" s="234">
        <f t="shared" si="7"/>
        <v>-1281190.1408450701</v>
      </c>
      <c r="J194" s="294">
        <f t="shared" si="8"/>
        <v>7552390.4408479519</v>
      </c>
      <c r="K194" s="389">
        <f t="shared" si="9"/>
        <v>6271200.3000028823</v>
      </c>
    </row>
    <row r="195" spans="1:11" x14ac:dyDescent="0.25">
      <c r="A195" s="38">
        <f>Données!A189</f>
        <v>5718</v>
      </c>
      <c r="B195" s="27" t="str">
        <f>Données!B189</f>
        <v>Genolier</v>
      </c>
      <c r="C195" s="26">
        <f>Ecrêtage!C189</f>
        <v>199612.23730769227</v>
      </c>
      <c r="D195" s="12">
        <f>Données!Z189</f>
        <v>2038</v>
      </c>
      <c r="E195" s="8">
        <f>Population!K192</f>
        <v>-512371.12676056335</v>
      </c>
      <c r="F195" s="171">
        <f>Solidarité!I189</f>
        <v>0</v>
      </c>
      <c r="G195" s="8"/>
      <c r="H195" s="171">
        <f>Effort!K189+Aide!I189+Taux!K189</f>
        <v>0</v>
      </c>
      <c r="I195" s="234">
        <f t="shared" si="7"/>
        <v>-512371.12676056335</v>
      </c>
      <c r="J195" s="294">
        <f t="shared" si="8"/>
        <v>3853931.4440532131</v>
      </c>
      <c r="K195" s="389">
        <f t="shared" si="9"/>
        <v>3341560.3172926498</v>
      </c>
    </row>
    <row r="196" spans="1:11" x14ac:dyDescent="0.25">
      <c r="A196" s="38">
        <f>Données!A190</f>
        <v>5719</v>
      </c>
      <c r="B196" s="27" t="str">
        <f>Données!B190</f>
        <v>Gingins</v>
      </c>
      <c r="C196" s="26">
        <f>Ecrêtage!C190</f>
        <v>144024.32127777775</v>
      </c>
      <c r="D196" s="12">
        <f>Données!Z190</f>
        <v>1262</v>
      </c>
      <c r="E196" s="8">
        <f>Population!K193</f>
        <v>-227382.39436619714</v>
      </c>
      <c r="F196" s="171">
        <f>Solidarité!I190</f>
        <v>0</v>
      </c>
      <c r="G196" s="8"/>
      <c r="H196" s="171">
        <f>Effort!K190+Aide!I190+Taux!K190</f>
        <v>0</v>
      </c>
      <c r="I196" s="234">
        <f t="shared" si="7"/>
        <v>-227382.39436619714</v>
      </c>
      <c r="J196" s="294">
        <f t="shared" si="8"/>
        <v>2780690.5426607337</v>
      </c>
      <c r="K196" s="389">
        <f t="shared" si="9"/>
        <v>2553308.1482945364</v>
      </c>
    </row>
    <row r="197" spans="1:11" x14ac:dyDescent="0.25">
      <c r="A197" s="38">
        <f>Données!A191</f>
        <v>5720</v>
      </c>
      <c r="B197" s="27" t="str">
        <f>Données!B191</f>
        <v>Givrins</v>
      </c>
      <c r="C197" s="26">
        <f>Ecrêtage!C191</f>
        <v>79448.9027363184</v>
      </c>
      <c r="D197" s="12">
        <f>Données!Z191</f>
        <v>1019</v>
      </c>
      <c r="E197" s="8">
        <f>Population!K194</f>
        <v>-138139.78873239434</v>
      </c>
      <c r="F197" s="171">
        <f>Solidarité!I191</f>
        <v>0</v>
      </c>
      <c r="G197" s="8"/>
      <c r="H197" s="171">
        <f>Effort!K191+Aide!I191+Taux!K191</f>
        <v>0</v>
      </c>
      <c r="I197" s="234">
        <f t="shared" si="7"/>
        <v>-138139.78873239434</v>
      </c>
      <c r="J197" s="294">
        <f t="shared" si="8"/>
        <v>1533927.120805952</v>
      </c>
      <c r="K197" s="389">
        <f t="shared" si="9"/>
        <v>1395787.3320735577</v>
      </c>
    </row>
    <row r="198" spans="1:11" x14ac:dyDescent="0.25">
      <c r="A198" s="38">
        <f>Données!A192</f>
        <v>5721</v>
      </c>
      <c r="B198" s="27" t="str">
        <f>Données!B192</f>
        <v>Gland</v>
      </c>
      <c r="C198" s="26">
        <f>Ecrêtage!C192</f>
        <v>729933.83950819669</v>
      </c>
      <c r="D198" s="12">
        <f>Données!Z192</f>
        <v>13976</v>
      </c>
      <c r="E198" s="8">
        <f>Population!K195</f>
        <v>-9182387.3239436597</v>
      </c>
      <c r="F198" s="171">
        <f>Solidarité!I192</f>
        <v>0</v>
      </c>
      <c r="G198" s="8"/>
      <c r="H198" s="171">
        <f>Effort!K192+Aide!I192+Taux!K192</f>
        <v>0</v>
      </c>
      <c r="I198" s="234">
        <f t="shared" si="7"/>
        <v>-9182387.3239436597</v>
      </c>
      <c r="J198" s="294">
        <f t="shared" si="8"/>
        <v>14092898.38189056</v>
      </c>
      <c r="K198" s="389">
        <f t="shared" si="9"/>
        <v>4910511.0579468999</v>
      </c>
    </row>
    <row r="199" spans="1:11" x14ac:dyDescent="0.25">
      <c r="A199" s="38">
        <f>Données!A193</f>
        <v>5722</v>
      </c>
      <c r="B199" s="27" t="str">
        <f>Données!B193</f>
        <v>Grens</v>
      </c>
      <c r="C199" s="26">
        <f>Ecrêtage!C193</f>
        <v>21839.736451612909</v>
      </c>
      <c r="D199" s="12">
        <f>Données!Z193</f>
        <v>392</v>
      </c>
      <c r="E199" s="8">
        <f>Population!K196</f>
        <v>-51415.492957746472</v>
      </c>
      <c r="F199" s="171">
        <f>Solidarité!I193</f>
        <v>0</v>
      </c>
      <c r="G199" s="8"/>
      <c r="H199" s="171">
        <f>Effort!K193+Aide!I193+Taux!K193</f>
        <v>0</v>
      </c>
      <c r="I199" s="234">
        <f t="shared" si="7"/>
        <v>-51415.492957746472</v>
      </c>
      <c r="J199" s="294">
        <f t="shared" si="8"/>
        <v>421661.75869750947</v>
      </c>
      <c r="K199" s="389">
        <f t="shared" si="9"/>
        <v>370246.26573976298</v>
      </c>
    </row>
    <row r="200" spans="1:11" x14ac:dyDescent="0.25">
      <c r="A200" s="38">
        <f>Données!A194</f>
        <v>5723</v>
      </c>
      <c r="B200" s="27" t="str">
        <f>Données!B194</f>
        <v>Mies</v>
      </c>
      <c r="C200" s="26">
        <f>Ecrêtage!C194</f>
        <v>253199.57134615383</v>
      </c>
      <c r="D200" s="12">
        <f>Données!Z194</f>
        <v>2171</v>
      </c>
      <c r="E200" s="8">
        <f>Population!K197</f>
        <v>-561215.84507042251</v>
      </c>
      <c r="F200" s="171">
        <f>Solidarité!I194</f>
        <v>0</v>
      </c>
      <c r="G200" s="8"/>
      <c r="H200" s="171">
        <f>Effort!K194+Aide!I194+Taux!K194</f>
        <v>0</v>
      </c>
      <c r="I200" s="234">
        <f t="shared" si="7"/>
        <v>-561215.84507042251</v>
      </c>
      <c r="J200" s="294">
        <f t="shared" si="8"/>
        <v>4888546.9287515124</v>
      </c>
      <c r="K200" s="389">
        <f t="shared" si="9"/>
        <v>4327331.0836810898</v>
      </c>
    </row>
    <row r="201" spans="1:11" x14ac:dyDescent="0.25">
      <c r="A201" s="38">
        <f>Données!A195</f>
        <v>5724</v>
      </c>
      <c r="B201" s="27" t="str">
        <f>Données!B195</f>
        <v>Nyon</v>
      </c>
      <c r="C201" s="26">
        <f>Ecrêtage!C195</f>
        <v>1663090.0153005463</v>
      </c>
      <c r="D201" s="12">
        <f>Données!Z195</f>
        <v>22978</v>
      </c>
      <c r="E201" s="8">
        <f>Population!K198</f>
        <v>-19046711.971830983</v>
      </c>
      <c r="F201" s="171">
        <f>Solidarité!I195</f>
        <v>0</v>
      </c>
      <c r="G201" s="8"/>
      <c r="H201" s="171">
        <f>Effort!K195+Aide!I195+Taux!K195</f>
        <v>0</v>
      </c>
      <c r="I201" s="234">
        <f t="shared" si="7"/>
        <v>-19046711.971830983</v>
      </c>
      <c r="J201" s="294">
        <f t="shared" si="8"/>
        <v>32109428.713921439</v>
      </c>
      <c r="K201" s="389">
        <f t="shared" si="9"/>
        <v>13062716.742090456</v>
      </c>
    </row>
    <row r="202" spans="1:11" x14ac:dyDescent="0.25">
      <c r="A202" s="38">
        <f>Données!A196</f>
        <v>5725</v>
      </c>
      <c r="B202" s="27" t="str">
        <f>Données!B196</f>
        <v>Prangins</v>
      </c>
      <c r="C202" s="26">
        <f>Ecrêtage!C196</f>
        <v>341674.87389610388</v>
      </c>
      <c r="D202" s="12">
        <f>Données!Z196</f>
        <v>4284</v>
      </c>
      <c r="E202" s="8">
        <f>Population!K199</f>
        <v>-1539316.9014084504</v>
      </c>
      <c r="F202" s="171">
        <f>Solidarité!I196</f>
        <v>0</v>
      </c>
      <c r="G202" s="8"/>
      <c r="H202" s="171">
        <f>Effort!K196+Aide!I196+Taux!K196</f>
        <v>0</v>
      </c>
      <c r="I202" s="234">
        <f t="shared" si="7"/>
        <v>-1539316.9014084504</v>
      </c>
      <c r="J202" s="294">
        <f t="shared" si="8"/>
        <v>6596747.563734496</v>
      </c>
      <c r="K202" s="389">
        <f t="shared" si="9"/>
        <v>5057430.6623260453</v>
      </c>
    </row>
    <row r="203" spans="1:11" x14ac:dyDescent="0.25">
      <c r="A203" s="38">
        <f>Données!A197</f>
        <v>5726</v>
      </c>
      <c r="B203" s="27" t="str">
        <f>Données!B197</f>
        <v>La Rippe</v>
      </c>
      <c r="C203" s="26">
        <f>Ecrêtage!C197</f>
        <v>71131.071496062999</v>
      </c>
      <c r="D203" s="12">
        <f>Données!Z197</f>
        <v>1206</v>
      </c>
      <c r="E203" s="8">
        <f>Population!K200</f>
        <v>-206816.19718309856</v>
      </c>
      <c r="F203" s="171">
        <f>Solidarité!I197</f>
        <v>0</v>
      </c>
      <c r="G203" s="8"/>
      <c r="H203" s="171">
        <f>Effort!K197+Aide!I197+Taux!K197</f>
        <v>0</v>
      </c>
      <c r="I203" s="234">
        <f t="shared" si="7"/>
        <v>-206816.19718309856</v>
      </c>
      <c r="J203" s="294">
        <f t="shared" si="8"/>
        <v>1373334.0038933093</v>
      </c>
      <c r="K203" s="389">
        <f t="shared" si="9"/>
        <v>1166517.8067102106</v>
      </c>
    </row>
    <row r="204" spans="1:11" x14ac:dyDescent="0.25">
      <c r="A204" s="38">
        <f>Données!A198</f>
        <v>5727</v>
      </c>
      <c r="B204" s="27" t="str">
        <f>Données!B198</f>
        <v>Saint-Cergue</v>
      </c>
      <c r="C204" s="26">
        <f>Ecrêtage!C198</f>
        <v>108766.91914141414</v>
      </c>
      <c r="D204" s="12">
        <f>Données!Z198</f>
        <v>2916</v>
      </c>
      <c r="E204" s="8">
        <f>Population!K201</f>
        <v>-834819.71830985905</v>
      </c>
      <c r="F204" s="171">
        <f>Solidarité!I198</f>
        <v>-616868.16461618547</v>
      </c>
      <c r="G204" s="8"/>
      <c r="H204" s="171">
        <f>Effort!K198+Aide!I198+Taux!K198</f>
        <v>0</v>
      </c>
      <c r="I204" s="234">
        <f t="shared" si="7"/>
        <v>-1451687.8829260445</v>
      </c>
      <c r="J204" s="294">
        <f t="shared" si="8"/>
        <v>2099972.7041070326</v>
      </c>
      <c r="K204" s="389">
        <f t="shared" si="9"/>
        <v>648284.8211809881</v>
      </c>
    </row>
    <row r="205" spans="1:11" x14ac:dyDescent="0.25">
      <c r="A205" s="38">
        <f>Données!A199</f>
        <v>5728</v>
      </c>
      <c r="B205" s="27" t="str">
        <f>Données!B199</f>
        <v>Signy-Avenex</v>
      </c>
      <c r="C205" s="26">
        <f>Ecrêtage!C199</f>
        <v>54935.229999999996</v>
      </c>
      <c r="D205" s="12">
        <f>Données!Z199</f>
        <v>606</v>
      </c>
      <c r="E205" s="8">
        <f>Population!K202</f>
        <v>-79484.154929577446</v>
      </c>
      <c r="F205" s="171">
        <f>Solidarité!I199</f>
        <v>0</v>
      </c>
      <c r="G205" s="8"/>
      <c r="H205" s="171">
        <f>Effort!K199+Aide!I199+Taux!K199</f>
        <v>0</v>
      </c>
      <c r="I205" s="234">
        <f t="shared" ref="I205:I268" si="10">SUM(E205:H205)</f>
        <v>-79484.154929577446</v>
      </c>
      <c r="J205" s="294">
        <f t="shared" ref="J205:J268" si="11">C205*$J$11</f>
        <v>1060639.4334278456</v>
      </c>
      <c r="K205" s="389">
        <f t="shared" ref="K205:K268" si="12">I205+J205</f>
        <v>981155.2784982681</v>
      </c>
    </row>
    <row r="206" spans="1:11" x14ac:dyDescent="0.25">
      <c r="A206" s="38">
        <f>Données!A200</f>
        <v>5729</v>
      </c>
      <c r="B206" s="27" t="str">
        <f>Données!B200</f>
        <v>Tannay</v>
      </c>
      <c r="C206" s="26">
        <f>Ecrêtage!C200</f>
        <v>200776.3305785124</v>
      </c>
      <c r="D206" s="12">
        <f>Données!Z200</f>
        <v>1715</v>
      </c>
      <c r="E206" s="8">
        <f>Population!K203</f>
        <v>-393748.23943661968</v>
      </c>
      <c r="F206" s="171">
        <f>Solidarité!I200</f>
        <v>0</v>
      </c>
      <c r="G206" s="8"/>
      <c r="H206" s="171">
        <f>Effort!K200+Aide!I200+Taux!K200</f>
        <v>0</v>
      </c>
      <c r="I206" s="234">
        <f t="shared" si="10"/>
        <v>-393748.23943661968</v>
      </c>
      <c r="J206" s="294">
        <f t="shared" si="11"/>
        <v>3876406.6976786158</v>
      </c>
      <c r="K206" s="389">
        <f t="shared" si="12"/>
        <v>3482658.4582419964</v>
      </c>
    </row>
    <row r="207" spans="1:11" x14ac:dyDescent="0.25">
      <c r="A207" s="38">
        <f>Données!A201</f>
        <v>5730</v>
      </c>
      <c r="B207" s="27" t="str">
        <f>Données!B201</f>
        <v>Trélex</v>
      </c>
      <c r="C207" s="26">
        <f>Ecrêtage!C201</f>
        <v>146462.65611611609</v>
      </c>
      <c r="D207" s="12">
        <f>Données!Z201</f>
        <v>1447</v>
      </c>
      <c r="E207" s="8">
        <f>Population!K204</f>
        <v>-295324.29577464785</v>
      </c>
      <c r="F207" s="171">
        <f>Solidarité!I201</f>
        <v>0</v>
      </c>
      <c r="G207" s="8"/>
      <c r="H207" s="171">
        <f>Effort!K201+Aide!I201+Taux!K201</f>
        <v>0</v>
      </c>
      <c r="I207" s="234">
        <f t="shared" si="10"/>
        <v>-295324.29577464785</v>
      </c>
      <c r="J207" s="294">
        <f t="shared" si="11"/>
        <v>2827767.692996548</v>
      </c>
      <c r="K207" s="389">
        <f t="shared" si="12"/>
        <v>2532443.3972219001</v>
      </c>
    </row>
    <row r="208" spans="1:11" x14ac:dyDescent="0.25">
      <c r="A208" s="38">
        <f>Données!A202</f>
        <v>5731</v>
      </c>
      <c r="B208" s="27" t="str">
        <f>Données!B202</f>
        <v>Le Vaud</v>
      </c>
      <c r="C208" s="26">
        <f>Ecrêtage!C202</f>
        <v>70899.219223744294</v>
      </c>
      <c r="D208" s="12">
        <f>Données!Z202</f>
        <v>1413</v>
      </c>
      <c r="E208" s="8">
        <f>Population!K205</f>
        <v>-282837.67605633801</v>
      </c>
      <c r="F208" s="171">
        <f>Solidarité!I202</f>
        <v>0</v>
      </c>
      <c r="G208" s="8"/>
      <c r="H208" s="171">
        <f>Effort!K202+Aide!I202+Taux!K202</f>
        <v>0</v>
      </c>
      <c r="I208" s="234">
        <f t="shared" si="10"/>
        <v>-282837.67605633801</v>
      </c>
      <c r="J208" s="294">
        <f t="shared" si="11"/>
        <v>1368857.6111895549</v>
      </c>
      <c r="K208" s="389">
        <f t="shared" si="12"/>
        <v>1086019.9351332169</v>
      </c>
    </row>
    <row r="209" spans="1:11" x14ac:dyDescent="0.25">
      <c r="A209" s="38">
        <f>Données!A203</f>
        <v>5732</v>
      </c>
      <c r="B209" s="27" t="str">
        <f>Données!B203</f>
        <v>Vich</v>
      </c>
      <c r="C209" s="26">
        <f>Ecrêtage!C203</f>
        <v>83913.803650793649</v>
      </c>
      <c r="D209" s="12">
        <f>Données!Z203</f>
        <v>1174</v>
      </c>
      <c r="E209" s="8">
        <f>Population!K206</f>
        <v>-195064.08450704222</v>
      </c>
      <c r="F209" s="171">
        <f>Solidarité!I203</f>
        <v>0</v>
      </c>
      <c r="G209" s="8"/>
      <c r="H209" s="171">
        <f>Effort!K203+Aide!I203+Taux!K203</f>
        <v>0</v>
      </c>
      <c r="I209" s="234">
        <f t="shared" si="10"/>
        <v>-195064.08450704222</v>
      </c>
      <c r="J209" s="294">
        <f t="shared" si="11"/>
        <v>1620131.3648992323</v>
      </c>
      <c r="K209" s="389">
        <f t="shared" si="12"/>
        <v>1425067.28039219</v>
      </c>
    </row>
    <row r="210" spans="1:11" x14ac:dyDescent="0.25">
      <c r="A210" s="38">
        <f>Données!A204</f>
        <v>5741</v>
      </c>
      <c r="B210" s="27" t="str">
        <f>Données!B204</f>
        <v>L'Abergement</v>
      </c>
      <c r="C210" s="26">
        <f>Ecrêtage!C204</f>
        <v>8275.7188124999993</v>
      </c>
      <c r="D210" s="12">
        <f>Données!Z204</f>
        <v>268</v>
      </c>
      <c r="E210" s="8">
        <f>Population!K207</f>
        <v>-35151.408450704221</v>
      </c>
      <c r="F210" s="171">
        <f>Solidarité!I204</f>
        <v>-127281.1822491159</v>
      </c>
      <c r="G210" s="8"/>
      <c r="H210" s="171">
        <f>Effort!K204+Aide!I204+Taux!K204</f>
        <v>0</v>
      </c>
      <c r="I210" s="234">
        <f t="shared" si="10"/>
        <v>-162432.59069982011</v>
      </c>
      <c r="J210" s="294">
        <f t="shared" si="11"/>
        <v>159780.04847705492</v>
      </c>
      <c r="K210" s="389">
        <f t="shared" si="12"/>
        <v>-2652.542222765187</v>
      </c>
    </row>
    <row r="211" spans="1:11" x14ac:dyDescent="0.25">
      <c r="A211" s="38">
        <f>Données!A205</f>
        <v>5742</v>
      </c>
      <c r="B211" s="27" t="str">
        <f>Données!B205</f>
        <v>Agiez</v>
      </c>
      <c r="C211" s="26">
        <f>Ecrêtage!C205</f>
        <v>9208.6422368421081</v>
      </c>
      <c r="D211" s="12">
        <f>Données!Z205</f>
        <v>383</v>
      </c>
      <c r="E211" s="8">
        <f>Population!K208</f>
        <v>-50235.035211267597</v>
      </c>
      <c r="F211" s="171">
        <f>Solidarité!I205</f>
        <v>-224563.87883049683</v>
      </c>
      <c r="G211" s="8"/>
      <c r="H211" s="171">
        <f>Effort!K205+Aide!I205+Taux!K205</f>
        <v>0</v>
      </c>
      <c r="I211" s="234">
        <f t="shared" si="10"/>
        <v>-274798.91404176445</v>
      </c>
      <c r="J211" s="294">
        <f t="shared" si="11"/>
        <v>177792.08505587294</v>
      </c>
      <c r="K211" s="389">
        <f t="shared" si="12"/>
        <v>-97006.828985891509</v>
      </c>
    </row>
    <row r="212" spans="1:11" x14ac:dyDescent="0.25">
      <c r="A212" s="38">
        <f>Données!A206</f>
        <v>5743</v>
      </c>
      <c r="B212" s="27" t="str">
        <f>Données!B206</f>
        <v>Arnex-sur-Orbe</v>
      </c>
      <c r="C212" s="26">
        <f>Ecrêtage!C206</f>
        <v>19122.067147887326</v>
      </c>
      <c r="D212" s="12">
        <f>Données!Z206</f>
        <v>661</v>
      </c>
      <c r="E212" s="8">
        <f>Population!K209</f>
        <v>-86698.063380281674</v>
      </c>
      <c r="F212" s="171">
        <f>Solidarité!I206</f>
        <v>-273226.59277994814</v>
      </c>
      <c r="G212" s="8"/>
      <c r="H212" s="171">
        <f>Effort!K206+Aide!I206+Taux!K206</f>
        <v>0</v>
      </c>
      <c r="I212" s="234">
        <f t="shared" si="10"/>
        <v>-359924.65616022982</v>
      </c>
      <c r="J212" s="294">
        <f t="shared" si="11"/>
        <v>369191.47267981648</v>
      </c>
      <c r="K212" s="389">
        <f t="shared" si="12"/>
        <v>9266.8165195866604</v>
      </c>
    </row>
    <row r="213" spans="1:11" x14ac:dyDescent="0.25">
      <c r="A213" s="38">
        <f>Données!A207</f>
        <v>5744</v>
      </c>
      <c r="B213" s="27" t="str">
        <f>Données!B207</f>
        <v>Ballaigues</v>
      </c>
      <c r="C213" s="26">
        <f>Ecrêtage!C207</f>
        <v>60998.783230769215</v>
      </c>
      <c r="D213" s="12">
        <f>Données!Z207</f>
        <v>1193</v>
      </c>
      <c r="E213" s="8">
        <f>Population!K210</f>
        <v>-202041.90140845068</v>
      </c>
      <c r="F213" s="171">
        <f>Solidarité!I207</f>
        <v>0</v>
      </c>
      <c r="G213" s="8"/>
      <c r="H213" s="171">
        <f>Effort!K207+Aide!I207+Taux!K207</f>
        <v>0</v>
      </c>
      <c r="I213" s="234">
        <f t="shared" si="10"/>
        <v>-202041.90140845068</v>
      </c>
      <c r="J213" s="294">
        <f t="shared" si="11"/>
        <v>1177709.0017766564</v>
      </c>
      <c r="K213" s="389">
        <f t="shared" si="12"/>
        <v>975667.10036820569</v>
      </c>
    </row>
    <row r="214" spans="1:11" x14ac:dyDescent="0.25">
      <c r="A214" s="38">
        <f>Données!A208</f>
        <v>5745</v>
      </c>
      <c r="B214" s="27" t="str">
        <f>Données!B208</f>
        <v>Baulmes</v>
      </c>
      <c r="C214" s="26">
        <f>Ecrêtage!C208</f>
        <v>29147.980130718955</v>
      </c>
      <c r="D214" s="12">
        <f>Données!Z208</f>
        <v>1146</v>
      </c>
      <c r="E214" s="8">
        <f>Population!K211</f>
        <v>-184780.98591549293</v>
      </c>
      <c r="F214" s="171">
        <f>Solidarité!I208</f>
        <v>-643540.61186115188</v>
      </c>
      <c r="G214" s="8"/>
      <c r="H214" s="171">
        <f>Effort!K208+Aide!I208+Taux!K208</f>
        <v>0</v>
      </c>
      <c r="I214" s="234">
        <f t="shared" si="10"/>
        <v>-828321.59777664486</v>
      </c>
      <c r="J214" s="294">
        <f t="shared" si="11"/>
        <v>562762.6776371348</v>
      </c>
      <c r="K214" s="389">
        <f t="shared" si="12"/>
        <v>-265558.92013951007</v>
      </c>
    </row>
    <row r="215" spans="1:11" x14ac:dyDescent="0.25">
      <c r="A215" s="38">
        <f>Données!A209</f>
        <v>5746</v>
      </c>
      <c r="B215" s="27" t="str">
        <f>Données!B209</f>
        <v>Bavois</v>
      </c>
      <c r="C215" s="26">
        <f>Ecrêtage!C209</f>
        <v>33851.911712962959</v>
      </c>
      <c r="D215" s="12">
        <f>Données!Z209</f>
        <v>1037</v>
      </c>
      <c r="E215" s="8">
        <f>Population!K212</f>
        <v>-144750.35211267602</v>
      </c>
      <c r="F215" s="171">
        <f>Solidarité!I209</f>
        <v>-361040.45394165948</v>
      </c>
      <c r="G215" s="8"/>
      <c r="H215" s="171">
        <f>Effort!K209+Aide!I209+Taux!K209</f>
        <v>0</v>
      </c>
      <c r="I215" s="234">
        <f t="shared" si="10"/>
        <v>-505790.80605433549</v>
      </c>
      <c r="J215" s="294">
        <f t="shared" si="11"/>
        <v>653581.90836165578</v>
      </c>
      <c r="K215" s="389">
        <f t="shared" si="12"/>
        <v>147791.10230732028</v>
      </c>
    </row>
    <row r="216" spans="1:11" x14ac:dyDescent="0.25">
      <c r="A216" s="38">
        <f>Données!A210</f>
        <v>5747</v>
      </c>
      <c r="B216" s="27" t="str">
        <f>Données!B210</f>
        <v>Bofflens</v>
      </c>
      <c r="C216" s="26">
        <f>Ecrêtage!C210</f>
        <v>7065.5449275362316</v>
      </c>
      <c r="D216" s="12">
        <f>Données!Z210</f>
        <v>194</v>
      </c>
      <c r="E216" s="8">
        <f>Population!K213</f>
        <v>-25445.422535211263</v>
      </c>
      <c r="F216" s="171">
        <f>Solidarité!I210</f>
        <v>-48100.858582833091</v>
      </c>
      <c r="G216" s="8"/>
      <c r="H216" s="171">
        <f>Effort!K210+Aide!I210+Taux!K210</f>
        <v>0</v>
      </c>
      <c r="I216" s="234">
        <f t="shared" si="10"/>
        <v>-73546.281118044353</v>
      </c>
      <c r="J216" s="294">
        <f t="shared" si="11"/>
        <v>136415.11228406648</v>
      </c>
      <c r="K216" s="389">
        <f t="shared" si="12"/>
        <v>62868.831166022122</v>
      </c>
    </row>
    <row r="217" spans="1:11" x14ac:dyDescent="0.25">
      <c r="A217" s="38">
        <f>Données!A211</f>
        <v>5748</v>
      </c>
      <c r="B217" s="27" t="str">
        <f>Données!B211</f>
        <v>Bretonnières</v>
      </c>
      <c r="C217" s="26">
        <f>Ecrêtage!C211</f>
        <v>6864.9177304964542</v>
      </c>
      <c r="D217" s="12">
        <f>Données!Z211</f>
        <v>259</v>
      </c>
      <c r="E217" s="8">
        <f>Population!K214</f>
        <v>-33970.950704225346</v>
      </c>
      <c r="F217" s="171">
        <f>Solidarité!I211</f>
        <v>-118016.43171768375</v>
      </c>
      <c r="G217" s="8"/>
      <c r="H217" s="171">
        <f>Effort!K211+Aide!I211+Taux!K211</f>
        <v>0</v>
      </c>
      <c r="I217" s="234">
        <f t="shared" si="10"/>
        <v>-151987.3824219091</v>
      </c>
      <c r="J217" s="294">
        <f t="shared" si="11"/>
        <v>132541.58492105213</v>
      </c>
      <c r="K217" s="389">
        <f t="shared" si="12"/>
        <v>-19445.797500856977</v>
      </c>
    </row>
    <row r="218" spans="1:11" x14ac:dyDescent="0.25">
      <c r="A218" s="38">
        <f>Données!A212</f>
        <v>5749</v>
      </c>
      <c r="B218" s="27" t="str">
        <f>Données!B212</f>
        <v>Chavornay</v>
      </c>
      <c r="C218" s="26">
        <f>Ecrêtage!C212</f>
        <v>149579.8465248227</v>
      </c>
      <c r="D218" s="12">
        <f>Données!Z212</f>
        <v>5423</v>
      </c>
      <c r="E218" s="8">
        <f>Population!K215</f>
        <v>-2181276.0563380281</v>
      </c>
      <c r="F218" s="171">
        <f>Solidarité!I212</f>
        <v>-2355110.2385743558</v>
      </c>
      <c r="G218" s="8"/>
      <c r="H218" s="171">
        <f>Effort!K212+Aide!I212+Taux!K212</f>
        <v>0</v>
      </c>
      <c r="I218" s="234">
        <f t="shared" si="10"/>
        <v>-4536386.2949123839</v>
      </c>
      <c r="J218" s="294">
        <f t="shared" si="11"/>
        <v>2887951.5689715333</v>
      </c>
      <c r="K218" s="389">
        <f t="shared" si="12"/>
        <v>-1648434.7259408506</v>
      </c>
    </row>
    <row r="219" spans="1:11" x14ac:dyDescent="0.25">
      <c r="A219" s="38">
        <f>Données!A213</f>
        <v>5750</v>
      </c>
      <c r="B219" s="27" t="str">
        <f>Données!B213</f>
        <v>Les Clées</v>
      </c>
      <c r="C219" s="26">
        <f>Ecrêtage!C213</f>
        <v>5320.5294166666672</v>
      </c>
      <c r="D219" s="12">
        <f>Données!Z213</f>
        <v>192</v>
      </c>
      <c r="E219" s="8">
        <f>Population!K216</f>
        <v>-25183.098591549293</v>
      </c>
      <c r="F219" s="171">
        <f>Solidarité!I213</f>
        <v>-106736.78776075256</v>
      </c>
      <c r="G219" s="8"/>
      <c r="H219" s="171">
        <f>Effort!K213+Aide!I213+Taux!K213</f>
        <v>0</v>
      </c>
      <c r="I219" s="234">
        <f t="shared" si="10"/>
        <v>-131919.88635230187</v>
      </c>
      <c r="J219" s="294">
        <f t="shared" si="11"/>
        <v>102723.94064846037</v>
      </c>
      <c r="K219" s="389">
        <f t="shared" si="12"/>
        <v>-29195.945703841498</v>
      </c>
    </row>
    <row r="220" spans="1:11" x14ac:dyDescent="0.25">
      <c r="A220" s="38">
        <f>Données!A214</f>
        <v>5752</v>
      </c>
      <c r="B220" s="27" t="str">
        <f>Données!B214</f>
        <v>Croy</v>
      </c>
      <c r="C220" s="26">
        <f>Ecrêtage!C214</f>
        <v>9858.3588996138969</v>
      </c>
      <c r="D220" s="12">
        <f>Données!Z214</f>
        <v>397</v>
      </c>
      <c r="E220" s="8">
        <f>Population!K217</f>
        <v>-52071.3028169014</v>
      </c>
      <c r="F220" s="171">
        <f>Solidarité!I214</f>
        <v>-213834.44651116457</v>
      </c>
      <c r="G220" s="8"/>
      <c r="H220" s="171">
        <f>Effort!K214+Aide!I214+Taux!K214</f>
        <v>0</v>
      </c>
      <c r="I220" s="234">
        <f t="shared" si="10"/>
        <v>-265905.74932806595</v>
      </c>
      <c r="J220" s="294">
        <f t="shared" si="11"/>
        <v>190336.22318164216</v>
      </c>
      <c r="K220" s="389">
        <f t="shared" si="12"/>
        <v>-75569.526146423799</v>
      </c>
    </row>
    <row r="221" spans="1:11" x14ac:dyDescent="0.25">
      <c r="A221" s="38">
        <f>Données!A215</f>
        <v>5754</v>
      </c>
      <c r="B221" s="27" t="str">
        <f>Données!B215</f>
        <v>Juriens</v>
      </c>
      <c r="C221" s="26">
        <f>Ecrêtage!C215</f>
        <v>8812.2215189873423</v>
      </c>
      <c r="D221" s="12">
        <f>Données!Z215</f>
        <v>351</v>
      </c>
      <c r="E221" s="8">
        <f>Population!K218</f>
        <v>-46037.852112676046</v>
      </c>
      <c r="F221" s="171">
        <f>Solidarité!I215</f>
        <v>-213072.64308010109</v>
      </c>
      <c r="G221" s="8"/>
      <c r="H221" s="171">
        <f>Effort!K215+Aide!I215+Taux!K215</f>
        <v>0</v>
      </c>
      <c r="I221" s="234">
        <f t="shared" si="10"/>
        <v>-259110.49519277713</v>
      </c>
      <c r="J221" s="294">
        <f t="shared" si="11"/>
        <v>170138.35455206802</v>
      </c>
      <c r="K221" s="389">
        <f t="shared" si="12"/>
        <v>-88972.140640709113</v>
      </c>
    </row>
    <row r="222" spans="1:11" x14ac:dyDescent="0.25">
      <c r="A222" s="38">
        <f>Données!A216</f>
        <v>5755</v>
      </c>
      <c r="B222" s="27" t="str">
        <f>Données!B216</f>
        <v>Lignerolle</v>
      </c>
      <c r="C222" s="26">
        <f>Ecrêtage!C216</f>
        <v>11116.576615104641</v>
      </c>
      <c r="D222" s="12">
        <f>Données!Z216</f>
        <v>462</v>
      </c>
      <c r="E222" s="8">
        <f>Population!K219</f>
        <v>-60596.830985915483</v>
      </c>
      <c r="F222" s="171">
        <f>Solidarité!I216</f>
        <v>-288789.01934347447</v>
      </c>
      <c r="G222" s="8"/>
      <c r="H222" s="171">
        <f>Effort!K216+Aide!I216+Taux!K216</f>
        <v>0</v>
      </c>
      <c r="I222" s="234">
        <f t="shared" si="10"/>
        <v>-349385.85032938997</v>
      </c>
      <c r="J222" s="294">
        <f t="shared" si="11"/>
        <v>214628.74593774931</v>
      </c>
      <c r="K222" s="389">
        <f t="shared" si="12"/>
        <v>-134757.10439164066</v>
      </c>
    </row>
    <row r="223" spans="1:11" x14ac:dyDescent="0.25">
      <c r="A223" s="38">
        <f>Données!A217</f>
        <v>5756</v>
      </c>
      <c r="B223" s="27" t="str">
        <f>Données!B217</f>
        <v>Montcherand</v>
      </c>
      <c r="C223" s="26">
        <f>Ecrêtage!C217</f>
        <v>20941.594027777777</v>
      </c>
      <c r="D223" s="12">
        <f>Données!Z217</f>
        <v>494</v>
      </c>
      <c r="E223" s="8">
        <f>Population!K220</f>
        <v>-64794.014084507027</v>
      </c>
      <c r="F223" s="171">
        <f>Solidarité!I217</f>
        <v>-72287.422307746659</v>
      </c>
      <c r="G223" s="8"/>
      <c r="H223" s="171">
        <f>Effort!K217+Aide!I217+Taux!K217</f>
        <v>0</v>
      </c>
      <c r="I223" s="234">
        <f t="shared" si="10"/>
        <v>-137081.43639225367</v>
      </c>
      <c r="J223" s="294">
        <f t="shared" si="11"/>
        <v>404321.24202807882</v>
      </c>
      <c r="K223" s="389">
        <f t="shared" si="12"/>
        <v>267239.80563582515</v>
      </c>
    </row>
    <row r="224" spans="1:11" x14ac:dyDescent="0.25">
      <c r="A224" s="38">
        <f>Données!A218</f>
        <v>5757</v>
      </c>
      <c r="B224" s="27" t="str">
        <f>Données!B218</f>
        <v>Orbe</v>
      </c>
      <c r="C224" s="26">
        <f>Ecrêtage!C218</f>
        <v>226209.22728476822</v>
      </c>
      <c r="D224" s="12">
        <f>Données!Z218</f>
        <v>7827</v>
      </c>
      <c r="E224" s="8">
        <f>Population!K221</f>
        <v>-3694780.2816901403</v>
      </c>
      <c r="F224" s="171">
        <f>Solidarité!I218</f>
        <v>-3663388.0170643288</v>
      </c>
      <c r="G224" s="8"/>
      <c r="H224" s="171">
        <f>Effort!K218+Aide!I218+Taux!K218</f>
        <v>0</v>
      </c>
      <c r="I224" s="234">
        <f t="shared" si="10"/>
        <v>-7358168.2987544686</v>
      </c>
      <c r="J224" s="294">
        <f t="shared" si="11"/>
        <v>4367441.9250354888</v>
      </c>
      <c r="K224" s="389">
        <f t="shared" si="12"/>
        <v>-2990726.3737189798</v>
      </c>
    </row>
    <row r="225" spans="1:11" x14ac:dyDescent="0.25">
      <c r="A225" s="38">
        <f>Données!A219</f>
        <v>5758</v>
      </c>
      <c r="B225" s="27" t="str">
        <f>Données!B219</f>
        <v>La Praz</v>
      </c>
      <c r="C225" s="26">
        <f>Ecrêtage!C219</f>
        <v>5593.0973493975916</v>
      </c>
      <c r="D225" s="12">
        <f>Données!Z219</f>
        <v>206</v>
      </c>
      <c r="E225" s="8">
        <f>Population!K222</f>
        <v>-27019.366197183095</v>
      </c>
      <c r="F225" s="171">
        <f>Solidarité!I219</f>
        <v>-126444.54773272968</v>
      </c>
      <c r="G225" s="8"/>
      <c r="H225" s="171">
        <f>Effort!K219+Aide!I219+Taux!K219</f>
        <v>0</v>
      </c>
      <c r="I225" s="234">
        <f t="shared" si="10"/>
        <v>-153463.91392991279</v>
      </c>
      <c r="J225" s="294">
        <f t="shared" si="11"/>
        <v>107986.43427490605</v>
      </c>
      <c r="K225" s="389">
        <f t="shared" si="12"/>
        <v>-45477.47965500674</v>
      </c>
    </row>
    <row r="226" spans="1:11" x14ac:dyDescent="0.25">
      <c r="A226" s="38">
        <f>Données!A220</f>
        <v>5759</v>
      </c>
      <c r="B226" s="27" t="str">
        <f>Données!B220</f>
        <v>Premier</v>
      </c>
      <c r="C226" s="26">
        <f>Ecrêtage!C220</f>
        <v>5351.6616352201272</v>
      </c>
      <c r="D226" s="12">
        <f>Données!Z220</f>
        <v>233</v>
      </c>
      <c r="E226" s="8">
        <f>Population!K223</f>
        <v>-30560.739436619711</v>
      </c>
      <c r="F226" s="171">
        <f>Solidarité!I220</f>
        <v>-155809.70195671983</v>
      </c>
      <c r="G226" s="8"/>
      <c r="H226" s="171">
        <f>Effort!K220+Aide!I220+Taux!K220</f>
        <v>0</v>
      </c>
      <c r="I226" s="234">
        <f t="shared" si="10"/>
        <v>-186370.44139333954</v>
      </c>
      <c r="J226" s="294">
        <f t="shared" si="11"/>
        <v>103325.01319603856</v>
      </c>
      <c r="K226" s="389">
        <f t="shared" si="12"/>
        <v>-83045.428197300978</v>
      </c>
    </row>
    <row r="227" spans="1:11" x14ac:dyDescent="0.25">
      <c r="A227" s="38">
        <f>Données!A221</f>
        <v>5760</v>
      </c>
      <c r="B227" s="27" t="str">
        <f>Données!B221</f>
        <v>Rances</v>
      </c>
      <c r="C227" s="26">
        <f>Ecrêtage!C221</f>
        <v>16377.081307189543</v>
      </c>
      <c r="D227" s="12">
        <f>Données!Z221</f>
        <v>525</v>
      </c>
      <c r="E227" s="8">
        <f>Population!K224</f>
        <v>-68860.03521126759</v>
      </c>
      <c r="F227" s="171">
        <f>Solidarité!I221</f>
        <v>-224134.15069116605</v>
      </c>
      <c r="G227" s="8"/>
      <c r="H227" s="171">
        <f>Effort!K221+Aide!I221+Taux!K221</f>
        <v>0</v>
      </c>
      <c r="I227" s="234">
        <f t="shared" si="10"/>
        <v>-292994.18590243364</v>
      </c>
      <c r="J227" s="294">
        <f t="shared" si="11"/>
        <v>316193.78382249927</v>
      </c>
      <c r="K227" s="389">
        <f t="shared" si="12"/>
        <v>23199.597920065629</v>
      </c>
    </row>
    <row r="228" spans="1:11" x14ac:dyDescent="0.25">
      <c r="A228" s="38">
        <f>Données!A222</f>
        <v>5761</v>
      </c>
      <c r="B228" s="27" t="str">
        <f>Données!B222</f>
        <v>Romainmôtier-Envy</v>
      </c>
      <c r="C228" s="26">
        <f>Ecrêtage!C222</f>
        <v>13471.82785634119</v>
      </c>
      <c r="D228" s="12">
        <f>Données!Z222</f>
        <v>575</v>
      </c>
      <c r="E228" s="8">
        <f>Population!K225</f>
        <v>-75418.133802816883</v>
      </c>
      <c r="F228" s="171">
        <f>Solidarité!I222</f>
        <v>-392212.97167385602</v>
      </c>
      <c r="G228" s="8"/>
      <c r="H228" s="171">
        <f>Effort!K222+Aide!I222+Taux!K222</f>
        <v>0</v>
      </c>
      <c r="I228" s="234">
        <f t="shared" si="10"/>
        <v>-467631.10547667288</v>
      </c>
      <c r="J228" s="294">
        <f t="shared" si="11"/>
        <v>260101.79378128002</v>
      </c>
      <c r="K228" s="389">
        <f t="shared" si="12"/>
        <v>-207529.31169539285</v>
      </c>
    </row>
    <row r="229" spans="1:11" x14ac:dyDescent="0.25">
      <c r="A229" s="38">
        <f>Données!A223</f>
        <v>5762</v>
      </c>
      <c r="B229" s="27" t="str">
        <f>Données!B223</f>
        <v>Sergey</v>
      </c>
      <c r="C229" s="26">
        <f>Ecrêtage!C223</f>
        <v>3564.2302564102565</v>
      </c>
      <c r="D229" s="12">
        <f>Données!Z223</f>
        <v>137</v>
      </c>
      <c r="E229" s="8">
        <f>Population!K226</f>
        <v>-17969.190140845069</v>
      </c>
      <c r="F229" s="171">
        <f>Solidarité!I223</f>
        <v>-78042.779312866827</v>
      </c>
      <c r="G229" s="8"/>
      <c r="H229" s="171">
        <f>Effort!K223+Aide!I223+Taux!K223</f>
        <v>0</v>
      </c>
      <c r="I229" s="234">
        <f t="shared" si="10"/>
        <v>-96011.969453711892</v>
      </c>
      <c r="J229" s="294">
        <f t="shared" si="11"/>
        <v>68814.914577864867</v>
      </c>
      <c r="K229" s="389">
        <f t="shared" si="12"/>
        <v>-27197.054875847025</v>
      </c>
    </row>
    <row r="230" spans="1:11" x14ac:dyDescent="0.25">
      <c r="A230" s="38">
        <f>Données!A224</f>
        <v>5763</v>
      </c>
      <c r="B230" s="27" t="str">
        <f>Données!B224</f>
        <v>Valeyres-sous-Rances</v>
      </c>
      <c r="C230" s="26">
        <f>Ecrêtage!C224</f>
        <v>21279.080140845068</v>
      </c>
      <c r="D230" s="12">
        <f>Données!Z224</f>
        <v>583</v>
      </c>
      <c r="E230" s="8">
        <f>Population!K227</f>
        <v>-76467.429577464776</v>
      </c>
      <c r="F230" s="171">
        <f>Solidarité!I224</f>
        <v>-152125.04577770809</v>
      </c>
      <c r="G230" s="8"/>
      <c r="H230" s="171">
        <f>Effort!K224+Aide!I224+Taux!K224</f>
        <v>0</v>
      </c>
      <c r="I230" s="234">
        <f t="shared" si="10"/>
        <v>-228592.47535517288</v>
      </c>
      <c r="J230" s="294">
        <f t="shared" si="11"/>
        <v>410837.11680922488</v>
      </c>
      <c r="K230" s="389">
        <f t="shared" si="12"/>
        <v>182244.64145405201</v>
      </c>
    </row>
    <row r="231" spans="1:11" x14ac:dyDescent="0.25">
      <c r="A231" s="38">
        <f>Données!A225</f>
        <v>5764</v>
      </c>
      <c r="B231" s="27" t="str">
        <f>Données!B225</f>
        <v>Vallorbe</v>
      </c>
      <c r="C231" s="26">
        <f>Ecrêtage!C225</f>
        <v>94417.86909090908</v>
      </c>
      <c r="D231" s="12">
        <f>Données!Z225</f>
        <v>4121</v>
      </c>
      <c r="E231" s="8">
        <f>Population!K228</f>
        <v>-1453799.2957746475</v>
      </c>
      <c r="F231" s="171">
        <f>Solidarité!I225</f>
        <v>-2233851.1739311917</v>
      </c>
      <c r="G231" s="8"/>
      <c r="H231" s="171">
        <f>Effort!K225+Aide!I225+Taux!K225</f>
        <v>0</v>
      </c>
      <c r="I231" s="234">
        <f t="shared" si="10"/>
        <v>-3687650.4697058392</v>
      </c>
      <c r="J231" s="294">
        <f t="shared" si="11"/>
        <v>1822934.3024147947</v>
      </c>
      <c r="K231" s="389">
        <f t="shared" si="12"/>
        <v>-1864716.1672910445</v>
      </c>
    </row>
    <row r="232" spans="1:11" x14ac:dyDescent="0.25">
      <c r="A232" s="38">
        <f>Données!A226</f>
        <v>5765</v>
      </c>
      <c r="B232" s="27" t="str">
        <f>Données!B226</f>
        <v>Vaulion</v>
      </c>
      <c r="C232" s="26">
        <f>Ecrêtage!C226</f>
        <v>11559.011234567901</v>
      </c>
      <c r="D232" s="12">
        <f>Données!Z226</f>
        <v>486</v>
      </c>
      <c r="E232" s="8">
        <f>Population!K229</f>
        <v>-63744.718309859141</v>
      </c>
      <c r="F232" s="171">
        <f>Solidarité!I226</f>
        <v>-326987.85083175258</v>
      </c>
      <c r="G232" s="8"/>
      <c r="H232" s="171">
        <f>Effort!K226+Aide!I226+Taux!K226</f>
        <v>0</v>
      </c>
      <c r="I232" s="234">
        <f t="shared" si="10"/>
        <v>-390732.56914161175</v>
      </c>
      <c r="J232" s="294">
        <f t="shared" si="11"/>
        <v>223170.87098421543</v>
      </c>
      <c r="K232" s="389">
        <f t="shared" si="12"/>
        <v>-167561.69815739631</v>
      </c>
    </row>
    <row r="233" spans="1:11" x14ac:dyDescent="0.25">
      <c r="A233" s="38">
        <f>Données!A227</f>
        <v>5766</v>
      </c>
      <c r="B233" s="27" t="str">
        <f>Données!B227</f>
        <v>Vuiteboeuf</v>
      </c>
      <c r="C233" s="26">
        <f>Ecrêtage!C227</f>
        <v>14621.166361904759</v>
      </c>
      <c r="D233" s="12">
        <f>Données!Z227</f>
        <v>586</v>
      </c>
      <c r="E233" s="8">
        <f>Population!K230</f>
        <v>-76860.915492957734</v>
      </c>
      <c r="F233" s="171">
        <f>Solidarité!I227</f>
        <v>-322660.87643022242</v>
      </c>
      <c r="G233" s="8"/>
      <c r="H233" s="171">
        <f>Effort!K227+Aide!I227+Taux!K227</f>
        <v>0</v>
      </c>
      <c r="I233" s="234">
        <f t="shared" si="10"/>
        <v>-399521.79192318016</v>
      </c>
      <c r="J233" s="294">
        <f t="shared" si="11"/>
        <v>282292.17582496587</v>
      </c>
      <c r="K233" s="389">
        <f t="shared" si="12"/>
        <v>-117229.61609821429</v>
      </c>
    </row>
    <row r="234" spans="1:11" x14ac:dyDescent="0.25">
      <c r="A234" s="38">
        <f>Données!A228</f>
        <v>5785</v>
      </c>
      <c r="B234" s="27" t="str">
        <f>Données!B228</f>
        <v>Corcelles-le-Jorat</v>
      </c>
      <c r="C234" s="26">
        <f>Ecrêtage!C228</f>
        <v>17967.826266666671</v>
      </c>
      <c r="D234" s="12">
        <f>Données!Z228</f>
        <v>500</v>
      </c>
      <c r="E234" s="8">
        <f>Population!K231</f>
        <v>-65580.985915492944</v>
      </c>
      <c r="F234" s="171">
        <f>Solidarité!I228</f>
        <v>-151913.41485363262</v>
      </c>
      <c r="G234" s="8"/>
      <c r="H234" s="171">
        <f>Effort!K228+Aide!I228+Taux!K228</f>
        <v>0</v>
      </c>
      <c r="I234" s="234">
        <f t="shared" si="10"/>
        <v>-217494.40076912555</v>
      </c>
      <c r="J234" s="294">
        <f t="shared" si="11"/>
        <v>346906.44002777996</v>
      </c>
      <c r="K234" s="389">
        <f t="shared" si="12"/>
        <v>129412.0392586544</v>
      </c>
    </row>
    <row r="235" spans="1:11" x14ac:dyDescent="0.25">
      <c r="A235" s="38">
        <f>Données!A229</f>
        <v>5790</v>
      </c>
      <c r="B235" s="27" t="str">
        <f>Données!B229</f>
        <v>Maracon</v>
      </c>
      <c r="C235" s="26">
        <f>Ecrêtage!C229</f>
        <v>17556.382281879196</v>
      </c>
      <c r="D235" s="12">
        <f>Données!Z229</f>
        <v>567</v>
      </c>
      <c r="E235" s="8">
        <f>Population!K232</f>
        <v>-74368.838028169004</v>
      </c>
      <c r="F235" s="171">
        <f>Solidarité!I229</f>
        <v>-232474.33928919281</v>
      </c>
      <c r="G235" s="8"/>
      <c r="H235" s="171">
        <f>Effort!K229+Aide!I229+Taux!K229</f>
        <v>0</v>
      </c>
      <c r="I235" s="234">
        <f t="shared" si="10"/>
        <v>-306843.17731736181</v>
      </c>
      <c r="J235" s="294">
        <f t="shared" si="11"/>
        <v>338962.65395621385</v>
      </c>
      <c r="K235" s="389">
        <f t="shared" si="12"/>
        <v>32119.476638852037</v>
      </c>
    </row>
    <row r="236" spans="1:11" x14ac:dyDescent="0.25">
      <c r="A236" s="38">
        <f>Données!A230</f>
        <v>5792</v>
      </c>
      <c r="B236" s="27" t="str">
        <f>Données!B230</f>
        <v>Montpreveyres</v>
      </c>
      <c r="C236" s="26">
        <f>Ecrêtage!C230</f>
        <v>19503.116799999996</v>
      </c>
      <c r="D236" s="12">
        <f>Données!Z230</f>
        <v>632</v>
      </c>
      <c r="E236" s="8">
        <f>Population!K233</f>
        <v>-82894.366197183088</v>
      </c>
      <c r="F236" s="171">
        <f>Solidarité!I230</f>
        <v>-264095.2655436268</v>
      </c>
      <c r="G236" s="8"/>
      <c r="H236" s="171">
        <f>Effort!K230+Aide!I230+Taux!K230</f>
        <v>0</v>
      </c>
      <c r="I236" s="234">
        <f t="shared" si="10"/>
        <v>-346989.63174080988</v>
      </c>
      <c r="J236" s="294">
        <f t="shared" si="11"/>
        <v>376548.43263292231</v>
      </c>
      <c r="K236" s="389">
        <f t="shared" si="12"/>
        <v>29558.800892112427</v>
      </c>
    </row>
    <row r="237" spans="1:11" x14ac:dyDescent="0.25">
      <c r="A237" s="38">
        <f>Données!A231</f>
        <v>5798</v>
      </c>
      <c r="B237" s="27" t="str">
        <f>Données!B231</f>
        <v>Ropraz</v>
      </c>
      <c r="C237" s="26">
        <f>Ecrêtage!C231</f>
        <v>16096.874193548387</v>
      </c>
      <c r="D237" s="12">
        <f>Données!Z231</f>
        <v>535</v>
      </c>
      <c r="E237" s="8">
        <f>Population!K234</f>
        <v>-70171.654929577446</v>
      </c>
      <c r="F237" s="171">
        <f>Solidarité!I231</f>
        <v>-248618.8581973112</v>
      </c>
      <c r="G237" s="8"/>
      <c r="H237" s="171">
        <f>Effort!K231+Aide!I231+Taux!K231</f>
        <v>0</v>
      </c>
      <c r="I237" s="234">
        <f t="shared" si="10"/>
        <v>-318790.51312688866</v>
      </c>
      <c r="J237" s="294">
        <f t="shared" si="11"/>
        <v>310783.79984218633</v>
      </c>
      <c r="K237" s="389">
        <f t="shared" si="12"/>
        <v>-8006.7132847023313</v>
      </c>
    </row>
    <row r="238" spans="1:11" x14ac:dyDescent="0.25">
      <c r="A238" s="38">
        <f>Données!A232</f>
        <v>5799</v>
      </c>
      <c r="B238" s="27" t="str">
        <f>Données!B232</f>
        <v>Servion</v>
      </c>
      <c r="C238" s="26">
        <f>Ecrêtage!C232</f>
        <v>78403.185652173925</v>
      </c>
      <c r="D238" s="12">
        <f>Données!Z232</f>
        <v>2172</v>
      </c>
      <c r="E238" s="8">
        <f>Population!K235</f>
        <v>-561583.09859154921</v>
      </c>
      <c r="F238" s="171">
        <f>Solidarité!I232</f>
        <v>-551875.96253777831</v>
      </c>
      <c r="G238" s="8"/>
      <c r="H238" s="171">
        <f>Effort!K232+Aide!I232+Taux!K232</f>
        <v>0</v>
      </c>
      <c r="I238" s="234">
        <f t="shared" si="10"/>
        <v>-1113459.0611293274</v>
      </c>
      <c r="J238" s="294">
        <f t="shared" si="11"/>
        <v>1513737.366878412</v>
      </c>
      <c r="K238" s="389">
        <f t="shared" si="12"/>
        <v>400278.30574908457</v>
      </c>
    </row>
    <row r="239" spans="1:11" x14ac:dyDescent="0.25">
      <c r="A239" s="38">
        <f>Données!A233</f>
        <v>5803</v>
      </c>
      <c r="B239" s="27" t="str">
        <f>Données!B233</f>
        <v>Vulliens</v>
      </c>
      <c r="C239" s="26">
        <f>Ecrêtage!C233</f>
        <v>18504.850945945949</v>
      </c>
      <c r="D239" s="12">
        <f>Données!Z233</f>
        <v>646</v>
      </c>
      <c r="E239" s="8">
        <f>Population!K236</f>
        <v>-84730.633802816883</v>
      </c>
      <c r="F239" s="171">
        <f>Solidarité!I233</f>
        <v>-294077.21009999275</v>
      </c>
      <c r="G239" s="8"/>
      <c r="H239" s="171">
        <f>Effort!K233+Aide!I233+Taux!K233</f>
        <v>0</v>
      </c>
      <c r="I239" s="234">
        <f t="shared" si="10"/>
        <v>-378807.84390280966</v>
      </c>
      <c r="J239" s="294">
        <f t="shared" si="11"/>
        <v>357274.82387849916</v>
      </c>
      <c r="K239" s="389">
        <f t="shared" si="12"/>
        <v>-21533.020024310506</v>
      </c>
    </row>
    <row r="240" spans="1:11" x14ac:dyDescent="0.25">
      <c r="A240" s="38">
        <f>Données!A234</f>
        <v>5804</v>
      </c>
      <c r="B240" s="27" t="str">
        <f>Données!B234</f>
        <v>Jorat-Menthue</v>
      </c>
      <c r="C240" s="26">
        <f>Ecrêtage!C234</f>
        <v>49008.353617021276</v>
      </c>
      <c r="D240" s="12">
        <f>Données!Z234</f>
        <v>1557</v>
      </c>
      <c r="E240" s="8">
        <f>Population!K237</f>
        <v>-335722.18309859151</v>
      </c>
      <c r="F240" s="171">
        <f>Solidarité!I234</f>
        <v>-555830.4499160758</v>
      </c>
      <c r="G240" s="8"/>
      <c r="H240" s="171">
        <f>Effort!K234+Aide!I234+Taux!K234</f>
        <v>0</v>
      </c>
      <c r="I240" s="234">
        <f t="shared" si="10"/>
        <v>-891552.63301466731</v>
      </c>
      <c r="J240" s="294">
        <f t="shared" si="11"/>
        <v>946208.6972893161</v>
      </c>
      <c r="K240" s="389">
        <f t="shared" si="12"/>
        <v>54656.064274648787</v>
      </c>
    </row>
    <row r="241" spans="1:11" x14ac:dyDescent="0.25">
      <c r="A241" s="38">
        <f>Données!A235</f>
        <v>5805</v>
      </c>
      <c r="B241" s="27" t="str">
        <f>Données!B235</f>
        <v>Oron</v>
      </c>
      <c r="C241" s="26">
        <f>Ecrêtage!C235</f>
        <v>177337.10588932806</v>
      </c>
      <c r="D241" s="12">
        <f>Données!Z235</f>
        <v>6173</v>
      </c>
      <c r="E241" s="8">
        <f>Population!K238</f>
        <v>-2653459.1549295774</v>
      </c>
      <c r="F241" s="171">
        <f>Solidarité!I235</f>
        <v>-2433510.8557713861</v>
      </c>
      <c r="G241" s="8"/>
      <c r="H241" s="171">
        <f>Effort!K235+Aide!I235+Taux!K235</f>
        <v>0</v>
      </c>
      <c r="I241" s="234">
        <f t="shared" si="10"/>
        <v>-5086970.0107009634</v>
      </c>
      <c r="J241" s="294">
        <f t="shared" si="11"/>
        <v>3423863.4755181833</v>
      </c>
      <c r="K241" s="389">
        <f t="shared" si="12"/>
        <v>-1663106.5351827801</v>
      </c>
    </row>
    <row r="242" spans="1:11" x14ac:dyDescent="0.25">
      <c r="A242" s="38">
        <f>Données!A236</f>
        <v>5806</v>
      </c>
      <c r="B242" s="27" t="str">
        <f>Données!B236</f>
        <v>Jorat-Mézières</v>
      </c>
      <c r="C242" s="26">
        <f>Ecrêtage!C236</f>
        <v>98520.834794520561</v>
      </c>
      <c r="D242" s="12">
        <f>Données!Z236</f>
        <v>3177</v>
      </c>
      <c r="E242" s="8">
        <f>Population!K239</f>
        <v>-958531.6901408449</v>
      </c>
      <c r="F242" s="171">
        <f>Solidarité!I236</f>
        <v>-1247489.9296882777</v>
      </c>
      <c r="G242" s="8"/>
      <c r="H242" s="171">
        <f>Effort!K236+Aide!I236+Taux!K236</f>
        <v>0</v>
      </c>
      <c r="I242" s="234">
        <f t="shared" si="10"/>
        <v>-2206021.6198291224</v>
      </c>
      <c r="J242" s="294">
        <f t="shared" si="11"/>
        <v>1902150.6307937305</v>
      </c>
      <c r="K242" s="389">
        <f t="shared" si="12"/>
        <v>-303870.98903539195</v>
      </c>
    </row>
    <row r="243" spans="1:11" x14ac:dyDescent="0.25">
      <c r="A243" s="38">
        <f>Données!A237</f>
        <v>5812</v>
      </c>
      <c r="B243" s="27" t="str">
        <f>Données!B237</f>
        <v>Champtauroz</v>
      </c>
      <c r="C243" s="26">
        <f>Ecrêtage!C237</f>
        <v>3559.4911688311695</v>
      </c>
      <c r="D243" s="12">
        <f>Données!Z237</f>
        <v>188</v>
      </c>
      <c r="E243" s="8">
        <f>Population!K240</f>
        <v>-24658.450704225346</v>
      </c>
      <c r="F243" s="171">
        <f>Solidarité!I237</f>
        <v>-135898.96098422885</v>
      </c>
      <c r="G243" s="8"/>
      <c r="H243" s="171">
        <f>Effort!K237+Aide!I237+Taux!K237</f>
        <v>0</v>
      </c>
      <c r="I243" s="234">
        <f t="shared" si="10"/>
        <v>-160557.41168845419</v>
      </c>
      <c r="J243" s="294">
        <f t="shared" si="11"/>
        <v>68723.416587142929</v>
      </c>
      <c r="K243" s="389">
        <f t="shared" si="12"/>
        <v>-91833.995101311259</v>
      </c>
    </row>
    <row r="244" spans="1:11" x14ac:dyDescent="0.25">
      <c r="A244" s="38">
        <f>Données!A238</f>
        <v>5813</v>
      </c>
      <c r="B244" s="27" t="str">
        <f>Données!B238</f>
        <v>Chevroux</v>
      </c>
      <c r="C244" s="26">
        <f>Ecrêtage!C238</f>
        <v>19217.847664233581</v>
      </c>
      <c r="D244" s="12">
        <f>Données!Z238</f>
        <v>524</v>
      </c>
      <c r="E244" s="8">
        <f>Population!K241</f>
        <v>-68728.873239436609</v>
      </c>
      <c r="F244" s="171">
        <f>Solidarité!I238</f>
        <v>-125542.16534037614</v>
      </c>
      <c r="G244" s="8"/>
      <c r="H244" s="171">
        <f>Effort!K238+Aide!I238+Taux!K238</f>
        <v>0</v>
      </c>
      <c r="I244" s="234">
        <f t="shared" si="10"/>
        <v>-194271.03857981274</v>
      </c>
      <c r="J244" s="294">
        <f t="shared" si="11"/>
        <v>371040.71573551896</v>
      </c>
      <c r="K244" s="389">
        <f t="shared" si="12"/>
        <v>176769.67715570622</v>
      </c>
    </row>
    <row r="245" spans="1:11" x14ac:dyDescent="0.25">
      <c r="A245" s="38">
        <f>Données!A239</f>
        <v>5816</v>
      </c>
      <c r="B245" s="27" t="str">
        <f>Données!B239</f>
        <v>Corcelles-près-Payerne</v>
      </c>
      <c r="C245" s="26">
        <f>Ecrêtage!C239</f>
        <v>70362.963604395612</v>
      </c>
      <c r="D245" s="12">
        <f>Données!Z239</f>
        <v>2915</v>
      </c>
      <c r="E245" s="8">
        <f>Population!K242</f>
        <v>-834452.46478873224</v>
      </c>
      <c r="F245" s="171">
        <f>Solidarité!I239</f>
        <v>-1245536.7188680363</v>
      </c>
      <c r="G245" s="8"/>
      <c r="H245" s="171">
        <f>Effort!K239+Aide!I239+Taux!K239</f>
        <v>0</v>
      </c>
      <c r="I245" s="234">
        <f t="shared" si="10"/>
        <v>-2079989.1836567684</v>
      </c>
      <c r="J245" s="294">
        <f t="shared" si="11"/>
        <v>1358504.0756481821</v>
      </c>
      <c r="K245" s="389">
        <f t="shared" si="12"/>
        <v>-721485.10800858634</v>
      </c>
    </row>
    <row r="246" spans="1:11" x14ac:dyDescent="0.25">
      <c r="A246" s="38">
        <f>Données!A240</f>
        <v>5817</v>
      </c>
      <c r="B246" s="27" t="str">
        <f>Données!B240</f>
        <v>Grandcour</v>
      </c>
      <c r="C246" s="26">
        <f>Ecrêtage!C240</f>
        <v>25032.364353741497</v>
      </c>
      <c r="D246" s="12">
        <f>Données!Z240</f>
        <v>1006</v>
      </c>
      <c r="E246" s="8">
        <f>Population!K243</f>
        <v>-133365.49295774646</v>
      </c>
      <c r="F246" s="171">
        <f>Solidarité!I240</f>
        <v>-533454.46255906136</v>
      </c>
      <c r="G246" s="8"/>
      <c r="H246" s="171">
        <f>Effort!K240+Aide!I240+Taux!K240</f>
        <v>0</v>
      </c>
      <c r="I246" s="234">
        <f t="shared" si="10"/>
        <v>-666819.95551680785</v>
      </c>
      <c r="J246" s="294">
        <f t="shared" si="11"/>
        <v>483302.11315237562</v>
      </c>
      <c r="K246" s="389">
        <f t="shared" si="12"/>
        <v>-183517.84236443223</v>
      </c>
    </row>
    <row r="247" spans="1:11" x14ac:dyDescent="0.25">
      <c r="A247" s="38">
        <f>Données!A241</f>
        <v>5819</v>
      </c>
      <c r="B247" s="27" t="str">
        <f>Données!B241</f>
        <v>Henniez</v>
      </c>
      <c r="C247" s="26">
        <f>Ecrêtage!C241</f>
        <v>17871.328115942026</v>
      </c>
      <c r="D247" s="12">
        <f>Données!Z241</f>
        <v>454</v>
      </c>
      <c r="E247" s="8">
        <f>Population!K244</f>
        <v>-59547.535211267597</v>
      </c>
      <c r="F247" s="171">
        <f>Solidarité!I241</f>
        <v>-87151.824285195034</v>
      </c>
      <c r="G247" s="8"/>
      <c r="H247" s="171">
        <f>Effort!K241+Aide!I241+Taux!K241</f>
        <v>0</v>
      </c>
      <c r="I247" s="234">
        <f t="shared" si="10"/>
        <v>-146699.35949646262</v>
      </c>
      <c r="J247" s="294">
        <f t="shared" si="11"/>
        <v>345043.34154049918</v>
      </c>
      <c r="K247" s="389">
        <f t="shared" si="12"/>
        <v>198343.98204403656</v>
      </c>
    </row>
    <row r="248" spans="1:11" x14ac:dyDescent="0.25">
      <c r="A248" s="38">
        <f>Données!A242</f>
        <v>5821</v>
      </c>
      <c r="B248" s="27" t="str">
        <f>Données!B242</f>
        <v>Missy</v>
      </c>
      <c r="C248" s="26">
        <f>Ecrêtage!C242</f>
        <v>8690.2762499999972</v>
      </c>
      <c r="D248" s="12">
        <f>Données!Z242</f>
        <v>377</v>
      </c>
      <c r="E248" s="8">
        <f>Population!K245</f>
        <v>-49448.063380281681</v>
      </c>
      <c r="F248" s="171">
        <f>Solidarité!I242</f>
        <v>-206136.05749895785</v>
      </c>
      <c r="G248" s="8"/>
      <c r="H248" s="171">
        <f>Effort!K242+Aide!I242+Taux!K242</f>
        <v>0</v>
      </c>
      <c r="I248" s="234">
        <f t="shared" si="10"/>
        <v>-255584.12087923952</v>
      </c>
      <c r="J248" s="294">
        <f t="shared" si="11"/>
        <v>167783.9462605592</v>
      </c>
      <c r="K248" s="389">
        <f t="shared" si="12"/>
        <v>-87800.174618680321</v>
      </c>
    </row>
    <row r="249" spans="1:11" x14ac:dyDescent="0.25">
      <c r="A249" s="38">
        <f>Données!A243</f>
        <v>5822</v>
      </c>
      <c r="B249" s="27" t="str">
        <f>Données!B243</f>
        <v>Payerne</v>
      </c>
      <c r="C249" s="26">
        <f>Ecrêtage!C243</f>
        <v>264097.39385714289</v>
      </c>
      <c r="D249" s="12">
        <f>Données!Z243</f>
        <v>10577</v>
      </c>
      <c r="E249" s="8">
        <f>Population!K246</f>
        <v>-5839803.1690140832</v>
      </c>
      <c r="F249" s="171">
        <f>Solidarité!I243</f>
        <v>-5069458.5891215932</v>
      </c>
      <c r="G249" s="8"/>
      <c r="H249" s="171">
        <f>Effort!K243+Aide!I243+Taux!K243</f>
        <v>0</v>
      </c>
      <c r="I249" s="234">
        <f t="shared" si="10"/>
        <v>-10909261.758135676</v>
      </c>
      <c r="J249" s="294">
        <f t="shared" si="11"/>
        <v>5098952.16949871</v>
      </c>
      <c r="K249" s="389">
        <f t="shared" si="12"/>
        <v>-5810309.5886369664</v>
      </c>
    </row>
    <row r="250" spans="1:11" x14ac:dyDescent="0.25">
      <c r="A250" s="38">
        <f>Données!A244</f>
        <v>5827</v>
      </c>
      <c r="B250" s="27" t="str">
        <f>Données!B244</f>
        <v>Trey</v>
      </c>
      <c r="C250" s="26">
        <f>Ecrêtage!C244</f>
        <v>7673.6615384615379</v>
      </c>
      <c r="D250" s="12">
        <f>Données!Z244</f>
        <v>315</v>
      </c>
      <c r="E250" s="8">
        <f>Population!K247</f>
        <v>-41316.021126760555</v>
      </c>
      <c r="F250" s="171">
        <f>Solidarité!I244</f>
        <v>-192112.82196338603</v>
      </c>
      <c r="G250" s="8"/>
      <c r="H250" s="171">
        <f>Effort!K244+Aide!I244+Taux!K244</f>
        <v>0</v>
      </c>
      <c r="I250" s="234">
        <f t="shared" si="10"/>
        <v>-233428.84309014658</v>
      </c>
      <c r="J250" s="294">
        <f t="shared" si="11"/>
        <v>148156.07446206917</v>
      </c>
      <c r="K250" s="389">
        <f t="shared" si="12"/>
        <v>-85272.768628077407</v>
      </c>
    </row>
    <row r="251" spans="1:11" x14ac:dyDescent="0.25">
      <c r="A251" s="38">
        <f>Données!A245</f>
        <v>5828</v>
      </c>
      <c r="B251" s="27" t="str">
        <f>Données!B245</f>
        <v>Treytorrens (Payerne)</v>
      </c>
      <c r="C251" s="26">
        <f>Ecrêtage!C245</f>
        <v>2724.637709611452</v>
      </c>
      <c r="D251" s="12">
        <f>Données!Z245</f>
        <v>109</v>
      </c>
      <c r="E251" s="8">
        <f>Population!K248</f>
        <v>-14296.654929577462</v>
      </c>
      <c r="F251" s="171">
        <f>Solidarité!I245</f>
        <v>-70738.217661448827</v>
      </c>
      <c r="G251" s="8"/>
      <c r="H251" s="171">
        <f>Effort!K245+Aide!I245+Taux!K245</f>
        <v>0</v>
      </c>
      <c r="I251" s="234">
        <f t="shared" si="10"/>
        <v>-85034.872591026287</v>
      </c>
      <c r="J251" s="294">
        <f t="shared" si="11"/>
        <v>52604.825657750654</v>
      </c>
      <c r="K251" s="389">
        <f t="shared" si="12"/>
        <v>-32430.046933275633</v>
      </c>
    </row>
    <row r="252" spans="1:11" x14ac:dyDescent="0.25">
      <c r="A252" s="38">
        <f>Données!A246</f>
        <v>5830</v>
      </c>
      <c r="B252" s="27" t="str">
        <f>Données!B246</f>
        <v>Villarzel</v>
      </c>
      <c r="C252" s="26">
        <f>Ecrêtage!C246</f>
        <v>12684.394533333332</v>
      </c>
      <c r="D252" s="12">
        <f>Données!Z246</f>
        <v>525</v>
      </c>
      <c r="E252" s="8">
        <f>Population!K249</f>
        <v>-68860.03521126759</v>
      </c>
      <c r="F252" s="171">
        <f>Solidarité!I246</f>
        <v>-298391.72855784622</v>
      </c>
      <c r="G252" s="8"/>
      <c r="H252" s="171">
        <f>Effort!K246+Aide!I246+Taux!K246</f>
        <v>0</v>
      </c>
      <c r="I252" s="234">
        <f t="shared" si="10"/>
        <v>-367251.76376911381</v>
      </c>
      <c r="J252" s="294">
        <f t="shared" si="11"/>
        <v>244898.74769269061</v>
      </c>
      <c r="K252" s="389">
        <f t="shared" si="12"/>
        <v>-122353.0160764232</v>
      </c>
    </row>
    <row r="253" spans="1:11" x14ac:dyDescent="0.25">
      <c r="A253" s="38">
        <f>Données!A247</f>
        <v>5831</v>
      </c>
      <c r="B253" s="27" t="str">
        <f>Données!B247</f>
        <v>Valbroye</v>
      </c>
      <c r="C253" s="26">
        <f>Ecrêtage!C247</f>
        <v>90997.957399527193</v>
      </c>
      <c r="D253" s="12">
        <f>Données!Z247</f>
        <v>3406</v>
      </c>
      <c r="E253" s="8">
        <f>Population!K250</f>
        <v>-1078676.0563380281</v>
      </c>
      <c r="F253" s="171">
        <f>Solidarité!I247</f>
        <v>-1537685.3291820989</v>
      </c>
      <c r="G253" s="8"/>
      <c r="H253" s="171">
        <f>Effort!K247+Aide!I247+Taux!K247</f>
        <v>0</v>
      </c>
      <c r="I253" s="234">
        <f t="shared" si="10"/>
        <v>-2616361.3855201267</v>
      </c>
      <c r="J253" s="294">
        <f t="shared" si="11"/>
        <v>1756905.7593701847</v>
      </c>
      <c r="K253" s="389">
        <f t="shared" si="12"/>
        <v>-859455.62614994193</v>
      </c>
    </row>
    <row r="254" spans="1:11" x14ac:dyDescent="0.25">
      <c r="A254" s="38">
        <f>Données!A248</f>
        <v>5841</v>
      </c>
      <c r="B254" s="27" t="str">
        <f>Données!B248</f>
        <v>Château-d'Oex</v>
      </c>
      <c r="C254" s="26">
        <f>Ecrêtage!C248</f>
        <v>131854.94253578733</v>
      </c>
      <c r="D254" s="12">
        <f>Données!Z248</f>
        <v>3625</v>
      </c>
      <c r="E254" s="8">
        <f>Population!K251</f>
        <v>-1193573.9436619715</v>
      </c>
      <c r="F254" s="171">
        <f>Solidarité!I248</f>
        <v>-1258415.5863466284</v>
      </c>
      <c r="G254" s="8"/>
      <c r="H254" s="171">
        <f>Effort!K248+Aide!I248+Taux!K248</f>
        <v>0</v>
      </c>
      <c r="I254" s="234">
        <f t="shared" si="10"/>
        <v>-2451989.5300086001</v>
      </c>
      <c r="J254" s="294">
        <f t="shared" si="11"/>
        <v>2545735.2512371135</v>
      </c>
      <c r="K254" s="389">
        <f t="shared" si="12"/>
        <v>93745.721228513401</v>
      </c>
    </row>
    <row r="255" spans="1:11" x14ac:dyDescent="0.25">
      <c r="A255" s="38">
        <f>Données!A249</f>
        <v>5842</v>
      </c>
      <c r="B255" s="27" t="str">
        <f>Données!B249</f>
        <v>Rossinière</v>
      </c>
      <c r="C255" s="26">
        <f>Ecrêtage!C249</f>
        <v>19719.391028806585</v>
      </c>
      <c r="D255" s="12">
        <f>Données!Z249</f>
        <v>529</v>
      </c>
      <c r="E255" s="8">
        <f>Population!K252</f>
        <v>-69384.683098591529</v>
      </c>
      <c r="F255" s="171">
        <f>Solidarité!I249</f>
        <v>-168878.52149192477</v>
      </c>
      <c r="G255" s="8"/>
      <c r="H255" s="171">
        <f>Effort!K249+Aide!I249+Taux!K249</f>
        <v>0</v>
      </c>
      <c r="I255" s="234">
        <f t="shared" si="10"/>
        <v>-238263.20459051628</v>
      </c>
      <c r="J255" s="294">
        <f t="shared" si="11"/>
        <v>380724.05864753015</v>
      </c>
      <c r="K255" s="389">
        <f t="shared" si="12"/>
        <v>142460.85405701387</v>
      </c>
    </row>
    <row r="256" spans="1:11" x14ac:dyDescent="0.25">
      <c r="A256" s="38">
        <f>Données!A250</f>
        <v>5843</v>
      </c>
      <c r="B256" s="27" t="str">
        <f>Données!B250</f>
        <v>Rougemont</v>
      </c>
      <c r="C256" s="26">
        <f>Ecrêtage!C250</f>
        <v>88722.552616033761</v>
      </c>
      <c r="D256" s="12">
        <f>Données!Z250</f>
        <v>796</v>
      </c>
      <c r="E256" s="8">
        <f>Population!K253</f>
        <v>-104404.92957746478</v>
      </c>
      <c r="F256" s="171">
        <f>Solidarité!I250</f>
        <v>0</v>
      </c>
      <c r="G256" s="8"/>
      <c r="H256" s="171">
        <f>Effort!K250+Aide!I250+Taux!K250</f>
        <v>0</v>
      </c>
      <c r="I256" s="234">
        <f t="shared" si="10"/>
        <v>-104404.92957746478</v>
      </c>
      <c r="J256" s="294">
        <f t="shared" si="11"/>
        <v>1712974.3142777826</v>
      </c>
      <c r="K256" s="389">
        <f t="shared" si="12"/>
        <v>1608569.3847003179</v>
      </c>
    </row>
    <row r="257" spans="1:11" x14ac:dyDescent="0.25">
      <c r="A257" s="38">
        <f>Données!A251</f>
        <v>5851</v>
      </c>
      <c r="B257" s="27" t="str">
        <f>Données!B251</f>
        <v>Allaman</v>
      </c>
      <c r="C257" s="26">
        <f>Ecrêtage!C251</f>
        <v>22070.113025641029</v>
      </c>
      <c r="D257" s="12">
        <f>Données!Z251</f>
        <v>431</v>
      </c>
      <c r="E257" s="8">
        <f>Population!K254</f>
        <v>-56530.809859154921</v>
      </c>
      <c r="F257" s="171">
        <f>Solidarité!I251</f>
        <v>0</v>
      </c>
      <c r="G257" s="8"/>
      <c r="H257" s="171">
        <f>Effort!K251+Aide!I251+Taux!K251</f>
        <v>0</v>
      </c>
      <c r="I257" s="234">
        <f t="shared" si="10"/>
        <v>-56530.809859154921</v>
      </c>
      <c r="J257" s="294">
        <f t="shared" si="11"/>
        <v>426109.65996145672</v>
      </c>
      <c r="K257" s="389">
        <f t="shared" si="12"/>
        <v>369578.8501023018</v>
      </c>
    </row>
    <row r="258" spans="1:11" x14ac:dyDescent="0.25">
      <c r="A258" s="38">
        <f>Données!A252</f>
        <v>5852</v>
      </c>
      <c r="B258" s="27" t="str">
        <f>Données!B252</f>
        <v>Bursinel</v>
      </c>
      <c r="C258" s="26">
        <f>Ecrêtage!C252</f>
        <v>36549.131935483871</v>
      </c>
      <c r="D258" s="12">
        <f>Données!Z252</f>
        <v>521</v>
      </c>
      <c r="E258" s="8">
        <f>Population!K255</f>
        <v>-68335.387323943651</v>
      </c>
      <c r="F258" s="171">
        <f>Solidarité!I252</f>
        <v>0</v>
      </c>
      <c r="G258" s="8"/>
      <c r="H258" s="171">
        <f>Effort!K252+Aide!I252+Taux!K252</f>
        <v>0</v>
      </c>
      <c r="I258" s="234">
        <f t="shared" si="10"/>
        <v>-68335.387323943651</v>
      </c>
      <c r="J258" s="294">
        <f t="shared" si="11"/>
        <v>705657.38212675531</v>
      </c>
      <c r="K258" s="389">
        <f t="shared" si="12"/>
        <v>637321.99480281165</v>
      </c>
    </row>
    <row r="259" spans="1:11" x14ac:dyDescent="0.25">
      <c r="A259" s="38">
        <f>Données!A253</f>
        <v>5853</v>
      </c>
      <c r="B259" s="27" t="str">
        <f>Données!B253</f>
        <v>Bursins</v>
      </c>
      <c r="C259" s="26">
        <f>Ecrêtage!C253</f>
        <v>43710.813239436618</v>
      </c>
      <c r="D259" s="12">
        <f>Données!Z253</f>
        <v>796</v>
      </c>
      <c r="E259" s="8">
        <f>Population!K256</f>
        <v>-104404.92957746478</v>
      </c>
      <c r="F259" s="171">
        <f>Solidarité!I253</f>
        <v>0</v>
      </c>
      <c r="G259" s="8"/>
      <c r="H259" s="171">
        <f>Effort!K253+Aide!I253+Taux!K253</f>
        <v>0</v>
      </c>
      <c r="I259" s="234">
        <f t="shared" si="10"/>
        <v>-104404.92957746478</v>
      </c>
      <c r="J259" s="294">
        <f t="shared" si="11"/>
        <v>843928.60808895179</v>
      </c>
      <c r="K259" s="389">
        <f t="shared" si="12"/>
        <v>739523.67851148697</v>
      </c>
    </row>
    <row r="260" spans="1:11" x14ac:dyDescent="0.25">
      <c r="A260" s="38">
        <f>Données!A254</f>
        <v>5854</v>
      </c>
      <c r="B260" s="27" t="str">
        <f>Données!B254</f>
        <v>Burtigny</v>
      </c>
      <c r="C260" s="26">
        <f>Ecrêtage!C254</f>
        <v>16984.704925690025</v>
      </c>
      <c r="D260" s="12">
        <f>Données!Z254</f>
        <v>412</v>
      </c>
      <c r="E260" s="8">
        <f>Population!K257</f>
        <v>-54038.73239436619</v>
      </c>
      <c r="F260" s="171">
        <f>Solidarité!I254</f>
        <v>-83497.390402368852</v>
      </c>
      <c r="G260" s="8"/>
      <c r="H260" s="171">
        <f>Effort!K254+Aide!I254+Taux!K254</f>
        <v>0</v>
      </c>
      <c r="I260" s="234">
        <f t="shared" si="10"/>
        <v>-137536.12279673503</v>
      </c>
      <c r="J260" s="294">
        <f t="shared" si="11"/>
        <v>327925.22775135387</v>
      </c>
      <c r="K260" s="389">
        <f t="shared" si="12"/>
        <v>190389.10495461884</v>
      </c>
    </row>
    <row r="261" spans="1:11" x14ac:dyDescent="0.25">
      <c r="A261" s="38">
        <f>Données!A255</f>
        <v>5855</v>
      </c>
      <c r="B261" s="27" t="str">
        <f>Données!B255</f>
        <v>Dully</v>
      </c>
      <c r="C261" s="26">
        <f>Ecrêtage!C255</f>
        <v>80639.677735849051</v>
      </c>
      <c r="D261" s="12">
        <f>Données!Z255</f>
        <v>632</v>
      </c>
      <c r="E261" s="8">
        <f>Population!K258</f>
        <v>-82894.366197183088</v>
      </c>
      <c r="F261" s="171">
        <f>Solidarité!I255</f>
        <v>0</v>
      </c>
      <c r="G261" s="8"/>
      <c r="H261" s="171">
        <f>Effort!K255+Aide!I255+Taux!K255</f>
        <v>0</v>
      </c>
      <c r="I261" s="234">
        <f t="shared" si="10"/>
        <v>-82894.366197183088</v>
      </c>
      <c r="J261" s="294">
        <f t="shared" si="11"/>
        <v>1556917.5209706957</v>
      </c>
      <c r="K261" s="389">
        <f t="shared" si="12"/>
        <v>1474023.1547735126</v>
      </c>
    </row>
    <row r="262" spans="1:11" x14ac:dyDescent="0.25">
      <c r="A262" s="38">
        <f>Données!A256</f>
        <v>5856</v>
      </c>
      <c r="B262" s="27" t="str">
        <f>Données!B256</f>
        <v>Essertines-sur-Rolle</v>
      </c>
      <c r="C262" s="26">
        <f>Ecrêtage!C256</f>
        <v>40086.564661654142</v>
      </c>
      <c r="D262" s="12">
        <f>Données!Z256</f>
        <v>768</v>
      </c>
      <c r="E262" s="8">
        <f>Population!K259</f>
        <v>-100732.39436619717</v>
      </c>
      <c r="F262" s="171">
        <f>Solidarité!I256</f>
        <v>0</v>
      </c>
      <c r="G262" s="8"/>
      <c r="H262" s="171">
        <f>Effort!K256+Aide!I256+Taux!K256</f>
        <v>0</v>
      </c>
      <c r="I262" s="234">
        <f t="shared" si="10"/>
        <v>-100732.39436619717</v>
      </c>
      <c r="J262" s="294">
        <f t="shared" si="11"/>
        <v>773954.91437471996</v>
      </c>
      <c r="K262" s="389">
        <f t="shared" si="12"/>
        <v>673222.52000852278</v>
      </c>
    </row>
    <row r="263" spans="1:11" x14ac:dyDescent="0.25">
      <c r="A263" s="38">
        <f>Données!A257</f>
        <v>5857</v>
      </c>
      <c r="B263" s="27" t="str">
        <f>Données!B257</f>
        <v>Gilly</v>
      </c>
      <c r="C263" s="26">
        <f>Ecrêtage!C257</f>
        <v>92966.463565891449</v>
      </c>
      <c r="D263" s="12">
        <f>Données!Z257</f>
        <v>1475</v>
      </c>
      <c r="E263" s="8">
        <f>Population!K260</f>
        <v>-305607.39436619717</v>
      </c>
      <c r="F263" s="171">
        <f>Solidarité!I257</f>
        <v>0</v>
      </c>
      <c r="G263" s="8"/>
      <c r="H263" s="171">
        <f>Effort!K257+Aide!I257+Taux!K257</f>
        <v>0</v>
      </c>
      <c r="I263" s="234">
        <f t="shared" si="10"/>
        <v>-305607.39436619717</v>
      </c>
      <c r="J263" s="294">
        <f t="shared" si="11"/>
        <v>1794911.8852204233</v>
      </c>
      <c r="K263" s="389">
        <f t="shared" si="12"/>
        <v>1489304.4908542261</v>
      </c>
    </row>
    <row r="264" spans="1:11" x14ac:dyDescent="0.25">
      <c r="A264" s="38">
        <f>Données!A258</f>
        <v>5858</v>
      </c>
      <c r="B264" s="27" t="str">
        <f>Données!B258</f>
        <v>Luins</v>
      </c>
      <c r="C264" s="26">
        <f>Ecrêtage!C258</f>
        <v>34472.230883190881</v>
      </c>
      <c r="D264" s="12">
        <f>Données!Z258</f>
        <v>629</v>
      </c>
      <c r="E264" s="8">
        <f>Population!K261</f>
        <v>-82500.88028169013</v>
      </c>
      <c r="F264" s="171">
        <f>Solidarité!I258</f>
        <v>0</v>
      </c>
      <c r="G264" s="8"/>
      <c r="H264" s="171">
        <f>Effort!K258+Aide!I258+Taux!K258</f>
        <v>0</v>
      </c>
      <c r="I264" s="234">
        <f t="shared" si="10"/>
        <v>-82500.88028169013</v>
      </c>
      <c r="J264" s="294">
        <f t="shared" si="11"/>
        <v>665558.46645115456</v>
      </c>
      <c r="K264" s="389">
        <f t="shared" si="12"/>
        <v>583057.5861694644</v>
      </c>
    </row>
    <row r="265" spans="1:11" x14ac:dyDescent="0.25">
      <c r="A265" s="38">
        <f>Données!A259</f>
        <v>5859</v>
      </c>
      <c r="B265" s="27" t="str">
        <f>Données!B259</f>
        <v>Mont-sur-Rolle</v>
      </c>
      <c r="C265" s="26">
        <f>Ecrêtage!C259</f>
        <v>184009.52141732289</v>
      </c>
      <c r="D265" s="12">
        <f>Données!Z259</f>
        <v>2784</v>
      </c>
      <c r="E265" s="8">
        <f>Population!K262</f>
        <v>-786342.25352112658</v>
      </c>
      <c r="F265" s="171">
        <f>Solidarité!I259</f>
        <v>0</v>
      </c>
      <c r="G265" s="8"/>
      <c r="H265" s="171">
        <f>Effort!K259+Aide!I259+Taux!K259</f>
        <v>0</v>
      </c>
      <c r="I265" s="234">
        <f t="shared" si="10"/>
        <v>-786342.25352112658</v>
      </c>
      <c r="J265" s="294">
        <f t="shared" si="11"/>
        <v>3552688.4030775581</v>
      </c>
      <c r="K265" s="389">
        <f t="shared" si="12"/>
        <v>2766346.1495564315</v>
      </c>
    </row>
    <row r="266" spans="1:11" x14ac:dyDescent="0.25">
      <c r="A266" s="38">
        <f>Données!A260</f>
        <v>5860</v>
      </c>
      <c r="B266" s="27" t="str">
        <f>Données!B260</f>
        <v>Perroy</v>
      </c>
      <c r="C266" s="26">
        <f>Ecrêtage!C260</f>
        <v>115014.47146614069</v>
      </c>
      <c r="D266" s="12">
        <f>Données!Z260</f>
        <v>1600</v>
      </c>
      <c r="E266" s="8">
        <f>Population!K263</f>
        <v>-351514.08450704219</v>
      </c>
      <c r="F266" s="171">
        <f>Solidarité!I260</f>
        <v>0</v>
      </c>
      <c r="G266" s="8"/>
      <c r="H266" s="171">
        <f>Effort!K260+Aide!I260+Taux!K260</f>
        <v>0</v>
      </c>
      <c r="I266" s="234">
        <f t="shared" si="10"/>
        <v>-351514.08450704219</v>
      </c>
      <c r="J266" s="294">
        <f t="shared" si="11"/>
        <v>2220594.7595350118</v>
      </c>
      <c r="K266" s="389">
        <f t="shared" si="12"/>
        <v>1869080.6750279698</v>
      </c>
    </row>
    <row r="267" spans="1:11" x14ac:dyDescent="0.25">
      <c r="A267" s="38">
        <f>Données!A261</f>
        <v>5861</v>
      </c>
      <c r="B267" s="27" t="str">
        <f>Données!B261</f>
        <v>Rolle</v>
      </c>
      <c r="C267" s="26">
        <f>Ecrêtage!C261</f>
        <v>1018783.8085714284</v>
      </c>
      <c r="D267" s="12">
        <f>Données!Z261</f>
        <v>6453</v>
      </c>
      <c r="E267" s="8">
        <f>Population!K264</f>
        <v>-2829740.8450704222</v>
      </c>
      <c r="F267" s="171">
        <f>Solidarité!I261</f>
        <v>0</v>
      </c>
      <c r="G267" s="8"/>
      <c r="H267" s="171">
        <f>Effort!K261+Aide!I261+Taux!K261</f>
        <v>0</v>
      </c>
      <c r="I267" s="234">
        <f t="shared" si="10"/>
        <v>-2829740.8450704222</v>
      </c>
      <c r="J267" s="294">
        <f t="shared" si="11"/>
        <v>19669750.750268318</v>
      </c>
      <c r="K267" s="389">
        <f t="shared" si="12"/>
        <v>16840009.905197896</v>
      </c>
    </row>
    <row r="268" spans="1:11" x14ac:dyDescent="0.25">
      <c r="A268" s="38">
        <f>Données!A262</f>
        <v>5862</v>
      </c>
      <c r="B268" s="27" t="str">
        <f>Données!B262</f>
        <v>Tartegnin</v>
      </c>
      <c r="C268" s="26">
        <f>Ecrêtage!C262</f>
        <v>11391.445316455696</v>
      </c>
      <c r="D268" s="12">
        <f>Données!Z262</f>
        <v>250</v>
      </c>
      <c r="E268" s="8">
        <f>Population!K265</f>
        <v>-32790.492957746472</v>
      </c>
      <c r="F268" s="171">
        <f>Solidarité!I262</f>
        <v>-24263.217131476515</v>
      </c>
      <c r="G268" s="8"/>
      <c r="H268" s="171">
        <f>Effort!K262+Aide!I262+Taux!K262</f>
        <v>0</v>
      </c>
      <c r="I268" s="234">
        <f t="shared" si="10"/>
        <v>-57053.710089222986</v>
      </c>
      <c r="J268" s="294">
        <f t="shared" si="11"/>
        <v>219935.66071116578</v>
      </c>
      <c r="K268" s="389">
        <f t="shared" si="12"/>
        <v>162881.95062194279</v>
      </c>
    </row>
    <row r="269" spans="1:11" x14ac:dyDescent="0.25">
      <c r="A269" s="38">
        <f>Données!A263</f>
        <v>5863</v>
      </c>
      <c r="B269" s="27" t="str">
        <f>Données!B263</f>
        <v>Vinzel</v>
      </c>
      <c r="C269" s="26">
        <f>Ecrêtage!C263</f>
        <v>22595.272461538461</v>
      </c>
      <c r="D269" s="12">
        <f>Données!Z263</f>
        <v>381</v>
      </c>
      <c r="E269" s="8">
        <f>Population!K266</f>
        <v>-49972.711267605628</v>
      </c>
      <c r="F269" s="171">
        <f>Solidarité!I263</f>
        <v>0</v>
      </c>
      <c r="G269" s="8"/>
      <c r="H269" s="171">
        <f>Effort!K263+Aide!I263+Taux!K263</f>
        <v>0</v>
      </c>
      <c r="I269" s="234">
        <f t="shared" ref="I269:I311" si="13">SUM(E269:H269)</f>
        <v>-49972.711267605628</v>
      </c>
      <c r="J269" s="294">
        <f t="shared" ref="J269:J311" si="14">C269*$J$11</f>
        <v>436248.96048954298</v>
      </c>
      <c r="K269" s="389">
        <f t="shared" ref="K269:K311" si="15">I269+J269</f>
        <v>386276.24922193738</v>
      </c>
    </row>
    <row r="270" spans="1:11" x14ac:dyDescent="0.25">
      <c r="A270" s="38">
        <f>Données!A264</f>
        <v>5871</v>
      </c>
      <c r="B270" s="27" t="str">
        <f>Données!B264</f>
        <v>L'Abbaye</v>
      </c>
      <c r="C270" s="26">
        <f>Ecrêtage!C264</f>
        <v>50382.809788942126</v>
      </c>
      <c r="D270" s="12">
        <f>Données!Z264</f>
        <v>1534</v>
      </c>
      <c r="E270" s="8">
        <f>Population!K267</f>
        <v>-327275.35211267602</v>
      </c>
      <c r="F270" s="171">
        <f>Solidarité!I264</f>
        <v>-607174.14283747016</v>
      </c>
      <c r="G270" s="8"/>
      <c r="H270" s="171">
        <f>Effort!K264+Aide!I264+Taux!K264</f>
        <v>0</v>
      </c>
      <c r="I270" s="234">
        <f t="shared" si="13"/>
        <v>-934449.49495014618</v>
      </c>
      <c r="J270" s="294">
        <f t="shared" si="14"/>
        <v>972745.4463928974</v>
      </c>
      <c r="K270" s="389">
        <f t="shared" si="15"/>
        <v>38295.951442751219</v>
      </c>
    </row>
    <row r="271" spans="1:11" x14ac:dyDescent="0.25">
      <c r="A271" s="38">
        <f>Données!A265</f>
        <v>5872</v>
      </c>
      <c r="B271" s="27" t="str">
        <f>Données!B265</f>
        <v>Le Chenit</v>
      </c>
      <c r="C271" s="26">
        <f>Ecrêtage!C265</f>
        <v>317388.40065632458</v>
      </c>
      <c r="D271" s="12">
        <f>Données!Z265</f>
        <v>4712</v>
      </c>
      <c r="E271" s="8">
        <f>Population!K268</f>
        <v>-1763866.1971830982</v>
      </c>
      <c r="F271" s="171">
        <f>Solidarité!I265</f>
        <v>0</v>
      </c>
      <c r="G271" s="8"/>
      <c r="H271" s="171">
        <f>Effort!K265+Aide!I265+Taux!K265</f>
        <v>0</v>
      </c>
      <c r="I271" s="234">
        <f t="shared" si="13"/>
        <v>-1763866.1971830982</v>
      </c>
      <c r="J271" s="294">
        <f t="shared" si="14"/>
        <v>6127846.4374991087</v>
      </c>
      <c r="K271" s="389">
        <f t="shared" si="15"/>
        <v>4363980.240316011</v>
      </c>
    </row>
    <row r="272" spans="1:11" x14ac:dyDescent="0.25">
      <c r="A272" s="38">
        <f>Données!A266</f>
        <v>5873</v>
      </c>
      <c r="B272" s="27" t="str">
        <f>Données!B266</f>
        <v>Le Lieu</v>
      </c>
      <c r="C272" s="26">
        <f>Ecrêtage!C266</f>
        <v>32064.674107142859</v>
      </c>
      <c r="D272" s="12">
        <f>Données!Z266</f>
        <v>910</v>
      </c>
      <c r="E272" s="8">
        <f>Population!K269</f>
        <v>-119357.39436619716</v>
      </c>
      <c r="F272" s="171">
        <f>Solidarité!I266</f>
        <v>-253308.89223219958</v>
      </c>
      <c r="G272" s="8"/>
      <c r="H272" s="171">
        <f>Effort!K266+Aide!I266+Taux!K266</f>
        <v>0</v>
      </c>
      <c r="I272" s="234">
        <f t="shared" si="13"/>
        <v>-372666.28659839672</v>
      </c>
      <c r="J272" s="294">
        <f t="shared" si="14"/>
        <v>619075.55093604804</v>
      </c>
      <c r="K272" s="389">
        <f t="shared" si="15"/>
        <v>246409.26433765132</v>
      </c>
    </row>
    <row r="273" spans="1:11" x14ac:dyDescent="0.25">
      <c r="A273" s="38">
        <f>Données!A267</f>
        <v>5882</v>
      </c>
      <c r="B273" s="27" t="str">
        <f>Données!B267</f>
        <v>Chardonne</v>
      </c>
      <c r="C273" s="26">
        <f>Ecrêtage!C267</f>
        <v>191105.75352941177</v>
      </c>
      <c r="D273" s="12">
        <f>Données!Z267</f>
        <v>3243</v>
      </c>
      <c r="E273" s="8">
        <f>Population!K270</f>
        <v>-993158.45070422522</v>
      </c>
      <c r="F273" s="171">
        <f>Solidarité!I267</f>
        <v>0</v>
      </c>
      <c r="G273" s="8"/>
      <c r="H273" s="171">
        <f>Effort!K267+Aide!I267+Taux!K267</f>
        <v>0</v>
      </c>
      <c r="I273" s="234">
        <f t="shared" si="13"/>
        <v>-993158.45070422522</v>
      </c>
      <c r="J273" s="294">
        <f t="shared" si="14"/>
        <v>3689695.9955976666</v>
      </c>
      <c r="K273" s="389">
        <f t="shared" si="15"/>
        <v>2696537.5448934413</v>
      </c>
    </row>
    <row r="274" spans="1:11" x14ac:dyDescent="0.25">
      <c r="A274" s="38">
        <f>Données!A268</f>
        <v>5883</v>
      </c>
      <c r="B274" s="27" t="str">
        <f>Données!B268</f>
        <v>Corseaux</v>
      </c>
      <c r="C274" s="26">
        <f>Ecrêtage!C268</f>
        <v>170880.8057777778</v>
      </c>
      <c r="D274" s="12">
        <f>Données!Z268</f>
        <v>2339</v>
      </c>
      <c r="E274" s="8">
        <f>Population!K271</f>
        <v>-622914.43661971821</v>
      </c>
      <c r="F274" s="171">
        <f>Solidarité!I268</f>
        <v>0</v>
      </c>
      <c r="G274" s="8"/>
      <c r="H274" s="171">
        <f>Effort!K268+Aide!I268+Taux!K268</f>
        <v>0</v>
      </c>
      <c r="I274" s="234">
        <f t="shared" si="13"/>
        <v>-622914.43661971821</v>
      </c>
      <c r="J274" s="294">
        <f t="shared" si="14"/>
        <v>3299211.1077688392</v>
      </c>
      <c r="K274" s="389">
        <f t="shared" si="15"/>
        <v>2676296.6711491211</v>
      </c>
    </row>
    <row r="275" spans="1:11" x14ac:dyDescent="0.25">
      <c r="A275" s="38">
        <f>Données!A269</f>
        <v>5884</v>
      </c>
      <c r="B275" s="27" t="str">
        <f>Données!B269</f>
        <v>Corsier-sur-Vevey</v>
      </c>
      <c r="C275" s="26">
        <f>Ecrêtage!C269</f>
        <v>147926.61447028426</v>
      </c>
      <c r="D275" s="12">
        <f>Données!Z269</f>
        <v>3429</v>
      </c>
      <c r="E275" s="8">
        <f>Population!K272</f>
        <v>-1090742.9577464787</v>
      </c>
      <c r="F275" s="171">
        <f>Solidarité!I269</f>
        <v>-360060.57585422113</v>
      </c>
      <c r="G275" s="8"/>
      <c r="H275" s="171">
        <f>Effort!K269+Aide!I269+Taux!K269</f>
        <v>0</v>
      </c>
      <c r="I275" s="234">
        <f t="shared" si="13"/>
        <v>-1450803.5336006999</v>
      </c>
      <c r="J275" s="294">
        <f t="shared" si="14"/>
        <v>2856032.468793917</v>
      </c>
      <c r="K275" s="389">
        <f t="shared" si="15"/>
        <v>1405228.9351932171</v>
      </c>
    </row>
    <row r="276" spans="1:11" x14ac:dyDescent="0.25">
      <c r="A276" s="38">
        <f>Données!A270</f>
        <v>5885</v>
      </c>
      <c r="B276" s="27" t="str">
        <f>Données!B270</f>
        <v>Jongny</v>
      </c>
      <c r="C276" s="26">
        <f>Ecrêtage!C270</f>
        <v>97976.001630695435</v>
      </c>
      <c r="D276" s="12">
        <f>Données!Z270</f>
        <v>1918</v>
      </c>
      <c r="E276" s="8">
        <f>Population!K273</f>
        <v>-468300.70422535203</v>
      </c>
      <c r="F276" s="171">
        <f>Solidarité!I270</f>
        <v>0</v>
      </c>
      <c r="G276" s="8"/>
      <c r="H276" s="171">
        <f>Effort!K270+Aide!I270+Taux!K270</f>
        <v>0</v>
      </c>
      <c r="I276" s="234">
        <f t="shared" si="13"/>
        <v>-468300.70422535203</v>
      </c>
      <c r="J276" s="294">
        <f t="shared" si="14"/>
        <v>1891631.4878286025</v>
      </c>
      <c r="K276" s="389">
        <f t="shared" si="15"/>
        <v>1423330.7836032505</v>
      </c>
    </row>
    <row r="277" spans="1:11" x14ac:dyDescent="0.25">
      <c r="A277" s="38">
        <f>Données!A271</f>
        <v>5886</v>
      </c>
      <c r="B277" s="27" t="str">
        <f>Données!B271</f>
        <v>Montreux</v>
      </c>
      <c r="C277" s="26">
        <f>Ecrêtage!C271</f>
        <v>1169621.0326666667</v>
      </c>
      <c r="D277" s="12">
        <f>Données!Z271</f>
        <v>26837</v>
      </c>
      <c r="E277" s="8">
        <f>Population!K274</f>
        <v>-23298405.985915489</v>
      </c>
      <c r="F277" s="171">
        <f>Solidarité!I271</f>
        <v>-2661456.824328742</v>
      </c>
      <c r="G277" s="8"/>
      <c r="H277" s="171">
        <f>Effort!K271+Aide!I271+Taux!K271</f>
        <v>0</v>
      </c>
      <c r="I277" s="234">
        <f t="shared" si="13"/>
        <v>-25959862.810244232</v>
      </c>
      <c r="J277" s="294">
        <f t="shared" si="14"/>
        <v>22581978.621239323</v>
      </c>
      <c r="K277" s="389">
        <f t="shared" si="15"/>
        <v>-3377884.1890049092</v>
      </c>
    </row>
    <row r="278" spans="1:11" x14ac:dyDescent="0.25">
      <c r="A278" s="38">
        <f>Données!A272</f>
        <v>5889</v>
      </c>
      <c r="B278" s="27" t="str">
        <f>Données!B272</f>
        <v>La Tour-de-Peilz</v>
      </c>
      <c r="C278" s="26">
        <f>Ecrêtage!C272</f>
        <v>779203.88627604162</v>
      </c>
      <c r="D278" s="12">
        <f>Données!Z272</f>
        <v>12605</v>
      </c>
      <c r="E278" s="8">
        <f>Population!K275</f>
        <v>-7743802.8169014072</v>
      </c>
      <c r="F278" s="171">
        <f>Solidarité!I272</f>
        <v>0</v>
      </c>
      <c r="G278" s="8"/>
      <c r="H278" s="171">
        <f>Effort!K272+Aide!I272+Taux!K272</f>
        <v>0</v>
      </c>
      <c r="I278" s="234">
        <f t="shared" si="13"/>
        <v>-7743802.8169014072</v>
      </c>
      <c r="J278" s="294">
        <f t="shared" si="14"/>
        <v>15044159.612412585</v>
      </c>
      <c r="K278" s="389">
        <f t="shared" si="15"/>
        <v>7300356.7955111777</v>
      </c>
    </row>
    <row r="279" spans="1:11" x14ac:dyDescent="0.25">
      <c r="A279" s="38">
        <f>Données!A273</f>
        <v>5890</v>
      </c>
      <c r="B279" s="27" t="str">
        <f>Données!B273</f>
        <v>Vevey</v>
      </c>
      <c r="C279" s="26">
        <f>Ecrêtage!C273</f>
        <v>1034326.0486800894</v>
      </c>
      <c r="D279" s="12">
        <f>Données!Z273</f>
        <v>20155</v>
      </c>
      <c r="E279" s="8">
        <f>Population!K276</f>
        <v>-15936441.901408449</v>
      </c>
      <c r="F279" s="171">
        <f>Solidarité!I273</f>
        <v>0</v>
      </c>
      <c r="G279" s="8"/>
      <c r="H279" s="171">
        <f>Effort!K273+Aide!I273+Taux!K273</f>
        <v>0</v>
      </c>
      <c r="I279" s="234">
        <f t="shared" si="13"/>
        <v>-15936441.901408449</v>
      </c>
      <c r="J279" s="294">
        <f t="shared" si="14"/>
        <v>19969826.179879691</v>
      </c>
      <c r="K279" s="389">
        <f t="shared" si="15"/>
        <v>4033384.2784712426</v>
      </c>
    </row>
    <row r="280" spans="1:11" x14ac:dyDescent="0.25">
      <c r="A280" s="38">
        <f>Données!A274</f>
        <v>5891</v>
      </c>
      <c r="B280" s="27" t="str">
        <f>Données!B274</f>
        <v>Veytaux</v>
      </c>
      <c r="C280" s="26">
        <f>Ecrêtage!C274</f>
        <v>45647.230320987655</v>
      </c>
      <c r="D280" s="12">
        <f>Données!Z274</f>
        <v>997</v>
      </c>
      <c r="E280" s="8">
        <f>Population!K277</f>
        <v>-130768.48591549293</v>
      </c>
      <c r="F280" s="171">
        <f>Solidarité!I274</f>
        <v>-66671.247583236967</v>
      </c>
      <c r="G280" s="8"/>
      <c r="H280" s="171">
        <f>Effort!K274+Aide!I274+Taux!K274</f>
        <v>0</v>
      </c>
      <c r="I280" s="234">
        <f t="shared" si="13"/>
        <v>-197439.73349872988</v>
      </c>
      <c r="J280" s="294">
        <f t="shared" si="14"/>
        <v>881315.18708855356</v>
      </c>
      <c r="K280" s="389">
        <f t="shared" si="15"/>
        <v>683875.45358982368</v>
      </c>
    </row>
    <row r="281" spans="1:11" x14ac:dyDescent="0.25">
      <c r="A281" s="38">
        <f>Données!A275</f>
        <v>5892</v>
      </c>
      <c r="B281" s="27" t="str">
        <f>Données!B275</f>
        <v>Blonay - Saint-Légier</v>
      </c>
      <c r="C281" s="26">
        <f>Ecrêtage!C275</f>
        <v>720090.13459854003</v>
      </c>
      <c r="D281" s="12">
        <f>Données!Z275</f>
        <v>12340</v>
      </c>
      <c r="E281" s="8">
        <f>Population!K278</f>
        <v>-7465739.4366197167</v>
      </c>
      <c r="F281" s="171">
        <f>Solidarité!I275</f>
        <v>0</v>
      </c>
      <c r="G281" s="8"/>
      <c r="H281" s="171">
        <f>Effort!K275+Aide!I275+Taux!K275</f>
        <v>0</v>
      </c>
      <c r="I281" s="234">
        <f t="shared" si="13"/>
        <v>-7465739.4366197167</v>
      </c>
      <c r="J281" s="294">
        <f t="shared" si="14"/>
        <v>13902845.084612854</v>
      </c>
      <c r="K281" s="389">
        <f t="shared" si="15"/>
        <v>6437105.6479931371</v>
      </c>
    </row>
    <row r="282" spans="1:11" x14ac:dyDescent="0.25">
      <c r="A282" s="38">
        <f>Données!A276</f>
        <v>5902</v>
      </c>
      <c r="B282" s="27" t="str">
        <f>Données!B276</f>
        <v>Belmont-sur-Yverdon</v>
      </c>
      <c r="C282" s="26">
        <f>Ecrêtage!C276</f>
        <v>13428.751285714286</v>
      </c>
      <c r="D282" s="12">
        <f>Données!Z276</f>
        <v>443</v>
      </c>
      <c r="E282" s="8">
        <f>Population!K279</f>
        <v>-58104.753521126753</v>
      </c>
      <c r="F282" s="171">
        <f>Solidarité!I276</f>
        <v>-165992.87111850103</v>
      </c>
      <c r="G282" s="8"/>
      <c r="H282" s="171">
        <f>Effort!K276+Aide!I276+Taux!K276</f>
        <v>0</v>
      </c>
      <c r="I282" s="234">
        <f t="shared" si="13"/>
        <v>-224097.62463962779</v>
      </c>
      <c r="J282" s="294">
        <f t="shared" si="14"/>
        <v>259270.11055243519</v>
      </c>
      <c r="K282" s="389">
        <f t="shared" si="15"/>
        <v>35172.485912807402</v>
      </c>
    </row>
    <row r="283" spans="1:11" x14ac:dyDescent="0.25">
      <c r="A283" s="38">
        <f>Données!A277</f>
        <v>5903</v>
      </c>
      <c r="B283" s="27" t="str">
        <f>Données!B277</f>
        <v>Bioley-Magnoux</v>
      </c>
      <c r="C283" s="26">
        <f>Ecrêtage!C277</f>
        <v>6278.7138690476195</v>
      </c>
      <c r="D283" s="12">
        <f>Données!Z277</f>
        <v>253</v>
      </c>
      <c r="E283" s="8">
        <f>Population!K280</f>
        <v>-33183.97887323943</v>
      </c>
      <c r="F283" s="171">
        <f>Solidarité!I277</f>
        <v>-129084.83268476928</v>
      </c>
      <c r="G283" s="8"/>
      <c r="H283" s="171">
        <f>Effort!K277+Aide!I277+Taux!K277</f>
        <v>0</v>
      </c>
      <c r="I283" s="234">
        <f t="shared" si="13"/>
        <v>-162268.81155800872</v>
      </c>
      <c r="J283" s="294">
        <f t="shared" si="14"/>
        <v>121223.69417079393</v>
      </c>
      <c r="K283" s="389">
        <f t="shared" si="15"/>
        <v>-41045.117387214792</v>
      </c>
    </row>
    <row r="284" spans="1:11" x14ac:dyDescent="0.25">
      <c r="A284" s="38">
        <f>Données!A278</f>
        <v>5904</v>
      </c>
      <c r="B284" s="27" t="str">
        <f>Données!B278</f>
        <v>Chamblon</v>
      </c>
      <c r="C284" s="26">
        <f>Ecrêtage!C278</f>
        <v>18164.59121212121</v>
      </c>
      <c r="D284" s="12">
        <f>Données!Z278</f>
        <v>561</v>
      </c>
      <c r="E284" s="8">
        <f>Population!K281</f>
        <v>-73581.866197183088</v>
      </c>
      <c r="F284" s="171">
        <f>Solidarité!I278</f>
        <v>-166708.23656389947</v>
      </c>
      <c r="G284" s="8"/>
      <c r="H284" s="171">
        <f>Effort!K278+Aide!I278+Taux!K278</f>
        <v>0</v>
      </c>
      <c r="I284" s="234">
        <f t="shared" si="13"/>
        <v>-240290.10276108255</v>
      </c>
      <c r="J284" s="294">
        <f t="shared" si="14"/>
        <v>350705.3985515791</v>
      </c>
      <c r="K284" s="389">
        <f t="shared" si="15"/>
        <v>110415.29579049654</v>
      </c>
    </row>
    <row r="285" spans="1:11" x14ac:dyDescent="0.25">
      <c r="A285" s="38">
        <f>Données!A279</f>
        <v>5905</v>
      </c>
      <c r="B285" s="27" t="str">
        <f>Données!B279</f>
        <v>Champvent</v>
      </c>
      <c r="C285" s="26">
        <f>Ecrêtage!C279</f>
        <v>22259.587285714286</v>
      </c>
      <c r="D285" s="12">
        <f>Données!Z279</f>
        <v>731</v>
      </c>
      <c r="E285" s="8">
        <f>Population!K282</f>
        <v>-95879.401408450693</v>
      </c>
      <c r="F285" s="171">
        <f>Solidarité!I279</f>
        <v>-271937.54003736383</v>
      </c>
      <c r="G285" s="8"/>
      <c r="H285" s="171">
        <f>Effort!K279+Aide!I279+Taux!K279</f>
        <v>0</v>
      </c>
      <c r="I285" s="234">
        <f t="shared" si="13"/>
        <v>-367816.9414458145</v>
      </c>
      <c r="J285" s="294">
        <f t="shared" si="14"/>
        <v>429767.8565659537</v>
      </c>
      <c r="K285" s="389">
        <f t="shared" si="15"/>
        <v>61950.915120139194</v>
      </c>
    </row>
    <row r="286" spans="1:11" x14ac:dyDescent="0.25">
      <c r="A286" s="38">
        <f>Données!A280</f>
        <v>5907</v>
      </c>
      <c r="B286" s="27" t="str">
        <f>Données!B280</f>
        <v>Chavannes-le-Chêne</v>
      </c>
      <c r="C286" s="26">
        <f>Ecrêtage!C280</f>
        <v>8797.9254666666657</v>
      </c>
      <c r="D286" s="12">
        <f>Données!Z280</f>
        <v>317</v>
      </c>
      <c r="E286" s="8">
        <f>Population!K283</f>
        <v>-41578.345070422525</v>
      </c>
      <c r="F286" s="171">
        <f>Solidarité!I280</f>
        <v>-154583.396614175</v>
      </c>
      <c r="G286" s="8"/>
      <c r="H286" s="171">
        <f>Effort!K280+Aide!I280+Taux!K280</f>
        <v>0</v>
      </c>
      <c r="I286" s="234">
        <f t="shared" si="13"/>
        <v>-196161.74168459751</v>
      </c>
      <c r="J286" s="294">
        <f t="shared" si="14"/>
        <v>169862.3393823189</v>
      </c>
      <c r="K286" s="389">
        <f t="shared" si="15"/>
        <v>-26299.402302278613</v>
      </c>
    </row>
    <row r="287" spans="1:11" x14ac:dyDescent="0.25">
      <c r="A287" s="38">
        <f>Données!A281</f>
        <v>5908</v>
      </c>
      <c r="B287" s="27" t="str">
        <f>Données!B281</f>
        <v>Chêne-Pâquier</v>
      </c>
      <c r="C287" s="26">
        <f>Ecrêtage!C281</f>
        <v>5848.7089333333342</v>
      </c>
      <c r="D287" s="12">
        <f>Données!Z281</f>
        <v>175</v>
      </c>
      <c r="E287" s="8">
        <f>Population!K284</f>
        <v>-22953.345070422532</v>
      </c>
      <c r="F287" s="171">
        <f>Solidarité!I281</f>
        <v>-63055.54360150158</v>
      </c>
      <c r="G287" s="8"/>
      <c r="H287" s="171">
        <f>Effort!K281+Aide!I281+Taux!K281</f>
        <v>0</v>
      </c>
      <c r="I287" s="234">
        <f t="shared" si="13"/>
        <v>-86008.888671924113</v>
      </c>
      <c r="J287" s="294">
        <f t="shared" si="14"/>
        <v>112921.55014796602</v>
      </c>
      <c r="K287" s="389">
        <f t="shared" si="15"/>
        <v>26912.661476041903</v>
      </c>
    </row>
    <row r="288" spans="1:11" x14ac:dyDescent="0.25">
      <c r="A288" s="38">
        <f>Données!A282</f>
        <v>5909</v>
      </c>
      <c r="B288" s="27" t="str">
        <f>Données!B282</f>
        <v>Cheseaux-Noréaz</v>
      </c>
      <c r="C288" s="26">
        <f>Ecrêtage!C282</f>
        <v>38683.585223880604</v>
      </c>
      <c r="D288" s="12">
        <f>Données!Z282</f>
        <v>739</v>
      </c>
      <c r="E288" s="8">
        <f>Population!K285</f>
        <v>-96928.697183098571</v>
      </c>
      <c r="F288" s="171">
        <f>Solidarité!I282</f>
        <v>0</v>
      </c>
      <c r="G288" s="8"/>
      <c r="H288" s="171">
        <f>Effort!K282+Aide!I282+Taux!K282</f>
        <v>0</v>
      </c>
      <c r="I288" s="234">
        <f t="shared" si="13"/>
        <v>-96928.697183098571</v>
      </c>
      <c r="J288" s="294">
        <f t="shared" si="14"/>
        <v>746867.46400833316</v>
      </c>
      <c r="K288" s="389">
        <f t="shared" si="15"/>
        <v>649938.76682523463</v>
      </c>
    </row>
    <row r="289" spans="1:11" x14ac:dyDescent="0.25">
      <c r="A289" s="38">
        <f>Données!A283</f>
        <v>5910</v>
      </c>
      <c r="B289" s="27" t="str">
        <f>Données!B283</f>
        <v>Cronay</v>
      </c>
      <c r="C289" s="26">
        <f>Ecrêtage!C283</f>
        <v>12977.456233766234</v>
      </c>
      <c r="D289" s="12">
        <f>Données!Z283</f>
        <v>422</v>
      </c>
      <c r="E289" s="8">
        <f>Population!K286</f>
        <v>-55350.352112676046</v>
      </c>
      <c r="F289" s="171">
        <f>Solidarité!I283</f>
        <v>-186942.6302458253</v>
      </c>
      <c r="G289" s="8"/>
      <c r="H289" s="171">
        <f>Effort!K283+Aide!I283+Taux!K283</f>
        <v>0</v>
      </c>
      <c r="I289" s="234">
        <f t="shared" si="13"/>
        <v>-242292.98235850135</v>
      </c>
      <c r="J289" s="294">
        <f t="shared" si="14"/>
        <v>250556.91633795801</v>
      </c>
      <c r="K289" s="389">
        <f t="shared" si="15"/>
        <v>8263.9339794566622</v>
      </c>
    </row>
    <row r="290" spans="1:11" x14ac:dyDescent="0.25">
      <c r="A290" s="38">
        <f>Données!A284</f>
        <v>5911</v>
      </c>
      <c r="B290" s="27" t="str">
        <f>Données!B284</f>
        <v>Cuarny</v>
      </c>
      <c r="C290" s="26">
        <f>Ecrêtage!C284</f>
        <v>7819.0719480519483</v>
      </c>
      <c r="D290" s="12">
        <f>Données!Z284</f>
        <v>242</v>
      </c>
      <c r="E290" s="8">
        <f>Population!K287</f>
        <v>-31741.197183098586</v>
      </c>
      <c r="F290" s="171">
        <f>Solidarité!I284</f>
        <v>-98275.971666631362</v>
      </c>
      <c r="G290" s="8"/>
      <c r="H290" s="171">
        <f>Effort!K284+Aide!I284+Taux!K284</f>
        <v>0</v>
      </c>
      <c r="I290" s="234">
        <f t="shared" si="13"/>
        <v>-130017.16884972995</v>
      </c>
      <c r="J290" s="294">
        <f t="shared" si="14"/>
        <v>150963.52633662187</v>
      </c>
      <c r="K290" s="389">
        <f t="shared" si="15"/>
        <v>20946.357486891924</v>
      </c>
    </row>
    <row r="291" spans="1:11" x14ac:dyDescent="0.25">
      <c r="A291" s="38">
        <f>Données!A285</f>
        <v>5912</v>
      </c>
      <c r="B291" s="27" t="str">
        <f>Données!B285</f>
        <v>Démoret</v>
      </c>
      <c r="C291" s="26">
        <f>Ecrêtage!C285</f>
        <v>3810.8220512820521</v>
      </c>
      <c r="D291" s="12">
        <f>Données!Z285</f>
        <v>160</v>
      </c>
      <c r="E291" s="8">
        <f>Population!K288</f>
        <v>-20985.915492957742</v>
      </c>
      <c r="F291" s="171">
        <f>Solidarité!I285</f>
        <v>-99693.00836850924</v>
      </c>
      <c r="G291" s="8"/>
      <c r="H291" s="171">
        <f>Effort!K285+Aide!I285+Taux!K285</f>
        <v>0</v>
      </c>
      <c r="I291" s="234">
        <f t="shared" si="13"/>
        <v>-120678.92386146699</v>
      </c>
      <c r="J291" s="294">
        <f t="shared" si="14"/>
        <v>73575.884571087372</v>
      </c>
      <c r="K291" s="389">
        <f t="shared" si="15"/>
        <v>-47103.039290379616</v>
      </c>
    </row>
    <row r="292" spans="1:11" x14ac:dyDescent="0.25">
      <c r="A292" s="38">
        <f>Données!A286</f>
        <v>5913</v>
      </c>
      <c r="B292" s="27" t="str">
        <f>Données!B286</f>
        <v>Donneloye</v>
      </c>
      <c r="C292" s="26">
        <f>Ecrêtage!C286</f>
        <v>21287.768493150685</v>
      </c>
      <c r="D292" s="12">
        <f>Données!Z286</f>
        <v>919</v>
      </c>
      <c r="E292" s="8">
        <f>Population!K289</f>
        <v>-120537.85211267603</v>
      </c>
      <c r="F292" s="171">
        <f>Solidarité!I286</f>
        <v>-514336.97475652851</v>
      </c>
      <c r="G292" s="8"/>
      <c r="H292" s="171">
        <f>Effort!K286+Aide!I286+Taux!K286</f>
        <v>0</v>
      </c>
      <c r="I292" s="234">
        <f t="shared" si="13"/>
        <v>-634874.82686920452</v>
      </c>
      <c r="J292" s="294">
        <f t="shared" si="14"/>
        <v>411004.86360971793</v>
      </c>
      <c r="K292" s="389">
        <f t="shared" si="15"/>
        <v>-223869.9632594866</v>
      </c>
    </row>
    <row r="293" spans="1:11" x14ac:dyDescent="0.25">
      <c r="A293" s="38">
        <f>Données!A287</f>
        <v>5914</v>
      </c>
      <c r="B293" s="27" t="str">
        <f>Données!B287</f>
        <v>Ependes</v>
      </c>
      <c r="C293" s="26">
        <f>Ecrêtage!C287</f>
        <v>11289.461224489796</v>
      </c>
      <c r="D293" s="12">
        <f>Données!Z287</f>
        <v>388</v>
      </c>
      <c r="E293" s="8">
        <f>Population!K290</f>
        <v>-50890.845070422525</v>
      </c>
      <c r="F293" s="171">
        <f>Solidarité!I287</f>
        <v>-170471.70392234743</v>
      </c>
      <c r="G293" s="8"/>
      <c r="H293" s="171">
        <f>Effort!K287+Aide!I287+Taux!K287</f>
        <v>0</v>
      </c>
      <c r="I293" s="234">
        <f t="shared" si="13"/>
        <v>-221362.54899276997</v>
      </c>
      <c r="J293" s="294">
        <f t="shared" si="14"/>
        <v>217966.64466224116</v>
      </c>
      <c r="K293" s="389">
        <f t="shared" si="15"/>
        <v>-3395.9043305288069</v>
      </c>
    </row>
    <row r="294" spans="1:11" x14ac:dyDescent="0.25">
      <c r="A294" s="38">
        <f>Données!A288</f>
        <v>5919</v>
      </c>
      <c r="B294" s="27" t="str">
        <f>Données!B288</f>
        <v>Mathod</v>
      </c>
      <c r="C294" s="26">
        <f>Ecrêtage!C288</f>
        <v>20397.872569444444</v>
      </c>
      <c r="D294" s="12">
        <f>Données!Z288</f>
        <v>709</v>
      </c>
      <c r="E294" s="8">
        <f>Population!K291</f>
        <v>-92993.83802816899</v>
      </c>
      <c r="F294" s="171">
        <f>Solidarité!I288</f>
        <v>-303716.35251626599</v>
      </c>
      <c r="G294" s="8"/>
      <c r="H294" s="171">
        <f>Effort!K288+Aide!I288+Taux!K288</f>
        <v>0</v>
      </c>
      <c r="I294" s="234">
        <f t="shared" si="13"/>
        <v>-396710.190544435</v>
      </c>
      <c r="J294" s="294">
        <f t="shared" si="14"/>
        <v>393823.56286100828</v>
      </c>
      <c r="K294" s="389">
        <f t="shared" si="15"/>
        <v>-2886.6276834267192</v>
      </c>
    </row>
    <row r="295" spans="1:11" x14ac:dyDescent="0.25">
      <c r="A295" s="38">
        <f>Données!A289</f>
        <v>5921</v>
      </c>
      <c r="B295" s="27" t="str">
        <f>Données!B289</f>
        <v>Molondin</v>
      </c>
      <c r="C295" s="26">
        <f>Ecrêtage!C289</f>
        <v>5454.6739506172835</v>
      </c>
      <c r="D295" s="12">
        <f>Données!Z289</f>
        <v>282</v>
      </c>
      <c r="E295" s="8">
        <f>Population!K292</f>
        <v>-36987.676056338023</v>
      </c>
      <c r="F295" s="171">
        <f>Solidarité!I289</f>
        <v>-222552.6105652391</v>
      </c>
      <c r="G295" s="8"/>
      <c r="H295" s="171">
        <f>Effort!K289+Aide!I289+Taux!K289</f>
        <v>43113.995283009739</v>
      </c>
      <c r="I295" s="234">
        <f t="shared" si="13"/>
        <v>-216426.29133856736</v>
      </c>
      <c r="J295" s="294">
        <f t="shared" si="14"/>
        <v>105313.88124735882</v>
      </c>
      <c r="K295" s="389">
        <f t="shared" si="15"/>
        <v>-111112.41009120854</v>
      </c>
    </row>
    <row r="296" spans="1:11" x14ac:dyDescent="0.25">
      <c r="A296" s="38">
        <f>Données!A290</f>
        <v>5922</v>
      </c>
      <c r="B296" s="27" t="str">
        <f>Données!B290</f>
        <v>Montagny-près-Yverdon</v>
      </c>
      <c r="C296" s="26">
        <f>Ecrêtage!C290</f>
        <v>39914.464612403099</v>
      </c>
      <c r="D296" s="12">
        <f>Données!Z290</f>
        <v>777</v>
      </c>
      <c r="E296" s="8">
        <f>Population!K293</f>
        <v>-101912.85211267603</v>
      </c>
      <c r="F296" s="171">
        <f>Solidarité!I290</f>
        <v>0</v>
      </c>
      <c r="G296" s="8"/>
      <c r="H296" s="171">
        <f>Effort!K290+Aide!I290+Taux!K290</f>
        <v>0</v>
      </c>
      <c r="I296" s="234">
        <f t="shared" si="13"/>
        <v>-101912.85211267603</v>
      </c>
      <c r="J296" s="294">
        <f t="shared" si="14"/>
        <v>770632.1632233999</v>
      </c>
      <c r="K296" s="389">
        <f t="shared" si="15"/>
        <v>668719.31111072388</v>
      </c>
    </row>
    <row r="297" spans="1:11" x14ac:dyDescent="0.25">
      <c r="A297" s="38">
        <f>Données!A291</f>
        <v>5923</v>
      </c>
      <c r="B297" s="27" t="str">
        <f>Données!B291</f>
        <v>Oppens</v>
      </c>
      <c r="C297" s="26">
        <f>Ecrêtage!C291</f>
        <v>6126.7193827160499</v>
      </c>
      <c r="D297" s="12">
        <f>Données!Z291</f>
        <v>202</v>
      </c>
      <c r="E297" s="8">
        <f>Population!K294</f>
        <v>-26494.718309859149</v>
      </c>
      <c r="F297" s="171">
        <f>Solidarité!I291</f>
        <v>-101256.59244696816</v>
      </c>
      <c r="G297" s="8"/>
      <c r="H297" s="171">
        <f>Effort!K291+Aide!I291+Taux!K291</f>
        <v>0</v>
      </c>
      <c r="I297" s="234">
        <f t="shared" si="13"/>
        <v>-127751.31075682731</v>
      </c>
      <c r="J297" s="294">
        <f t="shared" si="14"/>
        <v>118289.12293359565</v>
      </c>
      <c r="K297" s="389">
        <f t="shared" si="15"/>
        <v>-9462.1878232316667</v>
      </c>
    </row>
    <row r="298" spans="1:11" x14ac:dyDescent="0.25">
      <c r="A298" s="38">
        <f>Données!A292</f>
        <v>5924</v>
      </c>
      <c r="B298" s="27" t="str">
        <f>Données!B292</f>
        <v>Orges</v>
      </c>
      <c r="C298" s="26">
        <f>Ecrêtage!C292</f>
        <v>12401.843648648648</v>
      </c>
      <c r="D298" s="12">
        <f>Données!Z292</f>
        <v>416</v>
      </c>
      <c r="E298" s="8">
        <f>Population!K295</f>
        <v>-54563.38028169013</v>
      </c>
      <c r="F298" s="171">
        <f>Solidarité!I292</f>
        <v>-178758.36873328366</v>
      </c>
      <c r="G298" s="8"/>
      <c r="H298" s="171">
        <f>Effort!K292+Aide!I292+Taux!K292</f>
        <v>0</v>
      </c>
      <c r="I298" s="234">
        <f t="shared" si="13"/>
        <v>-233321.74901497379</v>
      </c>
      <c r="J298" s="294">
        <f t="shared" si="14"/>
        <v>239443.51231374525</v>
      </c>
      <c r="K298" s="389">
        <f t="shared" si="15"/>
        <v>6121.7632987714605</v>
      </c>
    </row>
    <row r="299" spans="1:11" x14ac:dyDescent="0.25">
      <c r="A299" s="38">
        <f>Données!A293</f>
        <v>5925</v>
      </c>
      <c r="B299" s="27" t="str">
        <f>Données!B293</f>
        <v>Orzens</v>
      </c>
      <c r="C299" s="26">
        <f>Ecrêtage!C293</f>
        <v>5858.6327848101273</v>
      </c>
      <c r="D299" s="12">
        <f>Données!Z293</f>
        <v>214</v>
      </c>
      <c r="E299" s="8">
        <f>Population!K296</f>
        <v>-28068.661971830981</v>
      </c>
      <c r="F299" s="171">
        <f>Solidarité!I293</f>
        <v>-117794.72184057435</v>
      </c>
      <c r="G299" s="8"/>
      <c r="H299" s="171">
        <f>Effort!K293+Aide!I293+Taux!K293</f>
        <v>0</v>
      </c>
      <c r="I299" s="234">
        <f t="shared" si="13"/>
        <v>-145863.38381240534</v>
      </c>
      <c r="J299" s="294">
        <f t="shared" si="14"/>
        <v>113113.15084223394</v>
      </c>
      <c r="K299" s="389">
        <f t="shared" si="15"/>
        <v>-32750.232970171404</v>
      </c>
    </row>
    <row r="300" spans="1:11" x14ac:dyDescent="0.25">
      <c r="A300" s="38">
        <f>Données!A294</f>
        <v>5926</v>
      </c>
      <c r="B300" s="27" t="str">
        <f>Données!B294</f>
        <v>Pomy</v>
      </c>
      <c r="C300" s="26">
        <f>Ecrêtage!C294</f>
        <v>27254.567042253519</v>
      </c>
      <c r="D300" s="12">
        <f>Données!Z294</f>
        <v>875</v>
      </c>
      <c r="E300" s="8">
        <f>Population!K297</f>
        <v>-114766.72535211265</v>
      </c>
      <c r="F300" s="171">
        <f>Solidarité!I294</f>
        <v>-322590.54614796146</v>
      </c>
      <c r="G300" s="8"/>
      <c r="H300" s="171">
        <f>Effort!K294+Aide!I294+Taux!K294</f>
        <v>0</v>
      </c>
      <c r="I300" s="234">
        <f t="shared" si="13"/>
        <v>-437357.27150007413</v>
      </c>
      <c r="J300" s="294">
        <f t="shared" si="14"/>
        <v>526206.38060525106</v>
      </c>
      <c r="K300" s="389">
        <f t="shared" si="15"/>
        <v>88849.109105176933</v>
      </c>
    </row>
    <row r="301" spans="1:11" x14ac:dyDescent="0.25">
      <c r="A301" s="38">
        <f>Données!A295</f>
        <v>5928</v>
      </c>
      <c r="B301" s="27" t="str">
        <f>Données!B295</f>
        <v>Rovray</v>
      </c>
      <c r="C301" s="26">
        <f>Ecrêtage!C295</f>
        <v>5477.1420547945208</v>
      </c>
      <c r="D301" s="12">
        <f>Données!Z295</f>
        <v>199</v>
      </c>
      <c r="E301" s="8">
        <f>Population!K298</f>
        <v>-26101.232394366194</v>
      </c>
      <c r="F301" s="171">
        <f>Solidarité!I295</f>
        <v>-92910.56881578108</v>
      </c>
      <c r="G301" s="8"/>
      <c r="H301" s="171">
        <f>Effort!K295+Aide!I295+Taux!K295</f>
        <v>0</v>
      </c>
      <c r="I301" s="234">
        <f t="shared" si="13"/>
        <v>-119011.80121014727</v>
      </c>
      <c r="J301" s="294">
        <f t="shared" si="14"/>
        <v>105747.67495832978</v>
      </c>
      <c r="K301" s="389">
        <f t="shared" si="15"/>
        <v>-13264.126251817492</v>
      </c>
    </row>
    <row r="302" spans="1:11" x14ac:dyDescent="0.25">
      <c r="A302" s="38">
        <f>Données!A296</f>
        <v>5929</v>
      </c>
      <c r="B302" s="27" t="str">
        <f>Données!B296</f>
        <v>Suchy</v>
      </c>
      <c r="C302" s="26">
        <f>Ecrêtage!C296</f>
        <v>22233.767642857143</v>
      </c>
      <c r="D302" s="12">
        <f>Données!Z296</f>
        <v>665</v>
      </c>
      <c r="E302" s="8">
        <f>Population!K299</f>
        <v>-87222.711267605613</v>
      </c>
      <c r="F302" s="171">
        <f>Solidarité!I296</f>
        <v>-208558.11190639352</v>
      </c>
      <c r="G302" s="8"/>
      <c r="H302" s="171">
        <f>Effort!K296+Aide!I296+Taux!K296</f>
        <v>0</v>
      </c>
      <c r="I302" s="234">
        <f t="shared" si="13"/>
        <v>-295780.82317399915</v>
      </c>
      <c r="J302" s="294">
        <f t="shared" si="14"/>
        <v>429269.35439582879</v>
      </c>
      <c r="K302" s="389">
        <f t="shared" si="15"/>
        <v>133488.53122182965</v>
      </c>
    </row>
    <row r="303" spans="1:11" x14ac:dyDescent="0.25">
      <c r="A303" s="38">
        <f>Données!A297</f>
        <v>5930</v>
      </c>
      <c r="B303" s="27" t="str">
        <f>Données!B297</f>
        <v>Suscévaz</v>
      </c>
      <c r="C303" s="26">
        <f>Ecrêtage!C297</f>
        <v>6011.7318055555552</v>
      </c>
      <c r="D303" s="12">
        <f>Données!Z297</f>
        <v>217</v>
      </c>
      <c r="E303" s="8">
        <f>Population!K300</f>
        <v>-28462.147887323939</v>
      </c>
      <c r="F303" s="171">
        <f>Solidarité!I297</f>
        <v>-97746.80143558298</v>
      </c>
      <c r="G303" s="8"/>
      <c r="H303" s="171">
        <f>Effort!K297+Aide!I297+Taux!K297</f>
        <v>0</v>
      </c>
      <c r="I303" s="234">
        <f t="shared" si="13"/>
        <v>-126208.94932290692</v>
      </c>
      <c r="J303" s="294">
        <f t="shared" si="14"/>
        <v>116069.04742484201</v>
      </c>
      <c r="K303" s="389">
        <f t="shared" si="15"/>
        <v>-10139.901898064913</v>
      </c>
    </row>
    <row r="304" spans="1:11" x14ac:dyDescent="0.25">
      <c r="A304" s="38">
        <f>Données!A298</f>
        <v>5931</v>
      </c>
      <c r="B304" s="27" t="str">
        <f>Données!B298</f>
        <v>Treycovagnes</v>
      </c>
      <c r="C304" s="26">
        <f>Ecrêtage!C298</f>
        <v>16173.396575342462</v>
      </c>
      <c r="D304" s="12">
        <f>Données!Z298</f>
        <v>522</v>
      </c>
      <c r="E304" s="8">
        <f>Population!K301</f>
        <v>-68466.549295774632</v>
      </c>
      <c r="F304" s="171">
        <f>Solidarité!I298</f>
        <v>-205271.45624874331</v>
      </c>
      <c r="G304" s="8"/>
      <c r="H304" s="171">
        <f>Effort!K298+Aide!I298+Taux!K298</f>
        <v>0</v>
      </c>
      <c r="I304" s="234">
        <f t="shared" si="13"/>
        <v>-273738.00554451795</v>
      </c>
      <c r="J304" s="294">
        <f t="shared" si="14"/>
        <v>312261.22435957921</v>
      </c>
      <c r="K304" s="389">
        <f t="shared" si="15"/>
        <v>38523.218815061264</v>
      </c>
    </row>
    <row r="305" spans="1:11" x14ac:dyDescent="0.25">
      <c r="A305" s="38">
        <f>Données!A299</f>
        <v>5932</v>
      </c>
      <c r="B305" s="27" t="str">
        <f>Données!B299</f>
        <v>Ursins</v>
      </c>
      <c r="C305" s="26">
        <f>Ecrêtage!C299</f>
        <v>8679.1289333333334</v>
      </c>
      <c r="D305" s="12">
        <f>Données!Z299</f>
        <v>234</v>
      </c>
      <c r="E305" s="8">
        <f>Population!K302</f>
        <v>-30691.9014084507</v>
      </c>
      <c r="F305" s="171">
        <f>Solidarité!I299</f>
        <v>-65025.395120355577</v>
      </c>
      <c r="G305" s="8"/>
      <c r="H305" s="171">
        <f>Effort!K299+Aide!I299+Taux!K299</f>
        <v>0</v>
      </c>
      <c r="I305" s="234">
        <f t="shared" si="13"/>
        <v>-95717.29652880627</v>
      </c>
      <c r="J305" s="294">
        <f t="shared" si="14"/>
        <v>167568.72401367736</v>
      </c>
      <c r="K305" s="389">
        <f t="shared" si="15"/>
        <v>71851.427484871092</v>
      </c>
    </row>
    <row r="306" spans="1:11" x14ac:dyDescent="0.25">
      <c r="A306" s="38">
        <f>Données!A300</f>
        <v>5933</v>
      </c>
      <c r="B306" s="27" t="str">
        <f>Données!B300</f>
        <v>Valeyres-sous-Montagny</v>
      </c>
      <c r="C306" s="26">
        <f>Ecrêtage!C300</f>
        <v>22762.97602836879</v>
      </c>
      <c r="D306" s="12">
        <f>Données!Z300</f>
        <v>703</v>
      </c>
      <c r="E306" s="8">
        <f>Population!K303</f>
        <v>-92206.866197183088</v>
      </c>
      <c r="F306" s="171">
        <f>Solidarité!I300</f>
        <v>-238352.18000205717</v>
      </c>
      <c r="G306" s="8"/>
      <c r="H306" s="171">
        <f>Effort!K300+Aide!I300+Taux!K300</f>
        <v>0</v>
      </c>
      <c r="I306" s="234">
        <f t="shared" si="13"/>
        <v>-330559.04619924026</v>
      </c>
      <c r="J306" s="294">
        <f t="shared" si="14"/>
        <v>439486.82835879095</v>
      </c>
      <c r="K306" s="389">
        <f t="shared" si="15"/>
        <v>108927.7821595507</v>
      </c>
    </row>
    <row r="307" spans="1:11" x14ac:dyDescent="0.25">
      <c r="A307" s="38">
        <f>Données!A301</f>
        <v>5934</v>
      </c>
      <c r="B307" s="27" t="str">
        <f>Données!B301</f>
        <v>Valeyres-sous-Ursins</v>
      </c>
      <c r="C307" s="26">
        <f>Ecrêtage!C301</f>
        <v>7483.0151948051935</v>
      </c>
      <c r="D307" s="12">
        <f>Données!Z301</f>
        <v>237</v>
      </c>
      <c r="E307" s="8">
        <f>Population!K304</f>
        <v>-31085.387323943658</v>
      </c>
      <c r="F307" s="171">
        <f>Solidarité!I301</f>
        <v>-100377.85298876629</v>
      </c>
      <c r="G307" s="8"/>
      <c r="H307" s="171">
        <f>Effort!K301+Aide!I301+Taux!K301</f>
        <v>0</v>
      </c>
      <c r="I307" s="234">
        <f t="shared" si="13"/>
        <v>-131463.24031270994</v>
      </c>
      <c r="J307" s="294">
        <f t="shared" si="14"/>
        <v>144475.2483342682</v>
      </c>
      <c r="K307" s="389">
        <f t="shared" si="15"/>
        <v>13012.008021558257</v>
      </c>
    </row>
    <row r="308" spans="1:11" x14ac:dyDescent="0.25">
      <c r="A308" s="38">
        <f>Données!A302</f>
        <v>5935</v>
      </c>
      <c r="B308" s="27" t="str">
        <f>Données!B302</f>
        <v>Villars-Epeney</v>
      </c>
      <c r="C308" s="26">
        <f>Ecrêtage!C302</f>
        <v>4091.4220588235289</v>
      </c>
      <c r="D308" s="12">
        <f>Données!Z302</f>
        <v>101</v>
      </c>
      <c r="E308" s="8">
        <f>Population!K305</f>
        <v>-13247.359154929574</v>
      </c>
      <c r="F308" s="171">
        <f>Solidarité!I302</f>
        <v>-16694.780767961911</v>
      </c>
      <c r="G308" s="8"/>
      <c r="H308" s="171">
        <f>Effort!K302+Aide!I302+Taux!K302</f>
        <v>0</v>
      </c>
      <c r="I308" s="234">
        <f t="shared" si="13"/>
        <v>-29942.139922891485</v>
      </c>
      <c r="J308" s="294">
        <f t="shared" si="14"/>
        <v>78993.454189320357</v>
      </c>
      <c r="K308" s="389">
        <f t="shared" si="15"/>
        <v>49051.314266428875</v>
      </c>
    </row>
    <row r="309" spans="1:11" x14ac:dyDescent="0.25">
      <c r="A309" s="38">
        <f>Données!A303</f>
        <v>5937</v>
      </c>
      <c r="B309" s="27" t="str">
        <f>Données!B303</f>
        <v>Vugelles-La Mothe</v>
      </c>
      <c r="C309" s="26">
        <f>Ecrêtage!C303</f>
        <v>3794.0157959183671</v>
      </c>
      <c r="D309" s="12">
        <f>Données!Z303</f>
        <v>151</v>
      </c>
      <c r="E309" s="8">
        <f>Population!K306</f>
        <v>-19805.457746478871</v>
      </c>
      <c r="F309" s="171">
        <f>Solidarité!I303</f>
        <v>-71909.224994049087</v>
      </c>
      <c r="G309" s="8"/>
      <c r="H309" s="171">
        <f>Effort!K303+Aide!I303+Taux!K303</f>
        <v>0</v>
      </c>
      <c r="I309" s="234">
        <f t="shared" si="13"/>
        <v>-91714.682740527962</v>
      </c>
      <c r="J309" s="294">
        <f t="shared" si="14"/>
        <v>73251.404685101952</v>
      </c>
      <c r="K309" s="389">
        <f t="shared" si="15"/>
        <v>-18463.27805542601</v>
      </c>
    </row>
    <row r="310" spans="1:11" x14ac:dyDescent="0.25">
      <c r="A310" s="38">
        <f>Données!A304</f>
        <v>5938</v>
      </c>
      <c r="B310" s="27" t="str">
        <f>Données!B304</f>
        <v>Yverdon-les-Bains</v>
      </c>
      <c r="C310" s="26">
        <f>Ecrêtage!C304</f>
        <v>793682.36159999971</v>
      </c>
      <c r="D310" s="12">
        <f>Données!Z304</f>
        <v>30221</v>
      </c>
      <c r="E310" s="8">
        <f>Population!K307</f>
        <v>-27026763.732394364</v>
      </c>
      <c r="F310" s="171">
        <f>Solidarité!I304</f>
        <v>-15749499.212695576</v>
      </c>
      <c r="G310" s="8"/>
      <c r="H310" s="171">
        <f>Effort!K304+Aide!I304+Taux!K304</f>
        <v>6724420.9292707955</v>
      </c>
      <c r="I310" s="234">
        <f t="shared" si="13"/>
        <v>-36051842.01581914</v>
      </c>
      <c r="J310" s="294">
        <f t="shared" si="14"/>
        <v>15323696.839516249</v>
      </c>
      <c r="K310" s="389">
        <f t="shared" si="15"/>
        <v>-20728145.176302891</v>
      </c>
    </row>
    <row r="311" spans="1:11" x14ac:dyDescent="0.25">
      <c r="A311" s="38">
        <f>Données!A305</f>
        <v>5939</v>
      </c>
      <c r="B311" s="27" t="str">
        <f>Données!B305</f>
        <v>Yvonand</v>
      </c>
      <c r="C311" s="26">
        <f>Ecrêtage!C305</f>
        <v>96283.364335664344</v>
      </c>
      <c r="D311" s="12">
        <f>Données!Z305</f>
        <v>3536</v>
      </c>
      <c r="E311" s="161">
        <f>Population!K308</f>
        <v>-1146880.2816901407</v>
      </c>
      <c r="F311" s="171">
        <f>Solidarité!I305</f>
        <v>-1604981.8354816593</v>
      </c>
      <c r="G311" s="161"/>
      <c r="H311" s="171">
        <f>Effort!K305+Aide!I305+Taux!K305</f>
        <v>0</v>
      </c>
      <c r="I311" s="250">
        <f t="shared" si="13"/>
        <v>-2751862.1171717998</v>
      </c>
      <c r="J311" s="294">
        <f t="shared" si="14"/>
        <v>1858951.5871237067</v>
      </c>
      <c r="K311" s="390">
        <f t="shared" si="15"/>
        <v>-892910.53004809306</v>
      </c>
    </row>
    <row r="312" spans="1:11" x14ac:dyDescent="0.25">
      <c r="A312" s="25"/>
      <c r="B312" s="73">
        <f>COUNTA(B12:B311)</f>
        <v>300</v>
      </c>
      <c r="C312" s="74">
        <f t="shared" ref="C312:H312" si="16">SUM(C12:C311)</f>
        <v>41857577.09593945</v>
      </c>
      <c r="D312" s="9">
        <f t="shared" si="16"/>
        <v>846303</v>
      </c>
      <c r="E312" s="161">
        <f t="shared" si="16"/>
        <v>-480139567.42957699</v>
      </c>
      <c r="F312" s="9">
        <f t="shared" si="16"/>
        <v>-147471627.84535584</v>
      </c>
      <c r="G312" s="161">
        <f>+DT!O306</f>
        <v>-188359096.93172753</v>
      </c>
      <c r="H312" s="9">
        <f t="shared" si="16"/>
        <v>8270659.409615675</v>
      </c>
      <c r="I312" s="235">
        <f t="shared" ref="I312" si="17">SUM(E312:H312)</f>
        <v>-807699632.79704475</v>
      </c>
      <c r="J312" s="235">
        <f t="shared" ref="J312" si="18">C312*$J$11</f>
        <v>808148010.95216286</v>
      </c>
      <c r="K312" s="391">
        <f>SUM(K12:K311)</f>
        <v>188807475.08684549</v>
      </c>
    </row>
    <row r="313" spans="1:11" x14ac:dyDescent="0.25">
      <c r="C313" s="52"/>
      <c r="D313" s="52"/>
      <c r="E313" s="29"/>
      <c r="I313" s="29"/>
      <c r="J313" s="162"/>
      <c r="K313" s="162"/>
    </row>
    <row r="314" spans="1:11" x14ac:dyDescent="0.25">
      <c r="C314" s="140"/>
      <c r="D314" s="4"/>
      <c r="E314" s="5"/>
      <c r="F314" s="5"/>
      <c r="G314" s="5"/>
      <c r="H314" s="5"/>
      <c r="I314" s="5"/>
      <c r="J314" s="5"/>
      <c r="K314" s="162"/>
    </row>
    <row r="315" spans="1:11" x14ac:dyDescent="0.25">
      <c r="C315" s="172"/>
      <c r="G315" s="10"/>
      <c r="H315" s="10"/>
    </row>
    <row r="316" spans="1:11" x14ac:dyDescent="0.25">
      <c r="C316" s="155"/>
    </row>
    <row r="317" spans="1:11" x14ac:dyDescent="0.25">
      <c r="F317" s="10"/>
    </row>
    <row r="318" spans="1:11" x14ac:dyDescent="0.25">
      <c r="F318" s="10"/>
    </row>
    <row r="320" spans="1:11" x14ac:dyDescent="0.25">
      <c r="F320" s="70"/>
      <c r="G320" s="70"/>
      <c r="H320" s="70"/>
      <c r="I320" s="70"/>
      <c r="J320" s="70"/>
    </row>
    <row r="321" spans="3:10" x14ac:dyDescent="0.25">
      <c r="E321" s="70"/>
      <c r="F321" s="70"/>
      <c r="G321" s="70"/>
      <c r="H321" s="70"/>
      <c r="I321" s="70"/>
      <c r="J321" s="70"/>
    </row>
    <row r="322" spans="3:10" x14ac:dyDescent="0.25">
      <c r="E322" s="72"/>
      <c r="F322" s="72"/>
      <c r="G322" s="72"/>
      <c r="H322" s="72"/>
      <c r="I322" s="72"/>
      <c r="J322" s="72"/>
    </row>
    <row r="329" spans="3:10" x14ac:dyDescent="0.25">
      <c r="C329" s="37"/>
    </row>
    <row r="330" spans="3:10" x14ac:dyDescent="0.25">
      <c r="C330" s="37"/>
    </row>
    <row r="331" spans="3:10" x14ac:dyDescent="0.25">
      <c r="C331" s="37"/>
    </row>
  </sheetData>
  <sheetProtection sheet="1" objects="1" scenarios="1"/>
  <mergeCells count="8">
    <mergeCell ref="K10:K11"/>
    <mergeCell ref="A5:B5"/>
    <mergeCell ref="A6:B6"/>
    <mergeCell ref="A7:B7"/>
    <mergeCell ref="D10:D11"/>
    <mergeCell ref="C10:C11"/>
    <mergeCell ref="B10:B11"/>
    <mergeCell ref="A10:A11"/>
  </mergeCells>
  <phoneticPr fontId="21" type="noConversion"/>
  <hyperlinks>
    <hyperlink ref="C1" location="Ecrêtage!A1" display="← Précédent" xr:uid="{617DF37A-F812-48AD-A070-5ECCEB5FCAF3}"/>
    <hyperlink ref="E1" location="Population!A1" display="Suivant →" xr:uid="{88AC5A9E-3CD9-4E67-A12C-D58A70624CB5}"/>
    <hyperlink ref="D1" location="'Table des matières'!A1" display="Table des             matières" xr:uid="{0CC4E5F6-F04B-4697-A166-7DC7DA60803C}"/>
  </hyperlinks>
  <pageMargins left="0.25" right="0.25" top="0.75" bottom="0.75" header="0.3" footer="0.3"/>
  <pageSetup paperSize="9" orientation="landscape" horizontalDpi="4294967292"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12</vt:i4>
      </vt:variant>
    </vt:vector>
  </HeadingPairs>
  <TitlesOfParts>
    <vt:vector size="30" baseType="lpstr">
      <vt:lpstr>Récapitulation rendements</vt:lpstr>
      <vt:lpstr>Table des matières</vt:lpstr>
      <vt:lpstr>Paramètres</vt:lpstr>
      <vt:lpstr>Recherche</vt:lpstr>
      <vt:lpstr>Données</vt:lpstr>
      <vt:lpstr>VPI</vt:lpstr>
      <vt:lpstr>PCS</vt:lpstr>
      <vt:lpstr>Ecrêtage</vt:lpstr>
      <vt:lpstr>Péréquation directe</vt:lpstr>
      <vt:lpstr>Population</vt:lpstr>
      <vt:lpstr>Solidarité</vt:lpstr>
      <vt:lpstr>DT</vt:lpstr>
      <vt:lpstr>Effort</vt:lpstr>
      <vt:lpstr>Aide</vt:lpstr>
      <vt:lpstr>Taux</vt:lpstr>
      <vt:lpstr>Police</vt:lpstr>
      <vt:lpstr>Synthèse</vt:lpstr>
      <vt:lpstr>Décompte vs acomptes</vt:lpstr>
      <vt:lpstr>DT!Impression_des_titres</vt:lpstr>
      <vt:lpstr>Effort!Impression_des_titres</vt:lpstr>
      <vt:lpstr>PCS!Impression_des_titres</vt:lpstr>
      <vt:lpstr>Police!Impression_des_titres</vt:lpstr>
      <vt:lpstr>Synthèse!Impression_des_titres</vt:lpstr>
      <vt:lpstr>Taux!Impression_des_titres</vt:lpstr>
      <vt:lpstr>'Péréquation directe'!Zone_d_impression</vt:lpstr>
      <vt:lpstr>Police!Zone_d_impression</vt:lpstr>
      <vt:lpstr>'Récapitulation rendements'!Zone_d_impression</vt:lpstr>
      <vt:lpstr>Recherche!Zone_d_impression</vt:lpstr>
      <vt:lpstr>Synthèse!Zone_d_impression</vt:lpstr>
      <vt:lpstr>Taux!Zone_d_impression</vt:lpstr>
    </vt:vector>
  </TitlesOfParts>
  <Manager>fabio.cappelletti@vd.ch</Manager>
  <Company>Etat de Vaud / ASFiCo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fabio.cappelletti@vd.ch</dc:creator>
  <cp:lastModifiedBy>Cappelletti Fabio</cp:lastModifiedBy>
  <cp:lastPrinted>2024-04-02T07:54:55Z</cp:lastPrinted>
  <dcterms:created xsi:type="dcterms:W3CDTF">2005-06-06T00:37:42Z</dcterms:created>
  <dcterms:modified xsi:type="dcterms:W3CDTF">2024-04-04T15:18:43Z</dcterms:modified>
</cp:coreProperties>
</file>